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9.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1.xml" ContentType="application/vnd.openxmlformats-officedocument.spreadsheetml.comments+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13.xml" ContentType="application/vnd.openxmlformats-officedocument.drawing+xml"/>
  <Override PartName="/xl/charts/chart28.xml" ContentType="application/vnd.openxmlformats-officedocument.drawingml.chart+xml"/>
  <Override PartName="/xl/charts/style8.xml" ContentType="application/vnd.ms-office.chartstyle+xml"/>
  <Override PartName="/xl/charts/colors8.xml" ContentType="application/vnd.ms-office.chartcolorstyle+xml"/>
  <Override PartName="/xl/charts/chart29.xml" ContentType="application/vnd.openxmlformats-officedocument.drawingml.chart+xml"/>
  <Override PartName="/xl/charts/style9.xml" ContentType="application/vnd.ms-office.chartstyle+xml"/>
  <Override PartName="/xl/charts/colors9.xml" ContentType="application/vnd.ms-office.chartcolorstyle+xml"/>
  <Override PartName="/xl/charts/chart30.xml" ContentType="application/vnd.openxmlformats-officedocument.drawingml.chart+xml"/>
  <Override PartName="/xl/charts/style10.xml" ContentType="application/vnd.ms-office.chartstyle+xml"/>
  <Override PartName="/xl/charts/colors10.xml" ContentType="application/vnd.ms-office.chartcolorstyle+xml"/>
  <Override PartName="/xl/charts/chart31.xml" ContentType="application/vnd.openxmlformats-officedocument.drawingml.chart+xml"/>
  <Override PartName="/xl/charts/style11.xml" ContentType="application/vnd.ms-office.chartstyle+xml"/>
  <Override PartName="/xl/charts/colors11.xml" ContentType="application/vnd.ms-office.chartcolorstyle+xml"/>
  <Override PartName="/xl/charts/chart32.xml" ContentType="application/vnd.openxmlformats-officedocument.drawingml.chart+xml"/>
  <Override PartName="/xl/charts/style12.xml" ContentType="application/vnd.ms-office.chartstyle+xml"/>
  <Override PartName="/xl/charts/colors12.xml" ContentType="application/vnd.ms-office.chartcolorstyle+xml"/>
  <Override PartName="/xl/charts/chart33.xml" ContentType="application/vnd.openxmlformats-officedocument.drawingml.chart+xml"/>
  <Override PartName="/xl/charts/style13.xml" ContentType="application/vnd.ms-office.chartstyle+xml"/>
  <Override PartName="/xl/charts/colors13.xml" ContentType="application/vnd.ms-office.chartcolorstyle+xml"/>
  <Override PartName="/xl/charts/chart34.xml" ContentType="application/vnd.openxmlformats-officedocument.drawingml.chart+xml"/>
  <Override PartName="/xl/charts/style14.xml" ContentType="application/vnd.ms-office.chartstyle+xml"/>
  <Override PartName="/xl/charts/colors1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defaultThemeVersion="124226"/>
  <mc:AlternateContent xmlns:mc="http://schemas.openxmlformats.org/markup-compatibility/2006">
    <mc:Choice Requires="x15">
      <x15ac:absPath xmlns:x15ac="http://schemas.microsoft.com/office/spreadsheetml/2010/11/ac" url="https://d.docs.live.net/aa940f33f66e76a3/Desktop/"/>
    </mc:Choice>
  </mc:AlternateContent>
  <xr:revisionPtr revIDLastSave="18" documentId="8_{81068ABC-9DBD-47AF-A860-FA19F6E61626}" xr6:coauthVersionLast="47" xr6:coauthVersionMax="47" xr10:uidLastSave="{098947A2-62C9-4A02-9E98-900A0415C71C}"/>
  <workbookProtection workbookPassword="D880" lockStructure="1"/>
  <bookViews>
    <workbookView xWindow="5595" yWindow="-16320" windowWidth="29040" windowHeight="15720" tabRatio="684" xr2:uid="{A56A2D2A-4EF1-4AB9-9205-70110386B63D}"/>
  </bookViews>
  <sheets>
    <sheet name="Instruction" sheetId="18" r:id="rId1"/>
    <sheet name="Paste Financial Sched." sheetId="8" r:id="rId2"/>
    <sheet name="Project Info Entry" sheetId="19" r:id="rId3"/>
    <sheet name="eTool Data Results" sheetId="9" r:id="rId4"/>
    <sheet name="eTool Data Analysis" sheetId="20" r:id="rId5"/>
    <sheet name="Attachment-RfR Commt Lttr" sheetId="6" r:id="rId6"/>
    <sheet name="Trial Deposits Analysis" sheetId="10" r:id="rId7"/>
    <sheet name="Year 11+ Risk Analysis" sheetId="12" r:id="rId8"/>
    <sheet name="DSC Analysis" sheetId="13" r:id="rId9"/>
    <sheet name="Graphed Results Trial Deposits" sheetId="3" r:id="rId10"/>
    <sheet name="Version Changes" sheetId="7" r:id="rId11"/>
    <sheet name="eTool Data Engine" sheetId="15" r:id="rId12"/>
    <sheet name="Trial Deposits Engine" sheetId="1" r:id="rId13"/>
    <sheet name="Trial Dep. Projections Sumry" sheetId="4" r:id="rId14"/>
    <sheet name="Extra Worksheet" sheetId="14" r:id="rId15"/>
  </sheets>
  <definedNames>
    <definedName name="Additional_eTool_data" localSheetId="4">'eTool Data Analysis'!$B$54:$H$79</definedName>
    <definedName name="Additional_eTool_data">'eTool Data Results'!$K$72:$Q$97</definedName>
    <definedName name="Additional_eTool_vs._Trial_Dep_Anal">'Trial Deposits Analysis'!$B$78:$N$105</definedName>
    <definedName name="Data_Entry__PROPERTY_INFORMATION" localSheetId="4">'eTool Data Analysis'!$AE$29</definedName>
    <definedName name="Data_Entry__PROPERTY_INFORMATION">'eTool Data Results'!$Z$12</definedName>
    <definedName name="Data_Source" localSheetId="4">'Paste Financial Sched.'!#REF!+'Paste Financial Sched.'!$B$26:$D$243</definedName>
    <definedName name="Data_Source">'Paste Financial Sched.'!#REF!+'Paste Financial Sched.'!$B$26:$D$243</definedName>
    <definedName name="e_Tool_data_RY_11__Violations" localSheetId="4">'eTool Data Analysis'!$I$19:$I$31</definedName>
    <definedName name="e_Tool_data_RY_11__Violations">'eTool Data Results'!$R$37:$R$49</definedName>
    <definedName name="eTool_data_Amort._Test_violations" localSheetId="4">'eTool Data Analysis'!$I$34:$I$47</definedName>
    <definedName name="eTool_data_Amort._Test_violations" localSheetId="3">'eTool Data Results'!$R$52:$R$65</definedName>
    <definedName name="eTool_data_Amort._Test_violations" localSheetId="6">'Trial Deposits Analysis'!$U$79:$U$92</definedName>
    <definedName name="eTool_data_Amort._Test_violations">#REF!</definedName>
    <definedName name="eTool_data_Req.Min._Bal._violations__Yr_1_10" localSheetId="4">'eTool Data Analysis'!$I$2:$I$15</definedName>
    <definedName name="eTool_data_Req.Min._Bal._violations__Yr_1_10" localSheetId="3">'eTool Data Results'!$R$20:$R$33</definedName>
    <definedName name="eTool_data_Req.Min._Bal._violations__Yr_1_10" localSheetId="6">'Trial Deposits Analysis'!$U$47:$U$60</definedName>
    <definedName name="eTool_data_Req.Min._Bal._violations__Yr_1_10">#REF!</definedName>
    <definedName name="eTool_data_Req.Min._Bal._violations__Yr_11" localSheetId="4">'eTool Data Analysis'!$I$18:$I$31</definedName>
    <definedName name="eTool_data_Req.Min._Bal._violations__Yr_11" localSheetId="3">'eTool Data Results'!$R$36:$R$49</definedName>
    <definedName name="eTool_data_Req.Min._Bal._violations__Yr_11">#REF!</definedName>
    <definedName name="Factor_input_structuring_results">'Trial Deposits Engine'!$H$30</definedName>
    <definedName name="Graphs">'Trial Deposits Engine'!$B$154</definedName>
    <definedName name="Minimums_Analysis">'Trial Deposits Engine'!$A$121</definedName>
    <definedName name="MORTGAGE_TERMS___AMORTIZATION_TEST_PERCENTAGE" localSheetId="4">'eTool Data Analysis'!$AE$38:$AI$48</definedName>
    <definedName name="MORTGAGE_TERMS___AMORTIZATION_TEST_PERCENTAGE" localSheetId="3">'eTool Data Results'!$Z$21:$AD$31</definedName>
    <definedName name="MORTGAGE_TERMS___AMORTIZATION_TEST_PERCENTAGE" localSheetId="6">'Trial Deposits Analysis'!#REF!</definedName>
    <definedName name="MORTGAGE_TERMS___AMORTIZATION_TEST_PERCENTAGE">#REF!</definedName>
    <definedName name="Numerical_eTool_Data_A">#REF!</definedName>
    <definedName name="Numerical_eTool_Data_B">#REF!</definedName>
    <definedName name="_xlnm.Print_Area" localSheetId="5">'Attachment-RfR Commt Lttr'!$B$2:$J$45</definedName>
    <definedName name="_xlnm.Print_Area" localSheetId="4">'eTool Data Analysis'!#REF!</definedName>
    <definedName name="_xlnm.Print_Area" localSheetId="3">'eTool Data Results'!$A$1:$K$42</definedName>
    <definedName name="_xlnm.Print_Area" localSheetId="9">'Graphed Results Trial Deposits'!$B$2:$Q$81</definedName>
    <definedName name="_xlnm.Print_Area" localSheetId="13">'Trial Dep. Projections Sumry'!$B$2:$AC$26</definedName>
    <definedName name="_xlnm.Print_Area" localSheetId="6">'Trial Deposits Analysis'!$A$1:$K$43</definedName>
    <definedName name="_xlnm.Print_Area" localSheetId="12">'Trial Deposits Engine'!$B$2:$AB$127</definedName>
    <definedName name="_xlnm.Print_Area" localSheetId="10">'Version Changes'!$A$1:$F$6</definedName>
    <definedName name="_xlnm.Print_Titles" localSheetId="13">'Trial Dep. Projections Sumry'!$B:$H</definedName>
    <definedName name="_xlnm.Print_Titles" localSheetId="12">'Trial Deposits Engine'!$B:$G</definedName>
    <definedName name="RY11_eTool_Data_Analysis" localSheetId="4">'eTool Data Analysis'!$W$2:$AG$20</definedName>
    <definedName name="RY11_eTool_Data_Analysis">'eTool Data Results'!$AS$4:$BC$22</definedName>
    <definedName name="Trail_dep_Req.Min._Bal._violations__Yr_11" localSheetId="6">'Trial Deposits Analysis'!$I$45:$I$58</definedName>
    <definedName name="Trial_Dep_RMB_RY11_violations">'Trial Deposits Analysis'!$I$45:$I$58</definedName>
    <definedName name="Uninflated_Needs_iinput">'Trial Deposits Engine'!$B$73</definedName>
    <definedName name="Update_Information">'Version Changes'!$B$7:$B$21</definedName>
    <definedName name="User_Input_Choice" localSheetId="4">'eTool Data Analysis'!#REF!</definedName>
    <definedName name="User_Input_Choice" localSheetId="3">'eTool Data Results'!#REF!</definedName>
    <definedName name="User_Input_Choice" localSheetId="6">'Trial Deposits Analysis'!#REF!</definedName>
    <definedName name="User_Input_Choice">#REF!</definedName>
    <definedName name="User_inputs_that_affect_RfR_balances.____All_other_assumptions_do_not_change" localSheetId="4">'eTool Data Analysis'!#REF!</definedName>
    <definedName name="User_inputs_that_affect_RfR_balances.____All_other_assumptions_do_not_change" localSheetId="3">'eTool Data Results'!#REF!</definedName>
    <definedName name="User_inputs_that_affect_RfR_balances.____All_other_assumptions_do_not_change" localSheetId="6">'Trial Deposits Analysis'!#REF!</definedName>
    <definedName name="User_inputs_that_affect_RfR_balances.____All_other_assumptions_do_not_change">#REF!</definedName>
    <definedName name="User_lnput_Amort._Test_violations" localSheetId="6">'Trial Deposits Analysis'!$I$61:$I$74</definedName>
    <definedName name="User_lnput_Amort._Test_violations">'Trial Deposits Analysis'!HY$79:$I$74</definedName>
    <definedName name="User_Trial_Input_Req.Min._Bal._violations__Yr_1_10" localSheetId="6">'Trial Deposits Analysis'!$I$29:$I$43</definedName>
    <definedName name="User_Trial_Input_Req.Min._Bal._violations__Yr_1_10">'Trial Deposits Analysis'!$I$29:$I$42</definedName>
    <definedName name="YES_NO">'Trial Deposits Engine'!$S$3:$S$4</definedName>
    <definedName name="Yr_1_to_10_eTool_data_status" localSheetId="4">'eTool Data Analysis'!#REF!</definedName>
    <definedName name="Yr_1_to_10_eTool_data_status">'eTool Data Results'!$B$3:$J$6</definedName>
    <definedName name="Yr_11_eTool_data_status" localSheetId="4">'eTool Data Analysis'!#REF!</definedName>
    <definedName name="Yr_11_eTool_data_status">'eTool Data Results'!$B$7:$J$14</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2" i="15" l="1"/>
  <c r="F38" i="15"/>
  <c r="F40" i="15" l="1"/>
  <c r="F34" i="15"/>
  <c r="F27" i="15"/>
  <c r="F9" i="15" l="1"/>
  <c r="D26" i="13" l="1"/>
  <c r="D25" i="13"/>
  <c r="D24" i="13"/>
  <c r="P9" i="20" l="1"/>
  <c r="Q9" i="20" s="1"/>
  <c r="M9" i="20"/>
  <c r="P8" i="20"/>
  <c r="M8" i="20"/>
  <c r="P7" i="20"/>
  <c r="M7" i="20"/>
  <c r="I77" i="20"/>
  <c r="I76" i="20"/>
  <c r="I75" i="20"/>
  <c r="I74" i="20"/>
  <c r="I73" i="20"/>
  <c r="I72" i="20"/>
  <c r="I71" i="20"/>
  <c r="I70" i="20"/>
  <c r="I69" i="20"/>
  <c r="I68" i="20"/>
  <c r="I67" i="20"/>
  <c r="I66" i="20"/>
  <c r="I65" i="20"/>
  <c r="I64" i="20"/>
  <c r="I63" i="20"/>
  <c r="I62" i="20"/>
  <c r="I61" i="20"/>
  <c r="I60" i="20"/>
  <c r="I59" i="20"/>
  <c r="I58" i="20"/>
  <c r="N7" i="20" l="1"/>
  <c r="I78" i="20"/>
  <c r="R9" i="20"/>
  <c r="Q8" i="20"/>
  <c r="R8" i="20"/>
  <c r="Q7" i="20"/>
  <c r="N9" i="20"/>
  <c r="R7" i="20"/>
  <c r="N8" i="20"/>
  <c r="G32" i="6" l="1"/>
  <c r="I32" i="6" s="1"/>
  <c r="G34" i="6"/>
  <c r="I34" i="6" s="1"/>
  <c r="G35" i="6"/>
  <c r="I35" i="6" s="1"/>
  <c r="G36" i="6"/>
  <c r="I36" i="6" s="1"/>
  <c r="G38" i="6"/>
  <c r="I38" i="6" s="1"/>
  <c r="F6" i="13"/>
  <c r="F54" i="15"/>
  <c r="I78" i="1"/>
  <c r="H54" i="15"/>
  <c r="K78" i="1"/>
  <c r="C61" i="20" s="1"/>
  <c r="K54" i="15"/>
  <c r="N78" i="1"/>
  <c r="C64" i="20" s="1"/>
  <c r="M54" i="15"/>
  <c r="P78" i="1"/>
  <c r="C66" i="20" s="1"/>
  <c r="O54" i="15"/>
  <c r="R78" i="1"/>
  <c r="C68" i="20" s="1"/>
  <c r="S78" i="1"/>
  <c r="U78" i="1"/>
  <c r="V78" i="1"/>
  <c r="C72" i="20" s="1"/>
  <c r="U54" i="15"/>
  <c r="X78" i="1"/>
  <c r="C74" i="20" s="1"/>
  <c r="Y78" i="1"/>
  <c r="C75" i="20" s="1"/>
  <c r="Z78" i="1"/>
  <c r="C76" i="20" s="1"/>
  <c r="Y54" i="15"/>
  <c r="F10" i="15"/>
  <c r="H78" i="1"/>
  <c r="C58" i="20" s="1"/>
  <c r="L78" i="1"/>
  <c r="C62" i="20" s="1"/>
  <c r="T78" i="1"/>
  <c r="C70" i="20" s="1"/>
  <c r="C22" i="15"/>
  <c r="V39" i="15"/>
  <c r="R39" i="15"/>
  <c r="J39" i="15"/>
  <c r="I26" i="1"/>
  <c r="W33" i="15"/>
  <c r="T33" i="15"/>
  <c r="O33" i="15"/>
  <c r="K33" i="15"/>
  <c r="X28" i="15"/>
  <c r="P28" i="15"/>
  <c r="L28" i="15"/>
  <c r="H28" i="15"/>
  <c r="G28" i="15"/>
  <c r="F29" i="15" s="1"/>
  <c r="E26" i="15"/>
  <c r="V18" i="15"/>
  <c r="E74" i="20" s="1"/>
  <c r="E28" i="20" s="1"/>
  <c r="U18" i="15"/>
  <c r="E73" i="20" s="1"/>
  <c r="E27" i="20" s="1"/>
  <c r="R18" i="15"/>
  <c r="E70" i="20" s="1"/>
  <c r="E24" i="20" s="1"/>
  <c r="Q18" i="15"/>
  <c r="E69" i="20" s="1"/>
  <c r="E23" i="20" s="1"/>
  <c r="O18" i="15"/>
  <c r="E67" i="20" s="1"/>
  <c r="E15" i="20" s="1"/>
  <c r="M18" i="15"/>
  <c r="E65" i="20" s="1"/>
  <c r="E13" i="20" s="1"/>
  <c r="K18" i="15"/>
  <c r="E63" i="20" s="1"/>
  <c r="E11" i="20" s="1"/>
  <c r="J18" i="15"/>
  <c r="E62" i="20" s="1"/>
  <c r="E10" i="20" s="1"/>
  <c r="I18" i="15"/>
  <c r="E61" i="20" s="1"/>
  <c r="E9" i="20" s="1"/>
  <c r="G18" i="15"/>
  <c r="F18" i="15"/>
  <c r="E58" i="20" s="1"/>
  <c r="E6" i="20" s="1"/>
  <c r="W17" i="15"/>
  <c r="V17" i="15"/>
  <c r="S17" i="15"/>
  <c r="R17" i="15"/>
  <c r="O17" i="15"/>
  <c r="N17" i="15"/>
  <c r="K17" i="15"/>
  <c r="J17" i="15"/>
  <c r="H17" i="15"/>
  <c r="G17" i="15"/>
  <c r="F17" i="15"/>
  <c r="E54" i="15"/>
  <c r="X9" i="15"/>
  <c r="X10" i="15" s="1"/>
  <c r="T9" i="15"/>
  <c r="T10" i="15" s="1"/>
  <c r="R9" i="15"/>
  <c r="R10" i="15" s="1"/>
  <c r="P9" i="15"/>
  <c r="P10" i="15" s="1"/>
  <c r="M9" i="15"/>
  <c r="M10" i="15" s="1"/>
  <c r="K9" i="15"/>
  <c r="K10" i="15" s="1"/>
  <c r="I9" i="15"/>
  <c r="I10" i="15" s="1"/>
  <c r="G9" i="15"/>
  <c r="G10" i="15" s="1"/>
  <c r="Y8" i="15"/>
  <c r="Y43" i="15" s="1"/>
  <c r="V55" i="15"/>
  <c r="U55" i="15"/>
  <c r="S55" i="15"/>
  <c r="R8" i="15"/>
  <c r="R43" i="15" s="1"/>
  <c r="Q8" i="15"/>
  <c r="Q43" i="15" s="1"/>
  <c r="N55" i="15"/>
  <c r="M55" i="15"/>
  <c r="K55" i="15"/>
  <c r="J8" i="15"/>
  <c r="J43" i="15" s="1"/>
  <c r="I8" i="15"/>
  <c r="I43" i="15" s="1"/>
  <c r="G8" i="15"/>
  <c r="G43" i="15" s="1"/>
  <c r="F55" i="15"/>
  <c r="E47" i="15"/>
  <c r="E43" i="15"/>
  <c r="C18" i="15"/>
  <c r="E15" i="15" s="1"/>
  <c r="E44" i="15" s="1"/>
  <c r="C16" i="15"/>
  <c r="C15" i="15"/>
  <c r="C14" i="15"/>
  <c r="N39" i="15"/>
  <c r="E37" i="15"/>
  <c r="S33" i="15"/>
  <c r="Y18" i="15"/>
  <c r="X18" i="15"/>
  <c r="W18" i="15"/>
  <c r="E75" i="20" s="1"/>
  <c r="E29" i="20" s="1"/>
  <c r="T18" i="15"/>
  <c r="S18" i="15"/>
  <c r="E71" i="20" s="1"/>
  <c r="E25" i="20" s="1"/>
  <c r="P18" i="15"/>
  <c r="N18" i="15"/>
  <c r="L18" i="15"/>
  <c r="E64" i="20" s="1"/>
  <c r="E12" i="20" s="1"/>
  <c r="H18" i="15"/>
  <c r="Y17" i="15"/>
  <c r="X17" i="15"/>
  <c r="U17" i="15"/>
  <c r="T17" i="15"/>
  <c r="Q17" i="15"/>
  <c r="P17" i="15"/>
  <c r="M17" i="15"/>
  <c r="L17" i="15"/>
  <c r="I17" i="15"/>
  <c r="X54" i="15"/>
  <c r="R54" i="15"/>
  <c r="J54" i="15"/>
  <c r="U9" i="15"/>
  <c r="U10" i="15" s="1"/>
  <c r="X55" i="15"/>
  <c r="T55" i="15"/>
  <c r="Q55" i="15"/>
  <c r="P55" i="15"/>
  <c r="L55" i="15"/>
  <c r="H55" i="15"/>
  <c r="T28" i="15"/>
  <c r="L9" i="15"/>
  <c r="L10" i="15" s="1"/>
  <c r="V9" i="15"/>
  <c r="V10" i="15" s="1"/>
  <c r="Q9" i="15"/>
  <c r="Q10" i="15" s="1"/>
  <c r="L8" i="15"/>
  <c r="L43" i="15" s="1"/>
  <c r="T8" i="15"/>
  <c r="T43" i="15" s="1"/>
  <c r="C20" i="15"/>
  <c r="I20" i="6" s="1"/>
  <c r="U8" i="15"/>
  <c r="U43" i="15" s="1"/>
  <c r="H8" i="15"/>
  <c r="H43" i="15" s="1"/>
  <c r="P8" i="15"/>
  <c r="P43" i="15" s="1"/>
  <c r="X8" i="15"/>
  <c r="X43" i="15" s="1"/>
  <c r="E14" i="6"/>
  <c r="E13" i="6"/>
  <c r="E12" i="6"/>
  <c r="E11" i="6"/>
  <c r="F21" i="13"/>
  <c r="F20" i="13"/>
  <c r="F19" i="13"/>
  <c r="F18" i="13"/>
  <c r="F17" i="13"/>
  <c r="F16" i="13"/>
  <c r="B32" i="12"/>
  <c r="B31" i="12"/>
  <c r="B30" i="12"/>
  <c r="B29" i="12"/>
  <c r="R59" i="1"/>
  <c r="S6" i="4" s="1"/>
  <c r="S30" i="4" s="1"/>
  <c r="G27" i="6"/>
  <c r="G26" i="6"/>
  <c r="G25" i="6"/>
  <c r="K2" i="4"/>
  <c r="D2" i="4"/>
  <c r="G112" i="1"/>
  <c r="P20" i="1"/>
  <c r="P18" i="1"/>
  <c r="P16" i="1"/>
  <c r="P14" i="1"/>
  <c r="H112" i="1" s="1"/>
  <c r="P8" i="1"/>
  <c r="P10" i="1" s="1"/>
  <c r="P6" i="1"/>
  <c r="E10" i="6"/>
  <c r="E9" i="6"/>
  <c r="B82" i="10"/>
  <c r="O7" i="10"/>
  <c r="R26" i="4"/>
  <c r="Q122" i="1"/>
  <c r="Q121" i="1"/>
  <c r="C17" i="4"/>
  <c r="R212" i="1"/>
  <c r="AA212" i="1"/>
  <c r="Z212" i="1"/>
  <c r="Y212" i="1"/>
  <c r="X212" i="1"/>
  <c r="H75" i="1"/>
  <c r="H77" i="1" s="1"/>
  <c r="L17" i="4"/>
  <c r="O17" i="4"/>
  <c r="G37" i="6"/>
  <c r="I37" i="6" s="1"/>
  <c r="G33" i="6"/>
  <c r="I33" i="6" s="1"/>
  <c r="G31" i="6"/>
  <c r="I31" i="6" s="1"/>
  <c r="G39" i="6"/>
  <c r="I39" i="6" s="1"/>
  <c r="E30" i="6"/>
  <c r="E31" i="6" s="1"/>
  <c r="E32" i="6" s="1"/>
  <c r="E33" i="6" s="1"/>
  <c r="E34" i="6" s="1"/>
  <c r="E35" i="6" s="1"/>
  <c r="E36" i="6" s="1"/>
  <c r="E37" i="6" s="1"/>
  <c r="E38" i="6" s="1"/>
  <c r="E39" i="6" s="1"/>
  <c r="G28" i="4"/>
  <c r="C14" i="4"/>
  <c r="R19" i="4"/>
  <c r="Q19" i="4"/>
  <c r="P19" i="4"/>
  <c r="O19" i="4"/>
  <c r="N19" i="4"/>
  <c r="M19" i="4"/>
  <c r="L19" i="4"/>
  <c r="J19" i="4"/>
  <c r="I19" i="4"/>
  <c r="K19" i="4"/>
  <c r="R22" i="4"/>
  <c r="Q22" i="4"/>
  <c r="P22" i="4"/>
  <c r="O22" i="4"/>
  <c r="N22" i="4"/>
  <c r="M22" i="4"/>
  <c r="L22" i="4"/>
  <c r="K22" i="4"/>
  <c r="J22" i="4"/>
  <c r="I22" i="4"/>
  <c r="C8" i="4"/>
  <c r="C5" i="4"/>
  <c r="I4" i="4"/>
  <c r="J4" i="4"/>
  <c r="K4" i="4"/>
  <c r="L4" i="4"/>
  <c r="M4" i="4"/>
  <c r="N4" i="4"/>
  <c r="O4" i="4"/>
  <c r="P4" i="4"/>
  <c r="Q4" i="4"/>
  <c r="R4" i="4"/>
  <c r="S4" i="4"/>
  <c r="T4" i="4"/>
  <c r="U4" i="4"/>
  <c r="V4" i="4"/>
  <c r="W4" i="4"/>
  <c r="X4" i="4"/>
  <c r="Y4" i="4"/>
  <c r="Z4" i="4"/>
  <c r="AA4" i="4"/>
  <c r="AB4" i="4"/>
  <c r="AC5" i="4"/>
  <c r="R23" i="4"/>
  <c r="Q23" i="4"/>
  <c r="P23" i="4"/>
  <c r="O23" i="4"/>
  <c r="N23" i="4"/>
  <c r="M23" i="4"/>
  <c r="L23" i="4"/>
  <c r="K23" i="4"/>
  <c r="J23" i="4"/>
  <c r="I23" i="4"/>
  <c r="G23" i="4"/>
  <c r="C23" i="4"/>
  <c r="F22" i="4"/>
  <c r="C21" i="4"/>
  <c r="Z17" i="4"/>
  <c r="W17" i="4"/>
  <c r="C13" i="4"/>
  <c r="C12" i="4"/>
  <c r="C11" i="4"/>
  <c r="C10" i="4"/>
  <c r="C9" i="4"/>
  <c r="C7" i="4"/>
  <c r="C6" i="4"/>
  <c r="G254" i="1"/>
  <c r="G253" i="1"/>
  <c r="G248" i="1"/>
  <c r="G246" i="1"/>
  <c r="G252" i="1" s="1"/>
  <c r="G258" i="1" s="1"/>
  <c r="G247" i="1"/>
  <c r="G121" i="1"/>
  <c r="C92" i="1"/>
  <c r="C101" i="1" s="1"/>
  <c r="C91" i="1"/>
  <c r="C100" i="1" s="1"/>
  <c r="C90" i="1"/>
  <c r="C99" i="1" s="1"/>
  <c r="G217" i="1"/>
  <c r="G216" i="1"/>
  <c r="W212" i="1"/>
  <c r="V212" i="1"/>
  <c r="U212" i="1"/>
  <c r="T212" i="1"/>
  <c r="S212" i="1"/>
  <c r="Q212" i="1"/>
  <c r="P212" i="1"/>
  <c r="O212" i="1"/>
  <c r="N212" i="1"/>
  <c r="M212" i="1"/>
  <c r="L212" i="1"/>
  <c r="K212" i="1"/>
  <c r="J212" i="1"/>
  <c r="I212" i="1"/>
  <c r="H212" i="1"/>
  <c r="G212" i="1"/>
  <c r="G211" i="1"/>
  <c r="G210" i="1"/>
  <c r="G209" i="1"/>
  <c r="G208" i="1"/>
  <c r="G221" i="1" s="1"/>
  <c r="G236" i="1"/>
  <c r="G235" i="1"/>
  <c r="G226" i="1"/>
  <c r="G234" i="1" s="1"/>
  <c r="G245" i="1" s="1"/>
  <c r="G251" i="1" s="1"/>
  <c r="G257" i="1" s="1"/>
  <c r="G230" i="1"/>
  <c r="G229" i="1"/>
  <c r="G228" i="1"/>
  <c r="G227" i="1"/>
  <c r="H67" i="1"/>
  <c r="H99" i="1"/>
  <c r="H90" i="1"/>
  <c r="H91" i="1" s="1"/>
  <c r="H100" i="1" l="1"/>
  <c r="G215" i="1"/>
  <c r="G64" i="20"/>
  <c r="C12" i="20"/>
  <c r="G12" i="20" s="1"/>
  <c r="I12" i="20" s="1"/>
  <c r="G72" i="20"/>
  <c r="C26" i="20"/>
  <c r="H47" i="15"/>
  <c r="E60" i="20"/>
  <c r="E8" i="20" s="1"/>
  <c r="E102" i="10"/>
  <c r="E58" i="10" s="1"/>
  <c r="E77" i="20"/>
  <c r="E31" i="20" s="1"/>
  <c r="G58" i="20"/>
  <c r="C6" i="20"/>
  <c r="I6" i="20" s="1"/>
  <c r="G63" i="20"/>
  <c r="C11" i="20"/>
  <c r="G11" i="20" s="1"/>
  <c r="I11" i="20" s="1"/>
  <c r="G71" i="20"/>
  <c r="C25" i="20"/>
  <c r="G25" i="20" s="1"/>
  <c r="I25" i="20" s="1"/>
  <c r="G56" i="15"/>
  <c r="E59" i="20"/>
  <c r="E7" i="20" s="1"/>
  <c r="V12" i="4"/>
  <c r="V38" i="4" s="1"/>
  <c r="C71" i="20"/>
  <c r="G65" i="20"/>
  <c r="C13" i="20"/>
  <c r="G13" i="20" s="1"/>
  <c r="I13" i="20" s="1"/>
  <c r="G98" i="10"/>
  <c r="G73" i="20"/>
  <c r="C27" i="20"/>
  <c r="G27" i="20" s="1"/>
  <c r="I27" i="20" s="1"/>
  <c r="T47" i="15"/>
  <c r="E72" i="20"/>
  <c r="E26" i="20" s="1"/>
  <c r="G59" i="20"/>
  <c r="C7" i="20"/>
  <c r="I7" i="20" s="1"/>
  <c r="G66" i="20"/>
  <c r="C14" i="20"/>
  <c r="G74" i="20"/>
  <c r="C28" i="20"/>
  <c r="G28" i="20" s="1"/>
  <c r="I28" i="20" s="1"/>
  <c r="T12" i="4"/>
  <c r="T38" i="4" s="1"/>
  <c r="C69" i="20"/>
  <c r="G68" i="20"/>
  <c r="C22" i="20"/>
  <c r="G76" i="20"/>
  <c r="C30" i="20"/>
  <c r="N56" i="15"/>
  <c r="E66" i="20"/>
  <c r="E14" i="20" s="1"/>
  <c r="G60" i="20"/>
  <c r="C8" i="20"/>
  <c r="G67" i="20"/>
  <c r="C15" i="20"/>
  <c r="G15" i="20" s="1"/>
  <c r="I15" i="20" s="1"/>
  <c r="G75" i="20"/>
  <c r="C29" i="20"/>
  <c r="G29" i="20" s="1"/>
  <c r="I29" i="20" s="1"/>
  <c r="J12" i="4"/>
  <c r="J38" i="4" s="1"/>
  <c r="C59" i="20"/>
  <c r="G61" i="20"/>
  <c r="C9" i="20"/>
  <c r="G9" i="20" s="1"/>
  <c r="I9" i="20" s="1"/>
  <c r="G69" i="20"/>
  <c r="C23" i="20"/>
  <c r="G23" i="20" s="1"/>
  <c r="I23" i="20" s="1"/>
  <c r="G77" i="20"/>
  <c r="C31" i="20"/>
  <c r="P47" i="15"/>
  <c r="E68" i="20"/>
  <c r="E22" i="20" s="1"/>
  <c r="X47" i="15"/>
  <c r="E76" i="20"/>
  <c r="E30" i="20" s="1"/>
  <c r="G62" i="20"/>
  <c r="C10" i="20"/>
  <c r="G10" i="20" s="1"/>
  <c r="I10" i="20" s="1"/>
  <c r="G70" i="20"/>
  <c r="C24" i="20"/>
  <c r="G24" i="20" s="1"/>
  <c r="I24" i="20" s="1"/>
  <c r="C24" i="6"/>
  <c r="M12" i="4"/>
  <c r="M38" i="4" s="1"/>
  <c r="G102" i="10"/>
  <c r="E101" i="10"/>
  <c r="E57" i="10" s="1"/>
  <c r="C87" i="10"/>
  <c r="G86" i="10"/>
  <c r="X56" i="15"/>
  <c r="G90" i="10"/>
  <c r="T56" i="15"/>
  <c r="X22" i="15"/>
  <c r="X23" i="15" s="1"/>
  <c r="Y56" i="15"/>
  <c r="G95" i="10"/>
  <c r="U12" i="4"/>
  <c r="U38" i="4" s="1"/>
  <c r="C95" i="10"/>
  <c r="Q12" i="10"/>
  <c r="Y9" i="15"/>
  <c r="Y10" i="15" s="1"/>
  <c r="H9" i="15"/>
  <c r="H10" i="15" s="1"/>
  <c r="G55" i="15"/>
  <c r="I55" i="15"/>
  <c r="Y55" i="15"/>
  <c r="N54" i="15"/>
  <c r="V54" i="15"/>
  <c r="Q22" i="15"/>
  <c r="Q23" i="15" s="1"/>
  <c r="J9" i="15"/>
  <c r="J10" i="15" s="1"/>
  <c r="N9" i="15"/>
  <c r="N10" i="15" s="1"/>
  <c r="S9" i="15"/>
  <c r="S10" i="15" s="1"/>
  <c r="W9" i="15"/>
  <c r="W10" i="15" s="1"/>
  <c r="M28" i="15"/>
  <c r="R28" i="15"/>
  <c r="X33" i="15"/>
  <c r="P39" i="15"/>
  <c r="W39" i="15"/>
  <c r="J78" i="1"/>
  <c r="C60" i="20" s="1"/>
  <c r="O9" i="15"/>
  <c r="O10" i="15" s="1"/>
  <c r="C101" i="10"/>
  <c r="W12" i="4"/>
  <c r="W38" i="4" s="1"/>
  <c r="C89" i="10"/>
  <c r="O12" i="4"/>
  <c r="O38" i="4" s="1"/>
  <c r="AA12" i="4"/>
  <c r="AA38" i="4" s="1"/>
  <c r="C97" i="10"/>
  <c r="F23" i="15"/>
  <c r="G83" i="10"/>
  <c r="N19" i="15"/>
  <c r="N24" i="15" s="1"/>
  <c r="G91" i="10"/>
  <c r="G99" i="10"/>
  <c r="I22" i="15"/>
  <c r="I23" i="15" s="1"/>
  <c r="I56" i="15"/>
  <c r="E86" i="10"/>
  <c r="E36" i="10" s="1"/>
  <c r="M56" i="15"/>
  <c r="E90" i="10"/>
  <c r="E40" i="10" s="1"/>
  <c r="M19" i="15"/>
  <c r="M24" i="15" s="1"/>
  <c r="M47" i="15"/>
  <c r="M22" i="15"/>
  <c r="M23" i="15" s="1"/>
  <c r="Q56" i="15"/>
  <c r="E94" i="10"/>
  <c r="E50" i="10" s="1"/>
  <c r="Q47" i="15"/>
  <c r="Q19" i="15"/>
  <c r="C39" i="20" s="1"/>
  <c r="U22" i="15"/>
  <c r="U23" i="15" s="1"/>
  <c r="U56" i="15"/>
  <c r="E98" i="10"/>
  <c r="E54" i="10" s="1"/>
  <c r="U47" i="15"/>
  <c r="I25" i="6"/>
  <c r="C5" i="10"/>
  <c r="C6" i="10" s="1"/>
  <c r="I24" i="1" s="1"/>
  <c r="U19" i="15"/>
  <c r="C43" i="20" s="1"/>
  <c r="N22" i="15"/>
  <c r="N23" i="15" s="1"/>
  <c r="E97" i="10"/>
  <c r="E53" i="10" s="1"/>
  <c r="E85" i="10"/>
  <c r="E35" i="10" s="1"/>
  <c r="M8" i="15"/>
  <c r="M43" i="15" s="1"/>
  <c r="L54" i="15"/>
  <c r="T54" i="15"/>
  <c r="I28" i="15"/>
  <c r="J28" i="1" s="1"/>
  <c r="U28" i="15"/>
  <c r="Y28" i="15"/>
  <c r="H33" i="15"/>
  <c r="F33" i="15" s="1"/>
  <c r="E5" i="10" s="1"/>
  <c r="E6" i="10" s="1"/>
  <c r="K24" i="1" s="1"/>
  <c r="L33" i="15"/>
  <c r="P33" i="15"/>
  <c r="K39" i="15"/>
  <c r="S39" i="15"/>
  <c r="C91" i="10"/>
  <c r="Q12" i="4"/>
  <c r="Q38" i="4" s="1"/>
  <c r="I12" i="4"/>
  <c r="I38" i="4" s="1"/>
  <c r="I54" i="4" s="1"/>
  <c r="G87" i="10"/>
  <c r="V8" i="15"/>
  <c r="V43" i="15" s="1"/>
  <c r="Y19" i="15"/>
  <c r="C47" i="20" s="1"/>
  <c r="Y22" i="15"/>
  <c r="Y23" i="15" s="1"/>
  <c r="G54" i="15"/>
  <c r="M78" i="1"/>
  <c r="Y47" i="15"/>
  <c r="G94" i="10"/>
  <c r="E93" i="10"/>
  <c r="E49" i="10" s="1"/>
  <c r="F8" i="15"/>
  <c r="F43" i="15" s="1"/>
  <c r="H56" i="15"/>
  <c r="P54" i="15"/>
  <c r="W54" i="15"/>
  <c r="G23" i="15"/>
  <c r="G84" i="10"/>
  <c r="G88" i="10"/>
  <c r="G92" i="10"/>
  <c r="G96" i="10"/>
  <c r="G100" i="10"/>
  <c r="F19" i="15"/>
  <c r="F24" i="15" s="1"/>
  <c r="F47" i="15"/>
  <c r="F22" i="15"/>
  <c r="F56" i="15"/>
  <c r="E83" i="10"/>
  <c r="E33" i="10" s="1"/>
  <c r="J22" i="15"/>
  <c r="J23" i="15" s="1"/>
  <c r="J56" i="15"/>
  <c r="E87" i="10"/>
  <c r="E37" i="10" s="1"/>
  <c r="J47" i="15"/>
  <c r="J19" i="15"/>
  <c r="J24" i="15" s="1"/>
  <c r="R22" i="15"/>
  <c r="R23" i="15" s="1"/>
  <c r="R47" i="15"/>
  <c r="R19" i="15"/>
  <c r="C40" i="20" s="1"/>
  <c r="R56" i="15"/>
  <c r="E95" i="10"/>
  <c r="E51" i="10" s="1"/>
  <c r="V56" i="15"/>
  <c r="V22" i="15"/>
  <c r="V23" i="15" s="1"/>
  <c r="E99" i="10"/>
  <c r="E55" i="10" s="1"/>
  <c r="V19" i="15"/>
  <c r="C44" i="20" s="1"/>
  <c r="V47" i="15"/>
  <c r="C100" i="10"/>
  <c r="Z12" i="4"/>
  <c r="Z38" i="4" s="1"/>
  <c r="S12" i="4"/>
  <c r="S38" i="4" s="1"/>
  <c r="Y12" i="4"/>
  <c r="Y38" i="4" s="1"/>
  <c r="C83" i="10"/>
  <c r="C99" i="10"/>
  <c r="I19" i="15"/>
  <c r="I24" i="15" s="1"/>
  <c r="I47" i="15"/>
  <c r="Q28" i="15"/>
  <c r="R55" i="15"/>
  <c r="S54" i="15"/>
  <c r="O39" i="15"/>
  <c r="S28" i="15"/>
  <c r="Y33" i="15"/>
  <c r="H39" i="15"/>
  <c r="J26" i="1" s="1"/>
  <c r="M39" i="15"/>
  <c r="Q39" i="15"/>
  <c r="Q78" i="1"/>
  <c r="C93" i="10"/>
  <c r="Q30" i="1"/>
  <c r="H98" i="1" s="1"/>
  <c r="N8" i="15"/>
  <c r="N43" i="15" s="1"/>
  <c r="H73" i="1"/>
  <c r="E91" i="10"/>
  <c r="E41" i="10" s="1"/>
  <c r="N47" i="15"/>
  <c r="J55" i="15"/>
  <c r="H22" i="15"/>
  <c r="H23" i="15" s="1"/>
  <c r="G85" i="10"/>
  <c r="H19" i="15"/>
  <c r="H24" i="15" s="1"/>
  <c r="O8" i="15"/>
  <c r="O43" i="15" s="1"/>
  <c r="O55" i="15"/>
  <c r="W55" i="15"/>
  <c r="W8" i="15"/>
  <c r="W43" i="15" s="1"/>
  <c r="L19" i="15"/>
  <c r="L24" i="15" s="1"/>
  <c r="G89" i="10"/>
  <c r="L22" i="15"/>
  <c r="L23" i="15" s="1"/>
  <c r="T19" i="15"/>
  <c r="C42" i="20" s="1"/>
  <c r="G97" i="10"/>
  <c r="T22" i="15"/>
  <c r="T23" i="15" s="1"/>
  <c r="W47" i="15"/>
  <c r="W56" i="15"/>
  <c r="W19" i="15"/>
  <c r="C45" i="20" s="1"/>
  <c r="W22" i="15"/>
  <c r="W23" i="15" s="1"/>
  <c r="E100" i="10"/>
  <c r="E56" i="10" s="1"/>
  <c r="L47" i="15"/>
  <c r="E89" i="10"/>
  <c r="E39" i="10" s="1"/>
  <c r="L56" i="15"/>
  <c r="C94" i="10"/>
  <c r="L12" i="4"/>
  <c r="L38" i="4" s="1"/>
  <c r="C86" i="10"/>
  <c r="P22" i="15"/>
  <c r="P23" i="15" s="1"/>
  <c r="P19" i="15"/>
  <c r="C38" i="20" s="1"/>
  <c r="G93" i="10"/>
  <c r="X19" i="15"/>
  <c r="C46" i="20" s="1"/>
  <c r="S47" i="15"/>
  <c r="S19" i="15"/>
  <c r="C41" i="20" s="1"/>
  <c r="S22" i="15"/>
  <c r="S23" i="15" s="1"/>
  <c r="S56" i="15"/>
  <c r="E96" i="10"/>
  <c r="E52" i="10" s="1"/>
  <c r="E40" i="6"/>
  <c r="G101" i="10"/>
  <c r="C10" i="10"/>
  <c r="C11" i="10" s="1"/>
  <c r="O8" i="10" s="1"/>
  <c r="K8" i="15"/>
  <c r="K43" i="15" s="1"/>
  <c r="S8" i="15"/>
  <c r="S43" i="15" s="1"/>
  <c r="P56" i="15"/>
  <c r="AA78" i="1"/>
  <c r="C77" i="20" s="1"/>
  <c r="W78" i="1"/>
  <c r="C73" i="20" s="1"/>
  <c r="O78" i="1"/>
  <c r="C65" i="20" s="1"/>
  <c r="G22" i="15"/>
  <c r="G47" i="15"/>
  <c r="G19" i="15"/>
  <c r="G24" i="15" s="1"/>
  <c r="E84" i="10"/>
  <c r="E34" i="10" s="1"/>
  <c r="K19" i="15"/>
  <c r="K24" i="15" s="1"/>
  <c r="E88" i="10"/>
  <c r="E38" i="10" s="1"/>
  <c r="K56" i="15"/>
  <c r="K22" i="15"/>
  <c r="K23" i="15" s="1"/>
  <c r="K47" i="15"/>
  <c r="E92" i="10"/>
  <c r="E42" i="10" s="1"/>
  <c r="O47" i="15"/>
  <c r="O19" i="15"/>
  <c r="O24" i="15" s="1"/>
  <c r="O56" i="15"/>
  <c r="I28" i="1"/>
  <c r="J28" i="15"/>
  <c r="K28" i="15"/>
  <c r="O28" i="15"/>
  <c r="N28" i="15"/>
  <c r="W28" i="15"/>
  <c r="V28" i="15"/>
  <c r="J33" i="15"/>
  <c r="I33" i="15"/>
  <c r="I27" i="6"/>
  <c r="N33" i="15"/>
  <c r="M33" i="15"/>
  <c r="R33" i="15"/>
  <c r="Q33" i="15"/>
  <c r="U33" i="15"/>
  <c r="V33" i="15"/>
  <c r="T39" i="15"/>
  <c r="U39" i="15"/>
  <c r="X39" i="15"/>
  <c r="Y39" i="15"/>
  <c r="Q54" i="15"/>
  <c r="I54" i="15"/>
  <c r="G6" i="13"/>
  <c r="E6" i="13"/>
  <c r="C21" i="15"/>
  <c r="H6" i="13"/>
  <c r="G30" i="6"/>
  <c r="O22" i="15"/>
  <c r="O23" i="15" s="1"/>
  <c r="I39" i="15"/>
  <c r="L39" i="15"/>
  <c r="D7" i="13"/>
  <c r="F11" i="13" s="1"/>
  <c r="F13" i="13" s="1"/>
  <c r="C96" i="10"/>
  <c r="C84" i="10"/>
  <c r="U13" i="15"/>
  <c r="G13" i="15"/>
  <c r="M13" i="15"/>
  <c r="X13" i="15"/>
  <c r="H58" i="1"/>
  <c r="H57" i="1" s="1"/>
  <c r="F13" i="15"/>
  <c r="Q20" i="1"/>
  <c r="T13" i="15"/>
  <c r="C17" i="15"/>
  <c r="Q12" i="15" s="1"/>
  <c r="K13" i="15"/>
  <c r="Q13" i="15"/>
  <c r="I13" i="15"/>
  <c r="L13" i="15"/>
  <c r="R13" i="15"/>
  <c r="P13" i="15"/>
  <c r="V13" i="15"/>
  <c r="I112" i="1"/>
  <c r="G6" i="20" l="1"/>
  <c r="G22" i="20"/>
  <c r="I22" i="20" s="1"/>
  <c r="G8" i="20"/>
  <c r="I8" i="20" s="1"/>
  <c r="J54" i="4"/>
  <c r="O6" i="10"/>
  <c r="I14" i="1"/>
  <c r="G14" i="20"/>
  <c r="I14" i="20" s="1"/>
  <c r="G31" i="20"/>
  <c r="I31" i="20" s="1"/>
  <c r="G26" i="20"/>
  <c r="I26" i="20" s="1"/>
  <c r="G30" i="20"/>
  <c r="I30" i="20" s="1"/>
  <c r="G7" i="20"/>
  <c r="C92" i="10"/>
  <c r="C67" i="20"/>
  <c r="N12" i="4"/>
  <c r="N38" i="4" s="1"/>
  <c r="C63" i="20"/>
  <c r="H226" i="1"/>
  <c r="H234" i="1" s="1"/>
  <c r="H245" i="1" s="1"/>
  <c r="B6" i="20"/>
  <c r="G12" i="15"/>
  <c r="R11" i="15"/>
  <c r="F28" i="15"/>
  <c r="K28" i="1" s="1"/>
  <c r="H61" i="1" s="1"/>
  <c r="H13" i="15"/>
  <c r="O13" i="15"/>
  <c r="J13" i="15"/>
  <c r="N13" i="15"/>
  <c r="W13" i="15"/>
  <c r="C88" i="10"/>
  <c r="C85" i="10"/>
  <c r="K12" i="4"/>
  <c r="K38" i="4" s="1"/>
  <c r="K54" i="4" s="1"/>
  <c r="L54" i="4" s="1"/>
  <c r="M54" i="4" s="1"/>
  <c r="Y13" i="15"/>
  <c r="S13" i="15"/>
  <c r="E10" i="10"/>
  <c r="G5" i="10"/>
  <c r="U24" i="15"/>
  <c r="Y24" i="15"/>
  <c r="I26" i="6"/>
  <c r="Q24" i="15"/>
  <c r="R12" i="4"/>
  <c r="R38" i="4" s="1"/>
  <c r="R24" i="15"/>
  <c r="AB78" i="1"/>
  <c r="AC12" i="4" s="1"/>
  <c r="I98" i="1"/>
  <c r="J98" i="1" s="1"/>
  <c r="K98" i="1" s="1"/>
  <c r="L98" i="1" s="1"/>
  <c r="M98" i="1" s="1"/>
  <c r="N98" i="1" s="1"/>
  <c r="O98" i="1" s="1"/>
  <c r="P98" i="1" s="1"/>
  <c r="Q98" i="1" s="1"/>
  <c r="R98" i="1" s="1"/>
  <c r="S98" i="1" s="1"/>
  <c r="T98" i="1" s="1"/>
  <c r="U98" i="1" s="1"/>
  <c r="V98" i="1" s="1"/>
  <c r="W98" i="1" s="1"/>
  <c r="X98" i="1" s="1"/>
  <c r="Y98" i="1" s="1"/>
  <c r="Z98" i="1" s="1"/>
  <c r="AA98" i="1" s="1"/>
  <c r="H101" i="1"/>
  <c r="H102" i="1" s="1"/>
  <c r="V24" i="15"/>
  <c r="H235" i="1"/>
  <c r="H76" i="1"/>
  <c r="H216" i="1"/>
  <c r="C23" i="15"/>
  <c r="K69" i="20" s="1"/>
  <c r="D6" i="13"/>
  <c r="C98" i="10"/>
  <c r="X12" i="4"/>
  <c r="X38" i="4" s="1"/>
  <c r="P24" i="15"/>
  <c r="C90" i="10"/>
  <c r="P12" i="4"/>
  <c r="P38" i="4" s="1"/>
  <c r="S24" i="15"/>
  <c r="C102" i="10"/>
  <c r="AB12" i="4"/>
  <c r="AB38" i="4" s="1"/>
  <c r="X24" i="15"/>
  <c r="AB83" i="1"/>
  <c r="AB212" i="1" s="1"/>
  <c r="T24" i="15"/>
  <c r="W24" i="15"/>
  <c r="G40" i="6"/>
  <c r="I30" i="6"/>
  <c r="H208" i="1"/>
  <c r="H221" i="1" s="1"/>
  <c r="W12" i="15"/>
  <c r="H251" i="1"/>
  <c r="H257" i="1" s="1"/>
  <c r="R12" i="15"/>
  <c r="G11" i="15"/>
  <c r="H113" i="1"/>
  <c r="H116" i="1" s="1"/>
  <c r="I24" i="4" s="1"/>
  <c r="O12" i="15"/>
  <c r="I5" i="4"/>
  <c r="I61" i="4" s="1"/>
  <c r="V11" i="15"/>
  <c r="U12" i="15"/>
  <c r="N12" i="15"/>
  <c r="I58" i="1"/>
  <c r="I113" i="1" s="1"/>
  <c r="L11" i="15"/>
  <c r="T12" i="15"/>
  <c r="V12" i="15"/>
  <c r="H12" i="15"/>
  <c r="U11" i="15"/>
  <c r="T11" i="15"/>
  <c r="X12" i="15"/>
  <c r="Y11" i="15"/>
  <c r="X11" i="15"/>
  <c r="K12" i="15"/>
  <c r="F11" i="15"/>
  <c r="I11" i="15"/>
  <c r="N11" i="15"/>
  <c r="I12" i="15"/>
  <c r="J11" i="15"/>
  <c r="M12" i="15"/>
  <c r="Y12" i="15"/>
  <c r="W11" i="15"/>
  <c r="P11" i="15"/>
  <c r="P12" i="15"/>
  <c r="F12" i="15"/>
  <c r="M11" i="15"/>
  <c r="J12" i="15"/>
  <c r="H11" i="15"/>
  <c r="S12" i="15"/>
  <c r="O11" i="15"/>
  <c r="L12" i="15"/>
  <c r="S11" i="15"/>
  <c r="Q11" i="15"/>
  <c r="K11" i="15"/>
  <c r="D34" i="13"/>
  <c r="D27" i="13"/>
  <c r="D28" i="13" s="1"/>
  <c r="J112" i="1"/>
  <c r="I4" i="20" l="1"/>
  <c r="B7" i="9" s="1"/>
  <c r="E11" i="10"/>
  <c r="Q13" i="10" s="1"/>
  <c r="C78" i="20"/>
  <c r="I79" i="20" s="1"/>
  <c r="K79" i="20" s="1"/>
  <c r="I20" i="20"/>
  <c r="D7" i="9" s="1"/>
  <c r="H59" i="1"/>
  <c r="H60" i="1"/>
  <c r="I7" i="4" s="1"/>
  <c r="F10" i="12"/>
  <c r="G6" i="10"/>
  <c r="J24" i="1" s="1"/>
  <c r="N54" i="4"/>
  <c r="O54" i="4" s="1"/>
  <c r="P54" i="4" s="1"/>
  <c r="Q54" i="4" s="1"/>
  <c r="R54" i="4" s="1"/>
  <c r="S54" i="4" s="1"/>
  <c r="T54" i="4" s="1"/>
  <c r="U54" i="4" s="1"/>
  <c r="V54" i="4" s="1"/>
  <c r="W54" i="4" s="1"/>
  <c r="X54" i="4" s="1"/>
  <c r="Y54" i="4" s="1"/>
  <c r="Z54" i="4" s="1"/>
  <c r="AA54" i="4" s="1"/>
  <c r="AB54" i="4" s="1"/>
  <c r="K60" i="20"/>
  <c r="M10" i="10"/>
  <c r="M14" i="20"/>
  <c r="P15" i="20"/>
  <c r="P13" i="20"/>
  <c r="M15" i="20"/>
  <c r="P14" i="20"/>
  <c r="M13" i="20"/>
  <c r="K74" i="20"/>
  <c r="K72" i="20"/>
  <c r="K58" i="20"/>
  <c r="K66" i="20"/>
  <c r="K70" i="20"/>
  <c r="K75" i="20"/>
  <c r="K61" i="20"/>
  <c r="K68" i="20"/>
  <c r="K62" i="20"/>
  <c r="K64" i="20"/>
  <c r="K76" i="20"/>
  <c r="K63" i="20"/>
  <c r="K73" i="20"/>
  <c r="K59" i="20"/>
  <c r="K71" i="20"/>
  <c r="K77" i="20"/>
  <c r="K67" i="20"/>
  <c r="K65" i="20"/>
  <c r="I57" i="1"/>
  <c r="I251" i="1" s="1"/>
  <c r="I257" i="1" s="1"/>
  <c r="J58" i="1"/>
  <c r="J113" i="1" s="1"/>
  <c r="J116" i="1" s="1"/>
  <c r="H215" i="1"/>
  <c r="G14" i="15"/>
  <c r="G25" i="15" s="1"/>
  <c r="E7" i="13"/>
  <c r="E8" i="13" s="1"/>
  <c r="F12" i="12"/>
  <c r="L14" i="15"/>
  <c r="L25" i="15" s="1"/>
  <c r="S14" i="15"/>
  <c r="S15" i="15" s="1"/>
  <c r="J14" i="15"/>
  <c r="J15" i="15" s="1"/>
  <c r="J44" i="15" s="1"/>
  <c r="F14" i="15"/>
  <c r="F25" i="15" s="1"/>
  <c r="M14" i="15"/>
  <c r="M25" i="15" s="1"/>
  <c r="K14" i="15"/>
  <c r="K15" i="15" s="1"/>
  <c r="K44" i="15" s="1"/>
  <c r="F11" i="12"/>
  <c r="G38" i="4"/>
  <c r="R62" i="4" s="1"/>
  <c r="I15" i="4"/>
  <c r="H253" i="1"/>
  <c r="G7" i="13"/>
  <c r="G8" i="13" s="1"/>
  <c r="H7" i="13"/>
  <c r="H8" i="13" s="1"/>
  <c r="H217" i="1"/>
  <c r="H218" i="1" s="1"/>
  <c r="H236" i="1"/>
  <c r="H237" i="1" s="1"/>
  <c r="C103" i="10"/>
  <c r="F20" i="15"/>
  <c r="X16" i="15"/>
  <c r="V16" i="15"/>
  <c r="F16" i="15"/>
  <c r="C26" i="6"/>
  <c r="C28" i="6" s="1"/>
  <c r="Y16" i="15"/>
  <c r="G16" i="15"/>
  <c r="Q16" i="15"/>
  <c r="U16" i="15"/>
  <c r="I16" i="15"/>
  <c r="N16" i="15"/>
  <c r="H16" i="15"/>
  <c r="T16" i="15"/>
  <c r="P16" i="15"/>
  <c r="J16" i="15"/>
  <c r="R16" i="15"/>
  <c r="M16" i="15"/>
  <c r="D29" i="13"/>
  <c r="D36" i="13" s="1"/>
  <c r="S16" i="15"/>
  <c r="K16" i="15"/>
  <c r="F7" i="13"/>
  <c r="F8" i="13" s="1"/>
  <c r="L16" i="15"/>
  <c r="O16" i="15"/>
  <c r="W16" i="15"/>
  <c r="AC38" i="4"/>
  <c r="H14" i="15"/>
  <c r="H25" i="15" s="1"/>
  <c r="Y14" i="15"/>
  <c r="Y25" i="15" s="1"/>
  <c r="U14" i="15"/>
  <c r="V60" i="15" s="1"/>
  <c r="X14" i="15"/>
  <c r="X25" i="15" s="1"/>
  <c r="H114" i="1"/>
  <c r="H117" i="1"/>
  <c r="H260" i="1" s="1"/>
  <c r="P14" i="15"/>
  <c r="P15" i="15" s="1"/>
  <c r="O14" i="15"/>
  <c r="I14" i="15"/>
  <c r="V14" i="15"/>
  <c r="V15" i="15" s="1"/>
  <c r="E44" i="20" s="1"/>
  <c r="T14" i="15"/>
  <c r="R14" i="15"/>
  <c r="W14" i="15"/>
  <c r="N14" i="15"/>
  <c r="Q14" i="15"/>
  <c r="D31" i="13"/>
  <c r="D33" i="13" s="1"/>
  <c r="D35" i="13" s="1"/>
  <c r="I116" i="1"/>
  <c r="K112" i="1"/>
  <c r="I62" i="4" l="1"/>
  <c r="I63" i="4" s="1"/>
  <c r="K58" i="1"/>
  <c r="I16" i="1"/>
  <c r="Q11" i="10"/>
  <c r="I10" i="12"/>
  <c r="I11" i="12" s="1"/>
  <c r="I12" i="12" s="1"/>
  <c r="P62" i="4"/>
  <c r="Q14" i="20"/>
  <c r="I226" i="1"/>
  <c r="I234" i="1" s="1"/>
  <c r="I245" i="1" s="1"/>
  <c r="I61" i="1"/>
  <c r="J5" i="4"/>
  <c r="J61" i="4" s="1"/>
  <c r="I208" i="1"/>
  <c r="I221" i="1" s="1"/>
  <c r="I6" i="4"/>
  <c r="H227" i="1"/>
  <c r="I227" i="1" s="1"/>
  <c r="J227" i="1" s="1"/>
  <c r="K227" i="1" s="1"/>
  <c r="L227" i="1" s="1"/>
  <c r="M227" i="1" s="1"/>
  <c r="N227" i="1" s="1"/>
  <c r="O227" i="1" s="1"/>
  <c r="P227" i="1" s="1"/>
  <c r="Q227" i="1" s="1"/>
  <c r="R227" i="1" s="1"/>
  <c r="S227" i="1" s="1"/>
  <c r="T227" i="1" s="1"/>
  <c r="U227" i="1" s="1"/>
  <c r="V227" i="1" s="1"/>
  <c r="W227" i="1" s="1"/>
  <c r="X227" i="1" s="1"/>
  <c r="Y227" i="1" s="1"/>
  <c r="Z227" i="1" s="1"/>
  <c r="AA227" i="1" s="1"/>
  <c r="H62" i="1"/>
  <c r="R13" i="20"/>
  <c r="R15" i="20"/>
  <c r="G44" i="20"/>
  <c r="I44" i="20" s="1"/>
  <c r="E71" i="10"/>
  <c r="K78" i="20"/>
  <c r="R14" i="20"/>
  <c r="N14" i="20"/>
  <c r="I102" i="10"/>
  <c r="E12" i="10"/>
  <c r="C12" i="10"/>
  <c r="P21" i="15"/>
  <c r="E38" i="20"/>
  <c r="S20" i="15"/>
  <c r="E41" i="20"/>
  <c r="I66" i="1"/>
  <c r="I67" i="1" s="1"/>
  <c r="B7" i="20"/>
  <c r="J57" i="1"/>
  <c r="K5" i="4" s="1"/>
  <c r="K61" i="4" s="1"/>
  <c r="G15" i="15"/>
  <c r="G44" i="15" s="1"/>
  <c r="L15" i="15"/>
  <c r="L44" i="15" s="1"/>
  <c r="L62" i="4"/>
  <c r="X62" i="4"/>
  <c r="I98" i="10"/>
  <c r="K25" i="15"/>
  <c r="Q62" i="4"/>
  <c r="AA62" i="4"/>
  <c r="M62" i="4"/>
  <c r="F15" i="15"/>
  <c r="F44" i="15" s="1"/>
  <c r="H15" i="15"/>
  <c r="J25" i="15"/>
  <c r="U62" i="4"/>
  <c r="V62" i="4"/>
  <c r="K62" i="4"/>
  <c r="N62" i="4"/>
  <c r="M15" i="15"/>
  <c r="M44" i="15" s="1"/>
  <c r="AB62" i="4"/>
  <c r="Z62" i="4"/>
  <c r="W62" i="4"/>
  <c r="Y62" i="4"/>
  <c r="T62" i="4"/>
  <c r="J62" i="4"/>
  <c r="J63" i="4" s="1"/>
  <c r="S62" i="4"/>
  <c r="O62" i="4"/>
  <c r="T60" i="15"/>
  <c r="B5" i="9"/>
  <c r="S44" i="15"/>
  <c r="S21" i="15"/>
  <c r="D37" i="13"/>
  <c r="D19" i="13" s="1"/>
  <c r="E19" i="13" s="1"/>
  <c r="G19" i="13" s="1"/>
  <c r="H19" i="13" s="1"/>
  <c r="I19" i="13" s="1"/>
  <c r="S25" i="15"/>
  <c r="D30" i="13"/>
  <c r="Y60" i="15"/>
  <c r="X15" i="15"/>
  <c r="Y15" i="15"/>
  <c r="E47" i="20" s="1"/>
  <c r="V25" i="15"/>
  <c r="I93" i="10"/>
  <c r="Q7" i="10"/>
  <c r="I85" i="10"/>
  <c r="I99" i="10"/>
  <c r="I89" i="10"/>
  <c r="I91" i="10"/>
  <c r="I95" i="10"/>
  <c r="P22" i="1"/>
  <c r="I87" i="10"/>
  <c r="I101" i="10"/>
  <c r="I92" i="10"/>
  <c r="I83" i="10"/>
  <c r="I100" i="10"/>
  <c r="I97" i="10"/>
  <c r="O12" i="10"/>
  <c r="I88" i="10"/>
  <c r="I84" i="10"/>
  <c r="I96" i="10"/>
  <c r="I94" i="10"/>
  <c r="I86" i="10"/>
  <c r="I90" i="10"/>
  <c r="W60" i="15"/>
  <c r="O15" i="15"/>
  <c r="O44" i="15" s="1"/>
  <c r="U15" i="15"/>
  <c r="E43" i="20" s="1"/>
  <c r="U25" i="15"/>
  <c r="P20" i="15"/>
  <c r="P44" i="15"/>
  <c r="V20" i="15"/>
  <c r="V44" i="15"/>
  <c r="V21" i="15"/>
  <c r="P25" i="15"/>
  <c r="I25" i="15"/>
  <c r="I15" i="15"/>
  <c r="I44" i="15" s="1"/>
  <c r="Q60" i="15"/>
  <c r="O25" i="15"/>
  <c r="P60" i="15"/>
  <c r="Q15" i="15"/>
  <c r="Q25" i="15"/>
  <c r="R60" i="15"/>
  <c r="R15" i="15"/>
  <c r="E40" i="20" s="1"/>
  <c r="S60" i="15"/>
  <c r="R25" i="15"/>
  <c r="W25" i="15"/>
  <c r="W15" i="15"/>
  <c r="E45" i="20" s="1"/>
  <c r="X60" i="15"/>
  <c r="N15" i="15"/>
  <c r="N44" i="15" s="1"/>
  <c r="N25" i="15"/>
  <c r="T15" i="15"/>
  <c r="E42" i="20" s="1"/>
  <c r="U60" i="15"/>
  <c r="T25" i="15"/>
  <c r="L112" i="1"/>
  <c r="K24" i="4"/>
  <c r="J117" i="1"/>
  <c r="J260" i="1" s="1"/>
  <c r="I215" i="1"/>
  <c r="L58" i="1"/>
  <c r="K57" i="1"/>
  <c r="B9" i="20" s="1"/>
  <c r="K113" i="1"/>
  <c r="K116" i="1" s="1"/>
  <c r="I117" i="1"/>
  <c r="I260" i="1" s="1"/>
  <c r="J24" i="4"/>
  <c r="I114" i="1"/>
  <c r="J114" i="1"/>
  <c r="H44" i="15" l="1"/>
  <c r="F39" i="15"/>
  <c r="K26" i="1" s="1"/>
  <c r="I74" i="1" s="1"/>
  <c r="I90" i="1" s="1"/>
  <c r="I91" i="1" s="1"/>
  <c r="H63" i="1"/>
  <c r="I9" i="4" s="1"/>
  <c r="H209" i="1"/>
  <c r="I8" i="4"/>
  <c r="I32" i="4" s="1"/>
  <c r="H228" i="1"/>
  <c r="I30" i="4"/>
  <c r="AC6" i="4"/>
  <c r="G42" i="20"/>
  <c r="I42" i="20" s="1"/>
  <c r="E69" i="10"/>
  <c r="G40" i="20"/>
  <c r="I40" i="20" s="1"/>
  <c r="E67" i="10"/>
  <c r="G43" i="20"/>
  <c r="I43" i="20" s="1"/>
  <c r="E70" i="10"/>
  <c r="G41" i="20"/>
  <c r="I41" i="20" s="1"/>
  <c r="E68" i="10"/>
  <c r="G47" i="20"/>
  <c r="I47" i="20" s="1"/>
  <c r="E74" i="10"/>
  <c r="G38" i="20"/>
  <c r="I38" i="20" s="1"/>
  <c r="E65" i="10"/>
  <c r="G45" i="20"/>
  <c r="I45" i="20" s="1"/>
  <c r="E72" i="10"/>
  <c r="Q21" i="15"/>
  <c r="E39" i="20"/>
  <c r="X44" i="15"/>
  <c r="E46" i="20"/>
  <c r="J226" i="1"/>
  <c r="J234" i="1" s="1"/>
  <c r="J245" i="1" s="1"/>
  <c r="B8" i="20"/>
  <c r="J208" i="1"/>
  <c r="J215" i="1" s="1"/>
  <c r="J251" i="1"/>
  <c r="J257" i="1" s="1"/>
  <c r="J66" i="1"/>
  <c r="J67" i="1" s="1"/>
  <c r="J61" i="1"/>
  <c r="K63" i="4"/>
  <c r="L63" i="4" s="1"/>
  <c r="M63" i="4" s="1"/>
  <c r="N63" i="4" s="1"/>
  <c r="O63" i="4" s="1"/>
  <c r="P63" i="4" s="1"/>
  <c r="Q63" i="4" s="1"/>
  <c r="R63" i="4" s="1"/>
  <c r="S63" i="4" s="1"/>
  <c r="T63" i="4" s="1"/>
  <c r="U63" i="4" s="1"/>
  <c r="V63" i="4" s="1"/>
  <c r="W63" i="4" s="1"/>
  <c r="X63" i="4" s="1"/>
  <c r="Y63" i="4" s="1"/>
  <c r="Z63" i="4" s="1"/>
  <c r="AA63" i="4" s="1"/>
  <c r="AB63" i="4" s="1"/>
  <c r="D17" i="13"/>
  <c r="E17" i="13" s="1"/>
  <c r="G17" i="13" s="1"/>
  <c r="H17" i="13" s="1"/>
  <c r="I17" i="13" s="1"/>
  <c r="D20" i="13"/>
  <c r="E20" i="13" s="1"/>
  <c r="G20" i="13" s="1"/>
  <c r="H20" i="13" s="1"/>
  <c r="I20" i="13" s="1"/>
  <c r="D18" i="13"/>
  <c r="E18" i="13" s="1"/>
  <c r="G18" i="13" s="1"/>
  <c r="H18" i="13" s="1"/>
  <c r="I18" i="13" s="1"/>
  <c r="D21" i="13"/>
  <c r="E21" i="13" s="1"/>
  <c r="G21" i="13" s="1"/>
  <c r="H21" i="13" s="1"/>
  <c r="I21" i="13" s="1"/>
  <c r="D16" i="13"/>
  <c r="E16" i="13" s="1"/>
  <c r="G16" i="13" s="1"/>
  <c r="H16" i="13" s="1"/>
  <c r="I16" i="13" s="1"/>
  <c r="X20" i="15"/>
  <c r="X21" i="15"/>
  <c r="Y20" i="15"/>
  <c r="Y44" i="15"/>
  <c r="Y21" i="15"/>
  <c r="H64" i="1"/>
  <c r="J69" i="4"/>
  <c r="M69" i="4"/>
  <c r="N69" i="4"/>
  <c r="T69" i="4"/>
  <c r="I69" i="4"/>
  <c r="K69" i="4"/>
  <c r="Y69" i="4"/>
  <c r="I18" i="1"/>
  <c r="U69" i="4"/>
  <c r="AA69" i="4"/>
  <c r="Z69" i="4"/>
  <c r="O69" i="4"/>
  <c r="V69" i="4"/>
  <c r="P24" i="1"/>
  <c r="Q69" i="4"/>
  <c r="S69" i="4"/>
  <c r="W69" i="4"/>
  <c r="R69" i="4"/>
  <c r="I70" i="4"/>
  <c r="L69" i="4"/>
  <c r="X69" i="4"/>
  <c r="AB69" i="4"/>
  <c r="P69" i="4"/>
  <c r="O13" i="10"/>
  <c r="O11" i="10"/>
  <c r="Q6" i="10"/>
  <c r="Q8" i="10"/>
  <c r="U44" i="15"/>
  <c r="U20" i="15"/>
  <c r="U21" i="15"/>
  <c r="T44" i="15"/>
  <c r="T20" i="15"/>
  <c r="T21" i="15"/>
  <c r="W44" i="15"/>
  <c r="W20" i="15"/>
  <c r="W21" i="15"/>
  <c r="R21" i="15"/>
  <c r="R20" i="15"/>
  <c r="R44" i="15"/>
  <c r="Q44" i="15"/>
  <c r="Q20" i="15"/>
  <c r="M112" i="1"/>
  <c r="L24" i="4"/>
  <c r="K117" i="1"/>
  <c r="K260" i="1" s="1"/>
  <c r="K114" i="1"/>
  <c r="K66" i="1"/>
  <c r="L5" i="4"/>
  <c r="L61" i="4" s="1"/>
  <c r="K226" i="1"/>
  <c r="K234" i="1" s="1"/>
  <c r="K245" i="1" s="1"/>
  <c r="K251" i="1"/>
  <c r="K257" i="1" s="1"/>
  <c r="K208" i="1"/>
  <c r="K61" i="1"/>
  <c r="L113" i="1"/>
  <c r="L116" i="1" s="1"/>
  <c r="M58" i="1"/>
  <c r="L57" i="1"/>
  <c r="B10" i="20" s="1"/>
  <c r="K74" i="1" l="1"/>
  <c r="K99" i="1" s="1"/>
  <c r="J74" i="1"/>
  <c r="J90" i="1" s="1"/>
  <c r="J91" i="1" s="1"/>
  <c r="I99" i="1"/>
  <c r="I75" i="1"/>
  <c r="I77" i="1" s="1"/>
  <c r="I73" i="1" s="1"/>
  <c r="I235" i="1" s="1"/>
  <c r="AC30" i="4"/>
  <c r="I33" i="4"/>
  <c r="I40" i="4" s="1"/>
  <c r="G39" i="20"/>
  <c r="I39" i="20" s="1"/>
  <c r="E66" i="10"/>
  <c r="G46" i="20"/>
  <c r="I46" i="20" s="1"/>
  <c r="E73" i="10"/>
  <c r="J221" i="1"/>
  <c r="K67" i="1"/>
  <c r="H65" i="1"/>
  <c r="H229" i="1" s="1"/>
  <c r="L117" i="1"/>
  <c r="L260" i="1" s="1"/>
  <c r="M24" i="4"/>
  <c r="N112" i="1"/>
  <c r="L114" i="1"/>
  <c r="L66" i="1"/>
  <c r="L251" i="1"/>
  <c r="L257" i="1" s="1"/>
  <c r="L226" i="1"/>
  <c r="L234" i="1" s="1"/>
  <c r="L245" i="1" s="1"/>
  <c r="M5" i="4"/>
  <c r="M61" i="4" s="1"/>
  <c r="L208" i="1"/>
  <c r="L61" i="1"/>
  <c r="L74" i="1"/>
  <c r="K215" i="1"/>
  <c r="K221" i="1"/>
  <c r="N58" i="1"/>
  <c r="M57" i="1"/>
  <c r="B11" i="20" s="1"/>
  <c r="M113" i="1"/>
  <c r="M116" i="1" s="1"/>
  <c r="J99" i="1" l="1"/>
  <c r="I36" i="20"/>
  <c r="H7" i="9" s="1"/>
  <c r="H5" i="9" s="1"/>
  <c r="K90" i="1"/>
  <c r="K91" i="1" s="1"/>
  <c r="I100" i="1"/>
  <c r="I101" i="1" s="1"/>
  <c r="I102" i="1" s="1"/>
  <c r="I253" i="1" s="1"/>
  <c r="I76" i="1"/>
  <c r="I217" i="1" s="1"/>
  <c r="I216" i="1"/>
  <c r="J75" i="1"/>
  <c r="J77" i="1" s="1"/>
  <c r="J73" i="1" s="1"/>
  <c r="J235" i="1" s="1"/>
  <c r="H68" i="1"/>
  <c r="H69" i="1" s="1"/>
  <c r="I10" i="4" s="1"/>
  <c r="I37" i="4" s="1"/>
  <c r="I65" i="1"/>
  <c r="J65" i="1" s="1"/>
  <c r="H210" i="1"/>
  <c r="L67" i="1"/>
  <c r="N113" i="1"/>
  <c r="N116" i="1" s="1"/>
  <c r="N114" i="1" s="1"/>
  <c r="O58" i="1"/>
  <c r="N57" i="1"/>
  <c r="B12" i="20" s="1"/>
  <c r="L215" i="1"/>
  <c r="L221" i="1"/>
  <c r="N24" i="4"/>
  <c r="M117" i="1"/>
  <c r="M260" i="1" s="1"/>
  <c r="M114" i="1"/>
  <c r="N5" i="4"/>
  <c r="N61" i="4" s="1"/>
  <c r="M208" i="1"/>
  <c r="M66" i="1"/>
  <c r="M251" i="1"/>
  <c r="M257" i="1" s="1"/>
  <c r="M226" i="1"/>
  <c r="M234" i="1" s="1"/>
  <c r="M245" i="1" s="1"/>
  <c r="M74" i="1"/>
  <c r="M61" i="1"/>
  <c r="L99" i="1"/>
  <c r="L90" i="1"/>
  <c r="O112" i="1"/>
  <c r="I236" i="1" l="1"/>
  <c r="I237" i="1" s="1"/>
  <c r="I218" i="1"/>
  <c r="J15" i="4"/>
  <c r="J70" i="4" s="1"/>
  <c r="L91" i="1"/>
  <c r="J216" i="1"/>
  <c r="J76" i="1"/>
  <c r="J217" i="1" s="1"/>
  <c r="K75" i="1"/>
  <c r="L75" i="1" s="1"/>
  <c r="L77" i="1" s="1"/>
  <c r="L73" i="1" s="1"/>
  <c r="J100" i="1"/>
  <c r="J101" i="1" s="1"/>
  <c r="J102" i="1" s="1"/>
  <c r="K15" i="4" s="1"/>
  <c r="K70" i="4" s="1"/>
  <c r="F53" i="15"/>
  <c r="I210" i="1"/>
  <c r="H230" i="1"/>
  <c r="H231" i="1" s="1"/>
  <c r="H240" i="1" s="1"/>
  <c r="H211" i="1"/>
  <c r="H72" i="1"/>
  <c r="H70" i="1" s="1"/>
  <c r="H79" i="1" s="1"/>
  <c r="I229" i="1"/>
  <c r="J229" i="1" s="1"/>
  <c r="I68" i="1"/>
  <c r="I211" i="1" s="1"/>
  <c r="H213" i="1"/>
  <c r="H222" i="1" s="1"/>
  <c r="M67" i="1"/>
  <c r="I65" i="4"/>
  <c r="I39" i="4"/>
  <c r="I67" i="4"/>
  <c r="I52" i="4"/>
  <c r="I53" i="4" s="1"/>
  <c r="J210" i="1"/>
  <c r="K65" i="1"/>
  <c r="J68" i="1"/>
  <c r="J211" i="1" s="1"/>
  <c r="P112" i="1"/>
  <c r="O24" i="4"/>
  <c r="N117" i="1"/>
  <c r="N260" i="1" s="1"/>
  <c r="M99" i="1"/>
  <c r="M90" i="1"/>
  <c r="M215" i="1"/>
  <c r="M221" i="1"/>
  <c r="N208" i="1"/>
  <c r="N251" i="1"/>
  <c r="N257" i="1" s="1"/>
  <c r="N66" i="1"/>
  <c r="O5" i="4"/>
  <c r="O61" i="4" s="1"/>
  <c r="N226" i="1"/>
  <c r="N234" i="1" s="1"/>
  <c r="N245" i="1" s="1"/>
  <c r="N74" i="1"/>
  <c r="N61" i="1"/>
  <c r="O57" i="1"/>
  <c r="B13" i="20" s="1"/>
  <c r="P58" i="1"/>
  <c r="O113" i="1"/>
  <c r="O116" i="1" s="1"/>
  <c r="M91" i="1" l="1"/>
  <c r="J218" i="1"/>
  <c r="L100" i="1"/>
  <c r="L101" i="1" s="1"/>
  <c r="L102" i="1" s="1"/>
  <c r="L253" i="1" s="1"/>
  <c r="K100" i="1"/>
  <c r="K101" i="1" s="1"/>
  <c r="K102" i="1" s="1"/>
  <c r="K253" i="1" s="1"/>
  <c r="M75" i="1"/>
  <c r="M77" i="1" s="1"/>
  <c r="M73" i="1" s="1"/>
  <c r="J236" i="1"/>
  <c r="K77" i="1"/>
  <c r="K73" i="1" s="1"/>
  <c r="K76" i="1" s="1"/>
  <c r="K217" i="1" s="1"/>
  <c r="J253" i="1"/>
  <c r="N67" i="1"/>
  <c r="I11" i="4"/>
  <c r="I69" i="1"/>
  <c r="G53" i="15" s="1"/>
  <c r="I230" i="1"/>
  <c r="J230" i="1" s="1"/>
  <c r="K229" i="1"/>
  <c r="J69" i="1"/>
  <c r="K10" i="4" s="1"/>
  <c r="K37" i="4" s="1"/>
  <c r="H241" i="1"/>
  <c r="L65" i="1"/>
  <c r="K210" i="1"/>
  <c r="K68" i="1"/>
  <c r="K69" i="1" s="1"/>
  <c r="I41" i="4"/>
  <c r="H107" i="1"/>
  <c r="I18" i="4" s="1"/>
  <c r="H252" i="1"/>
  <c r="I60" i="1"/>
  <c r="F46" i="15"/>
  <c r="H246" i="1"/>
  <c r="H258" i="1"/>
  <c r="H103" i="1"/>
  <c r="I13" i="4"/>
  <c r="H85" i="1"/>
  <c r="I58" i="4"/>
  <c r="I55" i="4"/>
  <c r="P24" i="4"/>
  <c r="O117" i="1"/>
  <c r="O260" i="1" s="1"/>
  <c r="O114" i="1"/>
  <c r="P57" i="1"/>
  <c r="B14" i="20" s="1"/>
  <c r="Q58" i="1"/>
  <c r="P113" i="1"/>
  <c r="P116" i="1" s="1"/>
  <c r="P114" i="1" s="1"/>
  <c r="N221" i="1"/>
  <c r="N215" i="1"/>
  <c r="P5" i="4"/>
  <c r="P61" i="4" s="1"/>
  <c r="O226" i="1"/>
  <c r="O234" i="1" s="1"/>
  <c r="O245" i="1" s="1"/>
  <c r="O66" i="1"/>
  <c r="O251" i="1"/>
  <c r="O257" i="1" s="1"/>
  <c r="O208" i="1"/>
  <c r="O74" i="1"/>
  <c r="O61" i="1"/>
  <c r="L216" i="1"/>
  <c r="L76" i="1"/>
  <c r="L217" i="1" s="1"/>
  <c r="N99" i="1"/>
  <c r="N90" i="1"/>
  <c r="Q112" i="1"/>
  <c r="N91" i="1" l="1"/>
  <c r="M15" i="4"/>
  <c r="M70" i="4" s="1"/>
  <c r="K235" i="1"/>
  <c r="L235" i="1" s="1"/>
  <c r="M235" i="1" s="1"/>
  <c r="L15" i="4"/>
  <c r="L70" i="4" s="1"/>
  <c r="K216" i="1"/>
  <c r="K218" i="1" s="1"/>
  <c r="K236" i="1"/>
  <c r="L236" i="1" s="1"/>
  <c r="N75" i="1"/>
  <c r="N100" i="1" s="1"/>
  <c r="N101" i="1" s="1"/>
  <c r="N102" i="1" s="1"/>
  <c r="M100" i="1"/>
  <c r="M101" i="1" s="1"/>
  <c r="M102" i="1" s="1"/>
  <c r="M253" i="1" s="1"/>
  <c r="J237" i="1"/>
  <c r="O67" i="1"/>
  <c r="J10" i="4"/>
  <c r="J37" i="4" s="1"/>
  <c r="J67" i="4" s="1"/>
  <c r="H53" i="15"/>
  <c r="I16" i="4"/>
  <c r="H254" i="1"/>
  <c r="H259" i="1" s="1"/>
  <c r="I62" i="1"/>
  <c r="I63" i="1" s="1"/>
  <c r="J9" i="4" s="1"/>
  <c r="J7" i="4"/>
  <c r="L210" i="1"/>
  <c r="M65" i="1"/>
  <c r="L68" i="1"/>
  <c r="L211" i="1" s="1"/>
  <c r="L10" i="4"/>
  <c r="L37" i="4" s="1"/>
  <c r="I53" i="15"/>
  <c r="K230" i="1"/>
  <c r="K211" i="1"/>
  <c r="I34" i="4"/>
  <c r="I35" i="4" s="1"/>
  <c r="I68" i="4"/>
  <c r="L229" i="1"/>
  <c r="I50" i="4"/>
  <c r="I25" i="4"/>
  <c r="F48" i="15"/>
  <c r="K83" i="10"/>
  <c r="I43" i="4"/>
  <c r="I46" i="4" s="1"/>
  <c r="I47" i="4" s="1"/>
  <c r="J45" i="4" s="1"/>
  <c r="K65" i="4"/>
  <c r="K67" i="4"/>
  <c r="K39" i="4"/>
  <c r="L218" i="1"/>
  <c r="O99" i="1"/>
  <c r="O90" i="1"/>
  <c r="P117" i="1"/>
  <c r="P260" i="1" s="1"/>
  <c r="Q24" i="4"/>
  <c r="R112" i="1"/>
  <c r="M76" i="1"/>
  <c r="M217" i="1" s="1"/>
  <c r="M216" i="1"/>
  <c r="O221" i="1"/>
  <c r="O215" i="1"/>
  <c r="R58" i="1"/>
  <c r="Q113" i="1"/>
  <c r="Q116" i="1" s="1"/>
  <c r="Q57" i="1"/>
  <c r="B15" i="20" s="1"/>
  <c r="P208" i="1"/>
  <c r="Q5" i="4"/>
  <c r="Q61" i="4" s="1"/>
  <c r="P251" i="1"/>
  <c r="P257" i="1" s="1"/>
  <c r="P66" i="1"/>
  <c r="P226" i="1"/>
  <c r="P234" i="1" s="1"/>
  <c r="P245" i="1" s="1"/>
  <c r="P74" i="1"/>
  <c r="P61" i="1"/>
  <c r="N15" i="4" l="1"/>
  <c r="N70" i="4" s="1"/>
  <c r="O91" i="1"/>
  <c r="K237" i="1"/>
  <c r="N77" i="1"/>
  <c r="N73" i="1" s="1"/>
  <c r="N235" i="1" s="1"/>
  <c r="O75" i="1"/>
  <c r="O100" i="1" s="1"/>
  <c r="O101" i="1" s="1"/>
  <c r="O102" i="1" s="1"/>
  <c r="P67" i="1"/>
  <c r="J39" i="4"/>
  <c r="J65" i="4"/>
  <c r="N65" i="1"/>
  <c r="M210" i="1"/>
  <c r="M68" i="1"/>
  <c r="M211" i="1" s="1"/>
  <c r="L65" i="4"/>
  <c r="L67" i="4"/>
  <c r="L39" i="4"/>
  <c r="I209" i="1"/>
  <c r="I213" i="1" s="1"/>
  <c r="I222" i="1" s="1"/>
  <c r="J8" i="4"/>
  <c r="J32" i="4" s="1"/>
  <c r="J52" i="4" s="1"/>
  <c r="J53" i="4" s="1"/>
  <c r="I72" i="1"/>
  <c r="I70" i="1" s="1"/>
  <c r="I228" i="1"/>
  <c r="I231" i="1" s="1"/>
  <c r="F51" i="15"/>
  <c r="F58" i="15"/>
  <c r="J31" i="4"/>
  <c r="I49" i="4"/>
  <c r="I71" i="4" s="1"/>
  <c r="C33" i="10"/>
  <c r="M83" i="10"/>
  <c r="M229" i="1"/>
  <c r="L230" i="1"/>
  <c r="L69" i="1"/>
  <c r="M218" i="1"/>
  <c r="M236" i="1"/>
  <c r="M237" i="1" s="1"/>
  <c r="R24" i="4"/>
  <c r="Q117" i="1"/>
  <c r="Q260" i="1" s="1"/>
  <c r="S112" i="1"/>
  <c r="P215" i="1"/>
  <c r="P221" i="1"/>
  <c r="S58" i="1"/>
  <c r="R113" i="1"/>
  <c r="R116" i="1" s="1"/>
  <c r="R57" i="1"/>
  <c r="Q114" i="1"/>
  <c r="O15" i="4"/>
  <c r="O70" i="4" s="1"/>
  <c r="N253" i="1"/>
  <c r="P99" i="1"/>
  <c r="P90" i="1"/>
  <c r="Q226" i="1"/>
  <c r="Q234" i="1" s="1"/>
  <c r="Q245" i="1" s="1"/>
  <c r="Q251" i="1"/>
  <c r="Q257" i="1" s="1"/>
  <c r="R5" i="4"/>
  <c r="R61" i="4" s="1"/>
  <c r="Q66" i="1"/>
  <c r="Q208" i="1"/>
  <c r="Q74" i="1"/>
  <c r="Q61" i="1"/>
  <c r="L237" i="1"/>
  <c r="P91" i="1" l="1"/>
  <c r="O77" i="1"/>
  <c r="O73" i="1" s="1"/>
  <c r="O216" i="1" s="1"/>
  <c r="P75" i="1"/>
  <c r="P77" i="1" s="1"/>
  <c r="P73" i="1" s="1"/>
  <c r="N216" i="1"/>
  <c r="N76" i="1"/>
  <c r="N236" i="1" s="1"/>
  <c r="Q67" i="1"/>
  <c r="N229" i="1"/>
  <c r="B38" i="20"/>
  <c r="B65" i="10" s="1"/>
  <c r="B22" i="20"/>
  <c r="M69" i="1"/>
  <c r="K53" i="15" s="1"/>
  <c r="J55" i="4"/>
  <c r="J56" i="4" s="1"/>
  <c r="J58" i="4"/>
  <c r="J59" i="4" s="1"/>
  <c r="M230" i="1"/>
  <c r="J11" i="4"/>
  <c r="I79" i="1"/>
  <c r="M10" i="4"/>
  <c r="M37" i="4" s="1"/>
  <c r="J53" i="15"/>
  <c r="I33" i="10"/>
  <c r="G33" i="10"/>
  <c r="J33" i="4"/>
  <c r="J40" i="4" s="1"/>
  <c r="J41" i="4" s="1"/>
  <c r="J43" i="4" s="1"/>
  <c r="J46" i="4" s="1"/>
  <c r="J47" i="4" s="1"/>
  <c r="K45" i="4" s="1"/>
  <c r="I240" i="1"/>
  <c r="I241" i="1"/>
  <c r="N210" i="1"/>
  <c r="O65" i="1"/>
  <c r="N68" i="1"/>
  <c r="N211" i="1" s="1"/>
  <c r="R226" i="1"/>
  <c r="R234" i="1" s="1"/>
  <c r="S5" i="4"/>
  <c r="S61" i="4" s="1"/>
  <c r="R66" i="1"/>
  <c r="R64" i="1" s="1"/>
  <c r="R208" i="1"/>
  <c r="R251" i="1"/>
  <c r="R257" i="1" s="1"/>
  <c r="R74" i="1"/>
  <c r="R99" i="1" s="1"/>
  <c r="R61" i="1"/>
  <c r="R122" i="1"/>
  <c r="R117" i="1"/>
  <c r="R260" i="1" s="1"/>
  <c r="S24" i="4"/>
  <c r="R114" i="1"/>
  <c r="Q90" i="1"/>
  <c r="Q99" i="1"/>
  <c r="T58" i="1"/>
  <c r="S113" i="1"/>
  <c r="S116" i="1" s="1"/>
  <c r="S114" i="1" s="1"/>
  <c r="S57" i="1"/>
  <c r="P15" i="4"/>
  <c r="P70" i="4" s="1"/>
  <c r="O253" i="1"/>
  <c r="T112" i="1"/>
  <c r="Q215" i="1"/>
  <c r="Q221" i="1"/>
  <c r="Q91" i="1" l="1"/>
  <c r="O76" i="1"/>
  <c r="O217" i="1" s="1"/>
  <c r="O218" i="1" s="1"/>
  <c r="O235" i="1"/>
  <c r="P235" i="1" s="1"/>
  <c r="Q75" i="1"/>
  <c r="Q100" i="1" s="1"/>
  <c r="Q101" i="1" s="1"/>
  <c r="Q102" i="1" s="1"/>
  <c r="P100" i="1"/>
  <c r="P101" i="1" s="1"/>
  <c r="P102" i="1" s="1"/>
  <c r="P253" i="1" s="1"/>
  <c r="N217" i="1"/>
  <c r="N218" i="1" s="1"/>
  <c r="O229" i="1"/>
  <c r="N10" i="4"/>
  <c r="N37" i="4" s="1"/>
  <c r="N67" i="4" s="1"/>
  <c r="B39" i="20"/>
  <c r="B66" i="10" s="1"/>
  <c r="B23" i="20"/>
  <c r="J34" i="4"/>
  <c r="J35" i="4" s="1"/>
  <c r="K31" i="4" s="1"/>
  <c r="J68" i="4"/>
  <c r="M65" i="4"/>
  <c r="M67" i="4"/>
  <c r="M39" i="4"/>
  <c r="P65" i="1"/>
  <c r="O210" i="1"/>
  <c r="O68" i="1"/>
  <c r="O211" i="1" s="1"/>
  <c r="N230" i="1"/>
  <c r="N69" i="1"/>
  <c r="I246" i="1"/>
  <c r="G46" i="15"/>
  <c r="J13" i="4"/>
  <c r="J60" i="1"/>
  <c r="I258" i="1"/>
  <c r="I252" i="1"/>
  <c r="I107" i="1"/>
  <c r="J18" i="4" s="1"/>
  <c r="I85" i="1"/>
  <c r="I103" i="1"/>
  <c r="P76" i="1"/>
  <c r="P217" i="1" s="1"/>
  <c r="P216" i="1"/>
  <c r="U58" i="1"/>
  <c r="T57" i="1"/>
  <c r="T113" i="1"/>
  <c r="T116" i="1" s="1"/>
  <c r="T114" i="1" s="1"/>
  <c r="N237" i="1"/>
  <c r="R221" i="1"/>
  <c r="R215" i="1"/>
  <c r="S66" i="1"/>
  <c r="S64" i="1" s="1"/>
  <c r="T5" i="4"/>
  <c r="T61" i="4" s="1"/>
  <c r="S208" i="1"/>
  <c r="S251" i="1"/>
  <c r="S257" i="1" s="1"/>
  <c r="S226" i="1"/>
  <c r="S234" i="1" s="1"/>
  <c r="S61" i="1"/>
  <c r="S74" i="1"/>
  <c r="S99" i="1" s="1"/>
  <c r="U112" i="1"/>
  <c r="T24" i="4"/>
  <c r="S122" i="1"/>
  <c r="S117" i="1"/>
  <c r="S260" i="1" s="1"/>
  <c r="R67" i="1"/>
  <c r="O236" i="1" l="1"/>
  <c r="P236" i="1" s="1"/>
  <c r="Q15" i="4"/>
  <c r="Q70" i="4" s="1"/>
  <c r="R75" i="1"/>
  <c r="R77" i="1" s="1"/>
  <c r="R73" i="1" s="1"/>
  <c r="Q77" i="1"/>
  <c r="Q73" i="1" s="1"/>
  <c r="P28" i="1" s="1"/>
  <c r="Q28" i="1" s="1"/>
  <c r="H89" i="1" s="1"/>
  <c r="H92" i="1" s="1"/>
  <c r="H93" i="1" s="1"/>
  <c r="N39" i="4"/>
  <c r="P229" i="1"/>
  <c r="N65" i="4"/>
  <c r="B24" i="20"/>
  <c r="B40" i="20"/>
  <c r="B67" i="10" s="1"/>
  <c r="J49" i="4"/>
  <c r="J71" i="4" s="1"/>
  <c r="O230" i="1"/>
  <c r="O69" i="1"/>
  <c r="P10" i="4" s="1"/>
  <c r="P37" i="4" s="1"/>
  <c r="I254" i="1"/>
  <c r="I259" i="1" s="1"/>
  <c r="J16" i="4"/>
  <c r="P210" i="1"/>
  <c r="Q65" i="1"/>
  <c r="P68" i="1"/>
  <c r="P211" i="1" s="1"/>
  <c r="K7" i="4"/>
  <c r="J62" i="1"/>
  <c r="J63" i="1" s="1"/>
  <c r="K9" i="4" s="1"/>
  <c r="J25" i="4"/>
  <c r="J50" i="4"/>
  <c r="G48" i="15"/>
  <c r="K84" i="10"/>
  <c r="L53" i="15"/>
  <c r="O10" i="4"/>
  <c r="O37" i="4" s="1"/>
  <c r="V112" i="1"/>
  <c r="T122" i="1"/>
  <c r="T117" i="1"/>
  <c r="T260" i="1" s="1"/>
  <c r="U24" i="4"/>
  <c r="Q253" i="1"/>
  <c r="R15" i="4"/>
  <c r="R70" i="4" s="1"/>
  <c r="T226" i="1"/>
  <c r="T234" i="1" s="1"/>
  <c r="T66" i="1"/>
  <c r="T64" i="1" s="1"/>
  <c r="T251" i="1"/>
  <c r="T257" i="1" s="1"/>
  <c r="T208" i="1"/>
  <c r="U5" i="4"/>
  <c r="U61" i="4" s="1"/>
  <c r="T74" i="1"/>
  <c r="T99" i="1" s="1"/>
  <c r="T61" i="1"/>
  <c r="S67" i="1"/>
  <c r="S215" i="1"/>
  <c r="S221" i="1"/>
  <c r="U57" i="1"/>
  <c r="U113" i="1"/>
  <c r="U116" i="1" s="1"/>
  <c r="V58" i="1"/>
  <c r="P218" i="1"/>
  <c r="O237" i="1" l="1"/>
  <c r="R100" i="1"/>
  <c r="R101" i="1" s="1"/>
  <c r="R102" i="1" s="1"/>
  <c r="R253" i="1" s="1"/>
  <c r="S75" i="1"/>
  <c r="T75" i="1" s="1"/>
  <c r="Q216" i="1"/>
  <c r="Q76" i="1"/>
  <c r="Q217" i="1" s="1"/>
  <c r="I89" i="1"/>
  <c r="J89" i="1" s="1"/>
  <c r="Q235" i="1"/>
  <c r="R235" i="1" s="1"/>
  <c r="M53" i="15"/>
  <c r="Q229" i="1"/>
  <c r="B41" i="20"/>
  <c r="B68" i="10" s="1"/>
  <c r="B25" i="20"/>
  <c r="P230" i="1"/>
  <c r="P69" i="1"/>
  <c r="N53" i="15" s="1"/>
  <c r="M84" i="10"/>
  <c r="C34" i="10"/>
  <c r="G58" i="15"/>
  <c r="G51" i="15"/>
  <c r="O39" i="4"/>
  <c r="O65" i="4"/>
  <c r="O67" i="4"/>
  <c r="P65" i="4"/>
  <c r="P39" i="4"/>
  <c r="P67" i="4"/>
  <c r="J209" i="1"/>
  <c r="J213" i="1" s="1"/>
  <c r="J222" i="1" s="1"/>
  <c r="J228" i="1"/>
  <c r="J231" i="1" s="1"/>
  <c r="K8" i="4"/>
  <c r="K32" i="4" s="1"/>
  <c r="J72" i="1"/>
  <c r="J70" i="1" s="1"/>
  <c r="R65" i="1"/>
  <c r="Q210" i="1"/>
  <c r="Q68" i="1"/>
  <c r="Q211" i="1" s="1"/>
  <c r="U117" i="1"/>
  <c r="U260" i="1" s="1"/>
  <c r="U122" i="1"/>
  <c r="V24" i="4"/>
  <c r="T215" i="1"/>
  <c r="T221" i="1"/>
  <c r="U66" i="1"/>
  <c r="U64" i="1" s="1"/>
  <c r="U251" i="1"/>
  <c r="U257" i="1" s="1"/>
  <c r="V5" i="4"/>
  <c r="V61" i="4" s="1"/>
  <c r="U208" i="1"/>
  <c r="U226" i="1"/>
  <c r="U234" i="1" s="1"/>
  <c r="U74" i="1"/>
  <c r="U99" i="1" s="1"/>
  <c r="U61" i="1"/>
  <c r="R76" i="1"/>
  <c r="R217" i="1" s="1"/>
  <c r="R216" i="1"/>
  <c r="W112" i="1"/>
  <c r="W58" i="1"/>
  <c r="V113" i="1"/>
  <c r="V116" i="1" s="1"/>
  <c r="V57" i="1"/>
  <c r="T67" i="1"/>
  <c r="U114" i="1"/>
  <c r="P237" i="1"/>
  <c r="H94" i="1"/>
  <c r="H248" i="1" s="1"/>
  <c r="H247" i="1"/>
  <c r="I93" i="1"/>
  <c r="H96" i="1"/>
  <c r="I92" i="1" l="1"/>
  <c r="S15" i="4"/>
  <c r="S70" i="4" s="1"/>
  <c r="S77" i="1"/>
  <c r="S73" i="1" s="1"/>
  <c r="S235" i="1" s="1"/>
  <c r="S100" i="1"/>
  <c r="S101" i="1" s="1"/>
  <c r="S102" i="1" s="1"/>
  <c r="S253" i="1" s="1"/>
  <c r="Q236" i="1"/>
  <c r="Q237" i="1" s="1"/>
  <c r="Q218" i="1"/>
  <c r="R229" i="1"/>
  <c r="B42" i="20"/>
  <c r="B69" i="10" s="1"/>
  <c r="B26" i="20"/>
  <c r="Q10" i="4"/>
  <c r="Q37" i="4" s="1"/>
  <c r="Q67" i="4" s="1"/>
  <c r="Q230" i="1"/>
  <c r="Q69" i="1"/>
  <c r="R10" i="4" s="1"/>
  <c r="R37" i="4" s="1"/>
  <c r="J240" i="1"/>
  <c r="J241" i="1"/>
  <c r="J79" i="1"/>
  <c r="K11" i="4"/>
  <c r="I34" i="10"/>
  <c r="G34" i="10"/>
  <c r="R210" i="1"/>
  <c r="S65" i="1"/>
  <c r="R68" i="1"/>
  <c r="K52" i="4"/>
  <c r="K53" i="4" s="1"/>
  <c r="K33" i="4"/>
  <c r="R218" i="1"/>
  <c r="W24" i="4"/>
  <c r="V122" i="1"/>
  <c r="V117" i="1"/>
  <c r="V260" i="1" s="1"/>
  <c r="U215" i="1"/>
  <c r="U221" i="1"/>
  <c r="J93" i="1"/>
  <c r="I247" i="1"/>
  <c r="I96" i="1"/>
  <c r="I94" i="1"/>
  <c r="I248" i="1" s="1"/>
  <c r="X58" i="1"/>
  <c r="W57" i="1"/>
  <c r="W113" i="1"/>
  <c r="W116" i="1" s="1"/>
  <c r="W114" i="1" s="1"/>
  <c r="U67" i="1"/>
  <c r="X112" i="1"/>
  <c r="V226" i="1"/>
  <c r="V234" i="1" s="1"/>
  <c r="V208" i="1"/>
  <c r="V66" i="1"/>
  <c r="V64" i="1" s="1"/>
  <c r="W5" i="4"/>
  <c r="W61" i="4" s="1"/>
  <c r="V251" i="1"/>
  <c r="V257" i="1" s="1"/>
  <c r="V74" i="1"/>
  <c r="V99" i="1" s="1"/>
  <c r="V61" i="1"/>
  <c r="K89" i="1"/>
  <c r="J92" i="1"/>
  <c r="V114" i="1"/>
  <c r="T77" i="1"/>
  <c r="T73" i="1" s="1"/>
  <c r="U75" i="1"/>
  <c r="T100" i="1"/>
  <c r="T101" i="1" s="1"/>
  <c r="T102" i="1" s="1"/>
  <c r="T15" i="4" l="1"/>
  <c r="T70" i="4" s="1"/>
  <c r="R236" i="1"/>
  <c r="R237" i="1" s="1"/>
  <c r="S216" i="1"/>
  <c r="S76" i="1"/>
  <c r="S217" i="1" s="1"/>
  <c r="B27" i="20"/>
  <c r="B43" i="20"/>
  <c r="B70" i="10" s="1"/>
  <c r="Q39" i="4"/>
  <c r="Q65" i="4"/>
  <c r="O53" i="15"/>
  <c r="K40" i="4"/>
  <c r="K41" i="4" s="1"/>
  <c r="R67" i="4"/>
  <c r="I30" i="12"/>
  <c r="I31" i="12" s="1"/>
  <c r="I32" i="12" s="1"/>
  <c r="R39" i="4"/>
  <c r="R65" i="4"/>
  <c r="K55" i="4"/>
  <c r="K56" i="4" s="1"/>
  <c r="K58" i="4"/>
  <c r="K59" i="4" s="1"/>
  <c r="R211" i="1"/>
  <c r="R69" i="1"/>
  <c r="R230" i="1"/>
  <c r="T65" i="1"/>
  <c r="S210" i="1"/>
  <c r="S68" i="1"/>
  <c r="J252" i="1"/>
  <c r="K13" i="4"/>
  <c r="H46" i="15"/>
  <c r="J258" i="1"/>
  <c r="J85" i="1"/>
  <c r="K60" i="1"/>
  <c r="J103" i="1"/>
  <c r="J246" i="1"/>
  <c r="S229" i="1"/>
  <c r="X113" i="1"/>
  <c r="X116" i="1" s="1"/>
  <c r="X114" i="1" s="1"/>
  <c r="Y58" i="1"/>
  <c r="X57" i="1"/>
  <c r="U15" i="4"/>
  <c r="U70" i="4" s="1"/>
  <c r="T253" i="1"/>
  <c r="V215" i="1"/>
  <c r="V221" i="1"/>
  <c r="U77" i="1"/>
  <c r="U73" i="1" s="1"/>
  <c r="U100" i="1"/>
  <c r="U101" i="1" s="1"/>
  <c r="U102" i="1" s="1"/>
  <c r="V75" i="1"/>
  <c r="K92" i="1"/>
  <c r="L89" i="1"/>
  <c r="Y112" i="1"/>
  <c r="T235" i="1"/>
  <c r="T76" i="1"/>
  <c r="T217" i="1" s="1"/>
  <c r="T216" i="1"/>
  <c r="W117" i="1"/>
  <c r="W260" i="1" s="1"/>
  <c r="X24" i="4"/>
  <c r="W122" i="1"/>
  <c r="J247" i="1"/>
  <c r="K93" i="1"/>
  <c r="J94" i="1"/>
  <c r="J248" i="1" s="1"/>
  <c r="J96" i="1"/>
  <c r="V67" i="1"/>
  <c r="W208" i="1"/>
  <c r="W251" i="1"/>
  <c r="W257" i="1" s="1"/>
  <c r="X5" i="4"/>
  <c r="X61" i="4" s="1"/>
  <c r="W226" i="1"/>
  <c r="W234" i="1" s="1"/>
  <c r="W66" i="1"/>
  <c r="W64" i="1" s="1"/>
  <c r="W74" i="1"/>
  <c r="W99" i="1" s="1"/>
  <c r="W61" i="1"/>
  <c r="S236" i="1" l="1"/>
  <c r="S237" i="1" s="1"/>
  <c r="S218" i="1"/>
  <c r="B44" i="20"/>
  <c r="B71" i="10" s="1"/>
  <c r="B28" i="20"/>
  <c r="S230" i="1"/>
  <c r="K34" i="4"/>
  <c r="K35" i="4" s="1"/>
  <c r="L31" i="4" s="1"/>
  <c r="K68" i="4"/>
  <c r="K43" i="4"/>
  <c r="K46" i="4" s="1"/>
  <c r="K47" i="4" s="1"/>
  <c r="L45" i="4" s="1"/>
  <c r="L7" i="4"/>
  <c r="K62" i="1"/>
  <c r="K63" i="1" s="1"/>
  <c r="L9" i="4" s="1"/>
  <c r="K25" i="4"/>
  <c r="K50" i="4"/>
  <c r="T210" i="1"/>
  <c r="U65" i="1"/>
  <c r="T68" i="1"/>
  <c r="T211" i="1" s="1"/>
  <c r="S211" i="1"/>
  <c r="S69" i="1"/>
  <c r="S10" i="4"/>
  <c r="S37" i="4" s="1"/>
  <c r="P53" i="15"/>
  <c r="T229" i="1"/>
  <c r="J107" i="1"/>
  <c r="K18" i="4" s="1"/>
  <c r="K16" i="4"/>
  <c r="J254" i="1"/>
  <c r="J259" i="1" s="1"/>
  <c r="K85" i="10"/>
  <c r="H48" i="15"/>
  <c r="W221" i="1"/>
  <c r="W215" i="1"/>
  <c r="L93" i="1"/>
  <c r="K247" i="1"/>
  <c r="Z58" i="1"/>
  <c r="Y57" i="1"/>
  <c r="Y113" i="1"/>
  <c r="Y116" i="1" s="1"/>
  <c r="Y114" i="1" s="1"/>
  <c r="V100" i="1"/>
  <c r="V101" i="1" s="1"/>
  <c r="V102" i="1" s="1"/>
  <c r="W75" i="1"/>
  <c r="V77" i="1"/>
  <c r="V73" i="1" s="1"/>
  <c r="X122" i="1"/>
  <c r="Y24" i="4"/>
  <c r="X117" i="1"/>
  <c r="X260" i="1" s="1"/>
  <c r="W67" i="1"/>
  <c r="U235" i="1"/>
  <c r="Z112" i="1"/>
  <c r="V15" i="4"/>
  <c r="V70" i="4" s="1"/>
  <c r="U253" i="1"/>
  <c r="T218" i="1"/>
  <c r="L92" i="1"/>
  <c r="M89" i="1"/>
  <c r="U76" i="1"/>
  <c r="U216" i="1"/>
  <c r="X226" i="1"/>
  <c r="X234" i="1" s="1"/>
  <c r="X66" i="1"/>
  <c r="X64" i="1" s="1"/>
  <c r="X251" i="1"/>
  <c r="X257" i="1" s="1"/>
  <c r="X208" i="1"/>
  <c r="Y5" i="4"/>
  <c r="Y61" i="4" s="1"/>
  <c r="X61" i="1"/>
  <c r="X74" i="1"/>
  <c r="X99" i="1" s="1"/>
  <c r="T236" i="1" l="1"/>
  <c r="T237" i="1" s="1"/>
  <c r="B45" i="20"/>
  <c r="B72" i="10" s="1"/>
  <c r="B29" i="20"/>
  <c r="K49" i="4"/>
  <c r="K71" i="4" s="1"/>
  <c r="C35" i="10"/>
  <c r="G35" i="10" s="1"/>
  <c r="I35" i="10" s="1"/>
  <c r="M85" i="10"/>
  <c r="T69" i="1"/>
  <c r="H51" i="15"/>
  <c r="H58" i="15"/>
  <c r="T10" i="4"/>
  <c r="T37" i="4" s="1"/>
  <c r="Q53" i="15"/>
  <c r="V65" i="1"/>
  <c r="U210" i="1"/>
  <c r="U68" i="1"/>
  <c r="U211" i="1" s="1"/>
  <c r="U229" i="1"/>
  <c r="K209" i="1"/>
  <c r="K213" i="1" s="1"/>
  <c r="K222" i="1" s="1"/>
  <c r="K228" i="1"/>
  <c r="K231" i="1" s="1"/>
  <c r="L8" i="4"/>
  <c r="L32" i="4" s="1"/>
  <c r="L52" i="4" s="1"/>
  <c r="L53" i="4" s="1"/>
  <c r="L55" i="4" s="1"/>
  <c r="L56" i="4" s="1"/>
  <c r="K72" i="1"/>
  <c r="K70" i="1" s="1"/>
  <c r="S65" i="4"/>
  <c r="S67" i="4"/>
  <c r="S39" i="4"/>
  <c r="T230" i="1"/>
  <c r="N89" i="1"/>
  <c r="M92" i="1"/>
  <c r="X67" i="1"/>
  <c r="V216" i="1"/>
  <c r="V76" i="1"/>
  <c r="V217" i="1" s="1"/>
  <c r="X221" i="1"/>
  <c r="X215" i="1"/>
  <c r="AA112" i="1"/>
  <c r="X75" i="1"/>
  <c r="W100" i="1"/>
  <c r="W101" i="1" s="1"/>
  <c r="W102" i="1" s="1"/>
  <c r="W77" i="1"/>
  <c r="W73" i="1" s="1"/>
  <c r="Y122" i="1"/>
  <c r="Y117" i="1"/>
  <c r="Y260" i="1" s="1"/>
  <c r="Z24" i="4"/>
  <c r="M93" i="1"/>
  <c r="L247" i="1"/>
  <c r="V253" i="1"/>
  <c r="W15" i="4"/>
  <c r="W70" i="4" s="1"/>
  <c r="Y226" i="1"/>
  <c r="Y234" i="1" s="1"/>
  <c r="Y66" i="1"/>
  <c r="Y64" i="1" s="1"/>
  <c r="Z5" i="4"/>
  <c r="Z61" i="4" s="1"/>
  <c r="Y251" i="1"/>
  <c r="Y257" i="1" s="1"/>
  <c r="Y208" i="1"/>
  <c r="Y61" i="1"/>
  <c r="Y74" i="1"/>
  <c r="Y99" i="1" s="1"/>
  <c r="U217" i="1"/>
  <c r="U218" i="1" s="1"/>
  <c r="V235" i="1"/>
  <c r="AA58" i="1"/>
  <c r="Z57" i="1"/>
  <c r="Z113" i="1"/>
  <c r="Z116" i="1" s="1"/>
  <c r="U236" i="1" l="1"/>
  <c r="V236" i="1" s="1"/>
  <c r="V237" i="1" s="1"/>
  <c r="B46" i="20"/>
  <c r="B73" i="10" s="1"/>
  <c r="B30" i="20"/>
  <c r="L58" i="4"/>
  <c r="L59" i="4" s="1"/>
  <c r="U230" i="1"/>
  <c r="U69" i="1"/>
  <c r="S53" i="15" s="1"/>
  <c r="L33" i="4"/>
  <c r="L40" i="4" s="1"/>
  <c r="L41" i="4" s="1"/>
  <c r="K79" i="1"/>
  <c r="L11" i="4"/>
  <c r="V229" i="1"/>
  <c r="R53" i="15"/>
  <c r="U10" i="4"/>
  <c r="U37" i="4" s="1"/>
  <c r="T65" i="4"/>
  <c r="T39" i="4"/>
  <c r="T67" i="4"/>
  <c r="V210" i="1"/>
  <c r="W65" i="1"/>
  <c r="V68" i="1"/>
  <c r="K240" i="1"/>
  <c r="K241" i="1"/>
  <c r="W235" i="1"/>
  <c r="Z117" i="1"/>
  <c r="Z260" i="1" s="1"/>
  <c r="Z122" i="1"/>
  <c r="AA24" i="4"/>
  <c r="W253" i="1"/>
  <c r="X15" i="4"/>
  <c r="X70" i="4" s="1"/>
  <c r="Y67" i="1"/>
  <c r="Z251" i="1"/>
  <c r="Z257" i="1" s="1"/>
  <c r="Z66" i="1"/>
  <c r="Z64" i="1" s="1"/>
  <c r="Z208" i="1"/>
  <c r="AA5" i="4"/>
  <c r="AA61" i="4" s="1"/>
  <c r="Z226" i="1"/>
  <c r="Z234" i="1" s="1"/>
  <c r="Z74" i="1"/>
  <c r="Z99" i="1" s="1"/>
  <c r="Z61" i="1"/>
  <c r="X77" i="1"/>
  <c r="X73" i="1" s="1"/>
  <c r="X100" i="1"/>
  <c r="X101" i="1" s="1"/>
  <c r="X102" i="1" s="1"/>
  <c r="Y75" i="1"/>
  <c r="Z114" i="1"/>
  <c r="AA57" i="1"/>
  <c r="AA113" i="1"/>
  <c r="V218" i="1"/>
  <c r="N92" i="1"/>
  <c r="O89" i="1"/>
  <c r="Y215" i="1"/>
  <c r="Y221" i="1"/>
  <c r="M247" i="1"/>
  <c r="N93" i="1"/>
  <c r="W76" i="1"/>
  <c r="W216" i="1"/>
  <c r="U237" i="1" l="1"/>
  <c r="B47" i="20"/>
  <c r="B74" i="10" s="1"/>
  <c r="B31" i="20"/>
  <c r="V10" i="4"/>
  <c r="V37" i="4" s="1"/>
  <c r="V65" i="4" s="1"/>
  <c r="L68" i="4"/>
  <c r="L34" i="4"/>
  <c r="L35" i="4" s="1"/>
  <c r="L43" i="4"/>
  <c r="L46" i="4" s="1"/>
  <c r="L47" i="4" s="1"/>
  <c r="M45" i="4" s="1"/>
  <c r="U67" i="4"/>
  <c r="U65" i="4"/>
  <c r="U39" i="4"/>
  <c r="X65" i="1"/>
  <c r="W210" i="1"/>
  <c r="W68" i="1"/>
  <c r="V211" i="1"/>
  <c r="V69" i="1"/>
  <c r="K252" i="1"/>
  <c r="L60" i="1"/>
  <c r="I46" i="15"/>
  <c r="K258" i="1"/>
  <c r="K103" i="1"/>
  <c r="K94" i="1"/>
  <c r="K248" i="1" s="1"/>
  <c r="K246" i="1"/>
  <c r="K85" i="1"/>
  <c r="L13" i="4"/>
  <c r="K96" i="1"/>
  <c r="W229" i="1"/>
  <c r="V230" i="1"/>
  <c r="Z221" i="1"/>
  <c r="Z215" i="1"/>
  <c r="Z67" i="1"/>
  <c r="W217" i="1"/>
  <c r="W218" i="1" s="1"/>
  <c r="W236" i="1"/>
  <c r="Y77" i="1"/>
  <c r="Y73" i="1" s="1"/>
  <c r="Y100" i="1"/>
  <c r="Y101" i="1" s="1"/>
  <c r="Y102" i="1" s="1"/>
  <c r="Z75" i="1"/>
  <c r="N247" i="1"/>
  <c r="O93" i="1"/>
  <c r="P89" i="1"/>
  <c r="O92" i="1"/>
  <c r="AA116" i="1"/>
  <c r="AB113" i="1"/>
  <c r="Y15" i="4"/>
  <c r="Y70" i="4" s="1"/>
  <c r="X253" i="1"/>
  <c r="AA208" i="1"/>
  <c r="AA251" i="1"/>
  <c r="AA257" i="1" s="1"/>
  <c r="AA66" i="1"/>
  <c r="AA64" i="1" s="1"/>
  <c r="AB64" i="1" s="1"/>
  <c r="AA226" i="1"/>
  <c r="AA234" i="1" s="1"/>
  <c r="AB5" i="4"/>
  <c r="AB61" i="4" s="1"/>
  <c r="AA74" i="1"/>
  <c r="AA99" i="1" s="1"/>
  <c r="AA97" i="1"/>
  <c r="AA61" i="1"/>
  <c r="X235" i="1"/>
  <c r="X216" i="1"/>
  <c r="X76" i="1"/>
  <c r="X217" i="1" s="1"/>
  <c r="V67" i="4" l="1"/>
  <c r="V39" i="4"/>
  <c r="M31" i="4"/>
  <c r="L49" i="4"/>
  <c r="L71" i="4" s="1"/>
  <c r="Y65" i="1"/>
  <c r="X210" i="1"/>
  <c r="X68" i="1"/>
  <c r="X211" i="1" s="1"/>
  <c r="X229" i="1"/>
  <c r="I48" i="15"/>
  <c r="K86" i="10"/>
  <c r="M7" i="4"/>
  <c r="L62" i="1"/>
  <c r="W230" i="1"/>
  <c r="W211" i="1"/>
  <c r="W69" i="1"/>
  <c r="T53" i="15"/>
  <c r="W10" i="4"/>
  <c r="W37" i="4" s="1"/>
  <c r="L25" i="4"/>
  <c r="L50" i="4"/>
  <c r="K107" i="1"/>
  <c r="L18" i="4" s="1"/>
  <c r="K254" i="1"/>
  <c r="K259" i="1" s="1"/>
  <c r="L16" i="4"/>
  <c r="X218" i="1"/>
  <c r="X236" i="1"/>
  <c r="X237" i="1" s="1"/>
  <c r="W237" i="1"/>
  <c r="Y235" i="1"/>
  <c r="P92" i="1"/>
  <c r="Q89" i="1"/>
  <c r="Q92" i="1" s="1"/>
  <c r="Z100" i="1"/>
  <c r="Z101" i="1" s="1"/>
  <c r="Z102" i="1" s="1"/>
  <c r="AA75" i="1"/>
  <c r="Z77" i="1"/>
  <c r="Z73" i="1" s="1"/>
  <c r="P93" i="1"/>
  <c r="O247" i="1"/>
  <c r="Y253" i="1"/>
  <c r="Z15" i="4"/>
  <c r="Z70" i="4" s="1"/>
  <c r="AA215" i="1"/>
  <c r="AA221" i="1"/>
  <c r="AA122" i="1"/>
  <c r="AA117" i="1"/>
  <c r="AA260" i="1" s="1"/>
  <c r="AB24" i="4"/>
  <c r="AA114" i="1"/>
  <c r="Y216" i="1"/>
  <c r="Y76" i="1"/>
  <c r="Y217" i="1" s="1"/>
  <c r="AA67" i="1"/>
  <c r="Y229" i="1" l="1"/>
  <c r="L63" i="1"/>
  <c r="M9" i="4" s="1"/>
  <c r="M8" i="4"/>
  <c r="M32" i="4" s="1"/>
  <c r="L228" i="1"/>
  <c r="L231" i="1" s="1"/>
  <c r="L241" i="1" s="1"/>
  <c r="L209" i="1"/>
  <c r="L213" i="1" s="1"/>
  <c r="L222" i="1" s="1"/>
  <c r="L72" i="1"/>
  <c r="L70" i="1" s="1"/>
  <c r="L79" i="1" s="1"/>
  <c r="U53" i="15"/>
  <c r="X10" i="4"/>
  <c r="X37" i="4" s="1"/>
  <c r="X69" i="1"/>
  <c r="C36" i="10"/>
  <c r="G36" i="10" s="1"/>
  <c r="I36" i="10" s="1"/>
  <c r="M86" i="10"/>
  <c r="W39" i="4"/>
  <c r="W67" i="4"/>
  <c r="W65" i="4"/>
  <c r="X230" i="1"/>
  <c r="I51" i="15"/>
  <c r="I58" i="15"/>
  <c r="Y210" i="1"/>
  <c r="Z65" i="1"/>
  <c r="Y68" i="1"/>
  <c r="Y218" i="1"/>
  <c r="Z76" i="1"/>
  <c r="Z217" i="1" s="1"/>
  <c r="Z216" i="1"/>
  <c r="AA100" i="1"/>
  <c r="AA101" i="1" s="1"/>
  <c r="AA102" i="1" s="1"/>
  <c r="AA77" i="1"/>
  <c r="AA73" i="1" s="1"/>
  <c r="AA15" i="4"/>
  <c r="AA70" i="4" s="1"/>
  <c r="Z253" i="1"/>
  <c r="Z235" i="1"/>
  <c r="Y236" i="1"/>
  <c r="P247" i="1"/>
  <c r="Q93" i="1"/>
  <c r="Q247" i="1" s="1"/>
  <c r="M11" i="4" l="1"/>
  <c r="L240" i="1"/>
  <c r="Y230" i="1"/>
  <c r="V53" i="15"/>
  <c r="Y10" i="4"/>
  <c r="Y37" i="4" s="1"/>
  <c r="X39" i="4"/>
  <c r="X65" i="4"/>
  <c r="X67" i="4"/>
  <c r="M33" i="4"/>
  <c r="M40" i="4" s="1"/>
  <c r="M41" i="4" s="1"/>
  <c r="M52" i="4"/>
  <c r="M53" i="4" s="1"/>
  <c r="M58" i="4" s="1"/>
  <c r="M59" i="4" s="1"/>
  <c r="Z210" i="1"/>
  <c r="AA65" i="1"/>
  <c r="Z68" i="1"/>
  <c r="Z229" i="1"/>
  <c r="Y211" i="1"/>
  <c r="Y69" i="1"/>
  <c r="Z218" i="1"/>
  <c r="Z236" i="1"/>
  <c r="Y237" i="1"/>
  <c r="AA76" i="1"/>
  <c r="AA216" i="1"/>
  <c r="AB73" i="1"/>
  <c r="P30" i="1"/>
  <c r="AA235" i="1"/>
  <c r="AA253" i="1"/>
  <c r="AB15" i="4"/>
  <c r="AB70" i="4" s="1"/>
  <c r="AB102" i="1"/>
  <c r="L85" i="1"/>
  <c r="M13" i="4"/>
  <c r="J46" i="15"/>
  <c r="L246" i="1"/>
  <c r="L103" i="1"/>
  <c r="L252" i="1"/>
  <c r="L96" i="1"/>
  <c r="L94" i="1"/>
  <c r="L248" i="1" s="1"/>
  <c r="L258" i="1"/>
  <c r="M60" i="1"/>
  <c r="AA229" i="1" l="1"/>
  <c r="M55" i="4"/>
  <c r="M56" i="4" s="1"/>
  <c r="Z69" i="1"/>
  <c r="Z211" i="1"/>
  <c r="M68" i="4"/>
  <c r="M43" i="4"/>
  <c r="M46" i="4" s="1"/>
  <c r="M47" i="4" s="1"/>
  <c r="N45" i="4" s="1"/>
  <c r="M34" i="4"/>
  <c r="M35" i="4" s="1"/>
  <c r="Y65" i="4"/>
  <c r="Y67" i="4"/>
  <c r="Y39" i="4"/>
  <c r="W53" i="15"/>
  <c r="Z10" i="4"/>
  <c r="Z37" i="4" s="1"/>
  <c r="AA210" i="1"/>
  <c r="AB65" i="1"/>
  <c r="AA68" i="1"/>
  <c r="AA211" i="1" s="1"/>
  <c r="Z230" i="1"/>
  <c r="AA236" i="1"/>
  <c r="AA237" i="1" s="1"/>
  <c r="AA217" i="1"/>
  <c r="AA218" i="1" s="1"/>
  <c r="AB76" i="1"/>
  <c r="Z237" i="1"/>
  <c r="N7" i="4"/>
  <c r="M62" i="1"/>
  <c r="M25" i="4"/>
  <c r="M50" i="4"/>
  <c r="L254" i="1"/>
  <c r="L259" i="1" s="1"/>
  <c r="M16" i="4"/>
  <c r="L107" i="1"/>
  <c r="K87" i="10"/>
  <c r="J48" i="15"/>
  <c r="AA69" i="1" l="1"/>
  <c r="AB10" i="4" s="1"/>
  <c r="AB37" i="4" s="1"/>
  <c r="AB68" i="1"/>
  <c r="AA230" i="1"/>
  <c r="M49" i="4"/>
  <c r="M71" i="4" s="1"/>
  <c r="N31" i="4"/>
  <c r="X53" i="15"/>
  <c r="AA10" i="4"/>
  <c r="AA37" i="4" s="1"/>
  <c r="Z67" i="4"/>
  <c r="Z39" i="4"/>
  <c r="Z65" i="4"/>
  <c r="J58" i="15"/>
  <c r="J51" i="15"/>
  <c r="M87" i="10"/>
  <c r="C37" i="10"/>
  <c r="G37" i="10" s="1"/>
  <c r="I37" i="10" s="1"/>
  <c r="M72" i="1"/>
  <c r="M70" i="1" s="1"/>
  <c r="M209" i="1"/>
  <c r="M213" i="1" s="1"/>
  <c r="M222" i="1" s="1"/>
  <c r="N8" i="4"/>
  <c r="N32" i="4" s="1"/>
  <c r="M228" i="1"/>
  <c r="M18" i="4"/>
  <c r="M63" i="1"/>
  <c r="N9" i="4" s="1"/>
  <c r="AB69" i="1" l="1"/>
  <c r="AC10" i="4" s="1"/>
  <c r="Y53" i="15"/>
  <c r="AA67" i="4"/>
  <c r="AC37" i="4"/>
  <c r="AA39" i="4"/>
  <c r="AA65" i="4"/>
  <c r="AB67" i="4"/>
  <c r="AB65" i="4"/>
  <c r="AB39" i="4"/>
  <c r="M231" i="1"/>
  <c r="N52" i="4"/>
  <c r="N53" i="4" s="1"/>
  <c r="N33" i="4"/>
  <c r="M79" i="1"/>
  <c r="N11" i="4"/>
  <c r="N40" i="4" l="1"/>
  <c r="N41" i="4" s="1"/>
  <c r="N58" i="4"/>
  <c r="N59" i="4" s="1"/>
  <c r="N55" i="4"/>
  <c r="N56" i="4" s="1"/>
  <c r="M96" i="1"/>
  <c r="M258" i="1"/>
  <c r="N13" i="4"/>
  <c r="K46" i="15"/>
  <c r="M246" i="1"/>
  <c r="N60" i="1"/>
  <c r="M103" i="1"/>
  <c r="M85" i="1"/>
  <c r="M94" i="1"/>
  <c r="M248" i="1" s="1"/>
  <c r="M252" i="1"/>
  <c r="M241" i="1"/>
  <c r="M240" i="1"/>
  <c r="N68" i="4" l="1"/>
  <c r="N34" i="4"/>
  <c r="N35" i="4" s="1"/>
  <c r="O31" i="4" s="1"/>
  <c r="N43" i="4"/>
  <c r="N46" i="4" s="1"/>
  <c r="N47" i="4" s="1"/>
  <c r="O45" i="4" s="1"/>
  <c r="M254" i="1"/>
  <c r="M259" i="1" s="1"/>
  <c r="N16" i="4"/>
  <c r="M107" i="1"/>
  <c r="N18" i="4" s="1"/>
  <c r="N25" i="4"/>
  <c r="N50" i="4"/>
  <c r="N62" i="1"/>
  <c r="N63" i="1" s="1"/>
  <c r="O9" i="4" s="1"/>
  <c r="O7" i="4"/>
  <c r="K48" i="15"/>
  <c r="K88" i="10"/>
  <c r="N49" i="4" l="1"/>
  <c r="N71" i="4" s="1"/>
  <c r="K51" i="15"/>
  <c r="K58" i="15"/>
  <c r="O8" i="4"/>
  <c r="O32" i="4" s="1"/>
  <c r="O52" i="4" s="1"/>
  <c r="O53" i="4" s="1"/>
  <c r="N209" i="1"/>
  <c r="N213" i="1" s="1"/>
  <c r="N222" i="1" s="1"/>
  <c r="N72" i="1"/>
  <c r="N70" i="1" s="1"/>
  <c r="N228" i="1"/>
  <c r="M88" i="10"/>
  <c r="C38" i="10"/>
  <c r="G38" i="10" s="1"/>
  <c r="I38" i="10" s="1"/>
  <c r="N231" i="1" l="1"/>
  <c r="O55" i="4"/>
  <c r="O56" i="4" s="1"/>
  <c r="O58" i="4"/>
  <c r="O59" i="4" s="1"/>
  <c r="O11" i="4"/>
  <c r="N79" i="1"/>
  <c r="O33" i="4"/>
  <c r="O40" i="4" l="1"/>
  <c r="O41" i="4" s="1"/>
  <c r="N258" i="1"/>
  <c r="N252" i="1"/>
  <c r="L46" i="15"/>
  <c r="N94" i="1"/>
  <c r="N248" i="1" s="1"/>
  <c r="O13" i="4"/>
  <c r="N103" i="1"/>
  <c r="N246" i="1"/>
  <c r="N85" i="1"/>
  <c r="O60" i="1"/>
  <c r="N96" i="1"/>
  <c r="N241" i="1"/>
  <c r="N240" i="1"/>
  <c r="O43" i="4" l="1"/>
  <c r="O46" i="4" s="1"/>
  <c r="O47" i="4" s="1"/>
  <c r="P45" i="4" s="1"/>
  <c r="O34" i="4"/>
  <c r="O35" i="4" s="1"/>
  <c r="P31" i="4" s="1"/>
  <c r="O68" i="4"/>
  <c r="P7" i="4"/>
  <c r="O62" i="1"/>
  <c r="N107" i="1"/>
  <c r="O18" i="4" s="1"/>
  <c r="O16" i="4"/>
  <c r="N254" i="1"/>
  <c r="N259" i="1" s="1"/>
  <c r="O25" i="4"/>
  <c r="O50" i="4"/>
  <c r="K89" i="10"/>
  <c r="L48" i="15"/>
  <c r="O49" i="4" l="1"/>
  <c r="O71" i="4" s="1"/>
  <c r="L58" i="15"/>
  <c r="L51" i="15"/>
  <c r="P8" i="4"/>
  <c r="P32" i="4" s="1"/>
  <c r="P52" i="4" s="1"/>
  <c r="P53" i="4" s="1"/>
  <c r="O209" i="1"/>
  <c r="O213" i="1" s="1"/>
  <c r="O222" i="1" s="1"/>
  <c r="O72" i="1"/>
  <c r="O70" i="1" s="1"/>
  <c r="O228" i="1"/>
  <c r="M89" i="10"/>
  <c r="C39" i="10"/>
  <c r="G39" i="10" s="1"/>
  <c r="I39" i="10" s="1"/>
  <c r="O63" i="1"/>
  <c r="P9" i="4" s="1"/>
  <c r="P58" i="4" l="1"/>
  <c r="P59" i="4" s="1"/>
  <c r="P55" i="4"/>
  <c r="P56" i="4" s="1"/>
  <c r="O231" i="1"/>
  <c r="P11" i="4"/>
  <c r="O79" i="1"/>
  <c r="P33" i="4"/>
  <c r="P40" i="4" l="1"/>
  <c r="P41" i="4" s="1"/>
  <c r="O96" i="1"/>
  <c r="O94" i="1"/>
  <c r="O248" i="1" s="1"/>
  <c r="O246" i="1"/>
  <c r="O252" i="1"/>
  <c r="O85" i="1"/>
  <c r="M46" i="15"/>
  <c r="P60" i="1"/>
  <c r="O258" i="1"/>
  <c r="O103" i="1"/>
  <c r="P13" i="4"/>
  <c r="O240" i="1"/>
  <c r="O241" i="1"/>
  <c r="P25" i="4" l="1"/>
  <c r="P50" i="4"/>
  <c r="P16" i="4"/>
  <c r="O254" i="1"/>
  <c r="O259" i="1" s="1"/>
  <c r="O107" i="1"/>
  <c r="P18" i="4" s="1"/>
  <c r="M48" i="15"/>
  <c r="K90" i="10"/>
  <c r="Q7" i="4"/>
  <c r="P62" i="1"/>
  <c r="P34" i="4"/>
  <c r="P35" i="4" s="1"/>
  <c r="P68" i="4"/>
  <c r="P43" i="4"/>
  <c r="P46" i="4" s="1"/>
  <c r="P47" i="4" s="1"/>
  <c r="Q45" i="4" s="1"/>
  <c r="P49" i="4" l="1"/>
  <c r="P71" i="4" s="1"/>
  <c r="Q31" i="4"/>
  <c r="Q8" i="4"/>
  <c r="Q32" i="4" s="1"/>
  <c r="Q52" i="4" s="1"/>
  <c r="Q53" i="4" s="1"/>
  <c r="P72" i="1"/>
  <c r="P70" i="1" s="1"/>
  <c r="P209" i="1"/>
  <c r="P213" i="1" s="1"/>
  <c r="P222" i="1" s="1"/>
  <c r="P228" i="1"/>
  <c r="M51" i="15"/>
  <c r="M58" i="15"/>
  <c r="C40" i="10"/>
  <c r="G40" i="10" s="1"/>
  <c r="I40" i="10" s="1"/>
  <c r="M90" i="10"/>
  <c r="P63" i="1"/>
  <c r="Q9" i="4" s="1"/>
  <c r="Q11" i="4" l="1"/>
  <c r="P79" i="1"/>
  <c r="Q33" i="4"/>
  <c r="Q58" i="4"/>
  <c r="Q59" i="4" s="1"/>
  <c r="Q55" i="4"/>
  <c r="Q56" i="4" s="1"/>
  <c r="P231" i="1"/>
  <c r="P240" i="1" l="1"/>
  <c r="P241" i="1"/>
  <c r="Q60" i="1"/>
  <c r="P85" i="1"/>
  <c r="P96" i="1"/>
  <c r="P258" i="1"/>
  <c r="P94" i="1"/>
  <c r="P248" i="1" s="1"/>
  <c r="P252" i="1"/>
  <c r="N46" i="15"/>
  <c r="P103" i="1"/>
  <c r="Q13" i="4"/>
  <c r="P246" i="1"/>
  <c r="Q40" i="4"/>
  <c r="Q41" i="4" s="1"/>
  <c r="Q68" i="4" l="1"/>
  <c r="Q34" i="4"/>
  <c r="Q35" i="4" s="1"/>
  <c r="R31" i="4" s="1"/>
  <c r="Q43" i="4"/>
  <c r="Q46" i="4" s="1"/>
  <c r="Q47" i="4" s="1"/>
  <c r="R45" i="4" s="1"/>
  <c r="Q50" i="4"/>
  <c r="Q25" i="4"/>
  <c r="P254" i="1"/>
  <c r="P259" i="1" s="1"/>
  <c r="P107" i="1"/>
  <c r="Q18" i="4" s="1"/>
  <c r="Q16" i="4"/>
  <c r="R7" i="4"/>
  <c r="Q62" i="1"/>
  <c r="N48" i="15"/>
  <c r="K91" i="10"/>
  <c r="Q49" i="4" l="1"/>
  <c r="Q71" i="4" s="1"/>
  <c r="N51" i="15"/>
  <c r="N58" i="15"/>
  <c r="R8" i="4"/>
  <c r="R32" i="4" s="1"/>
  <c r="R52" i="4" s="1"/>
  <c r="R53" i="4" s="1"/>
  <c r="Q209" i="1"/>
  <c r="Q213" i="1" s="1"/>
  <c r="Q222" i="1" s="1"/>
  <c r="Q72" i="1"/>
  <c r="Q70" i="1" s="1"/>
  <c r="Q228" i="1"/>
  <c r="M91" i="10"/>
  <c r="C41" i="10"/>
  <c r="G41" i="10" s="1"/>
  <c r="I41" i="10" s="1"/>
  <c r="Q63" i="1"/>
  <c r="R9" i="4" s="1"/>
  <c r="R33" i="4" l="1"/>
  <c r="R40" i="4" s="1"/>
  <c r="R41" i="4" s="1"/>
  <c r="Q231" i="1"/>
  <c r="R58" i="4"/>
  <c r="R59" i="4" s="1"/>
  <c r="R55" i="4"/>
  <c r="R56" i="4" s="1"/>
  <c r="R11" i="4"/>
  <c r="Q79" i="1"/>
  <c r="Q240" i="1" l="1"/>
  <c r="Q241" i="1"/>
  <c r="Q238" i="1"/>
  <c r="R60" i="1"/>
  <c r="Q96" i="1"/>
  <c r="Q94" i="1"/>
  <c r="Q248" i="1" s="1"/>
  <c r="O46" i="15"/>
  <c r="Q252" i="1"/>
  <c r="R13" i="4"/>
  <c r="Q85" i="1"/>
  <c r="Q258" i="1"/>
  <c r="Q103" i="1"/>
  <c r="Q246" i="1"/>
  <c r="G80" i="1"/>
  <c r="R68" i="4"/>
  <c r="R34" i="4"/>
  <c r="R35" i="4" s="1"/>
  <c r="R43" i="4"/>
  <c r="R46" i="4" s="1"/>
  <c r="R47" i="4" s="1"/>
  <c r="S45" i="4" s="1"/>
  <c r="R49" i="4" l="1"/>
  <c r="R71" i="4" s="1"/>
  <c r="S31" i="4"/>
  <c r="S7" i="4"/>
  <c r="R62" i="1"/>
  <c r="K92" i="10"/>
  <c r="O48" i="15"/>
  <c r="Q254" i="1"/>
  <c r="Q259" i="1" s="1"/>
  <c r="R16" i="4"/>
  <c r="Q107" i="1"/>
  <c r="G104" i="1"/>
  <c r="R25" i="4"/>
  <c r="R50" i="4"/>
  <c r="O51" i="15" l="1"/>
  <c r="O58" i="15"/>
  <c r="R18" i="4"/>
  <c r="F106" i="1"/>
  <c r="M92" i="10"/>
  <c r="C42" i="10"/>
  <c r="G42" i="10" s="1"/>
  <c r="I42" i="10" s="1"/>
  <c r="I31" i="10" s="1"/>
  <c r="C19" i="10" s="1"/>
  <c r="C17" i="10" s="1"/>
  <c r="I104" i="1"/>
  <c r="I13" i="10" s="1"/>
  <c r="I12" i="10"/>
  <c r="I8" i="10" s="1"/>
  <c r="D93" i="1"/>
  <c r="G93" i="1" s="1"/>
  <c r="R72" i="1"/>
  <c r="R70" i="1" s="1"/>
  <c r="S8" i="4"/>
  <c r="S32" i="4" s="1"/>
  <c r="S52" i="4" s="1"/>
  <c r="S53" i="4" s="1"/>
  <c r="R209" i="1"/>
  <c r="R213" i="1" s="1"/>
  <c r="R222" i="1" s="1"/>
  <c r="R228" i="1"/>
  <c r="R63" i="1"/>
  <c r="S9" i="4" s="1"/>
  <c r="S55" i="4" l="1"/>
  <c r="S56" i="4" s="1"/>
  <c r="S58" i="4"/>
  <c r="S59" i="4" s="1"/>
  <c r="N17" i="4"/>
  <c r="D106" i="1"/>
  <c r="R79" i="1"/>
  <c r="S11" i="4"/>
  <c r="S33" i="4"/>
  <c r="R231" i="1"/>
  <c r="M17" i="4" l="1"/>
  <c r="R258" i="1"/>
  <c r="R252" i="1"/>
  <c r="R85" i="1"/>
  <c r="S13" i="4"/>
  <c r="S50" i="4" s="1"/>
  <c r="R103" i="1"/>
  <c r="S60" i="1"/>
  <c r="P46" i="15"/>
  <c r="R240" i="1"/>
  <c r="R241" i="1"/>
  <c r="S40" i="4"/>
  <c r="S41" i="4" s="1"/>
  <c r="S34" i="4" l="1"/>
  <c r="S35" i="4" s="1"/>
  <c r="T31" i="4" s="1"/>
  <c r="S68" i="4"/>
  <c r="S43" i="4"/>
  <c r="S46" i="4" s="1"/>
  <c r="S47" i="4" s="1"/>
  <c r="T45" i="4" s="1"/>
  <c r="S62" i="1"/>
  <c r="T7" i="4"/>
  <c r="R254" i="1"/>
  <c r="R259" i="1" s="1"/>
  <c r="S16" i="4"/>
  <c r="R118" i="1"/>
  <c r="R121" i="1"/>
  <c r="R123" i="1" s="1"/>
  <c r="S26" i="4" s="1"/>
  <c r="R107" i="1"/>
  <c r="R104" i="1"/>
  <c r="P48" i="15"/>
  <c r="K93" i="10"/>
  <c r="S49" i="4" l="1"/>
  <c r="S71" i="4" s="1"/>
  <c r="S104" i="1"/>
  <c r="P50" i="15"/>
  <c r="C65" i="10"/>
  <c r="G65" i="10" s="1"/>
  <c r="I65" i="10" s="1"/>
  <c r="P58" i="15"/>
  <c r="P49" i="15"/>
  <c r="P51" i="15"/>
  <c r="S22" i="4"/>
  <c r="R120" i="1"/>
  <c r="S25" i="4"/>
  <c r="M93" i="10"/>
  <c r="C49" i="10"/>
  <c r="G49" i="10" s="1"/>
  <c r="I49" i="10" s="1"/>
  <c r="T8" i="4"/>
  <c r="T32" i="4" s="1"/>
  <c r="T52" i="4" s="1"/>
  <c r="T53" i="4" s="1"/>
  <c r="S209" i="1"/>
  <c r="S213" i="1" s="1"/>
  <c r="S222" i="1" s="1"/>
  <c r="S72" i="1"/>
  <c r="S70" i="1" s="1"/>
  <c r="S228" i="1"/>
  <c r="S18" i="4"/>
  <c r="S63" i="1"/>
  <c r="T9" i="4" s="1"/>
  <c r="S23" i="4" l="1"/>
  <c r="T33" i="4"/>
  <c r="S231" i="1"/>
  <c r="T55" i="4"/>
  <c r="T56" i="4" s="1"/>
  <c r="T58" i="4"/>
  <c r="T59" i="4" s="1"/>
  <c r="R108" i="1"/>
  <c r="S19" i="4" s="1"/>
  <c r="T11" i="4"/>
  <c r="S79" i="1"/>
  <c r="T40" i="4" l="1"/>
  <c r="T41" i="4" s="1"/>
  <c r="S240" i="1"/>
  <c r="S241" i="1"/>
  <c r="S85" i="1"/>
  <c r="S252" i="1"/>
  <c r="S258" i="1"/>
  <c r="T13" i="4"/>
  <c r="T50" i="4" s="1"/>
  <c r="T60" i="1"/>
  <c r="S103" i="1"/>
  <c r="Q46" i="15"/>
  <c r="Q48" i="15" l="1"/>
  <c r="K94" i="10"/>
  <c r="S254" i="1"/>
  <c r="S259" i="1" s="1"/>
  <c r="T16" i="4"/>
  <c r="S107" i="1"/>
  <c r="S118" i="1"/>
  <c r="S121" i="1"/>
  <c r="S123" i="1" s="1"/>
  <c r="T26" i="4" s="1"/>
  <c r="T43" i="4"/>
  <c r="T46" i="4" s="1"/>
  <c r="T47" i="4" s="1"/>
  <c r="U45" i="4" s="1"/>
  <c r="T34" i="4"/>
  <c r="T35" i="4" s="1"/>
  <c r="T68" i="4"/>
  <c r="T62" i="1"/>
  <c r="T63" i="1" s="1"/>
  <c r="U9" i="4" s="1"/>
  <c r="U7" i="4"/>
  <c r="T25" i="4" l="1"/>
  <c r="T49" i="4"/>
  <c r="T71" i="4" s="1"/>
  <c r="U31" i="4"/>
  <c r="S120" i="1"/>
  <c r="T22" i="4"/>
  <c r="M94" i="10"/>
  <c r="C50" i="10"/>
  <c r="G50" i="10" s="1"/>
  <c r="I50" i="10" s="1"/>
  <c r="T72" i="1"/>
  <c r="T70" i="1" s="1"/>
  <c r="U8" i="4"/>
  <c r="U32" i="4" s="1"/>
  <c r="U52" i="4" s="1"/>
  <c r="U53" i="4" s="1"/>
  <c r="T209" i="1"/>
  <c r="T213" i="1" s="1"/>
  <c r="T222" i="1" s="1"/>
  <c r="T228" i="1"/>
  <c r="T18" i="4"/>
  <c r="Q51" i="15"/>
  <c r="Q49" i="15"/>
  <c r="Q50" i="15"/>
  <c r="Q58" i="15"/>
  <c r="C66" i="10"/>
  <c r="G66" i="10" s="1"/>
  <c r="I66" i="10" s="1"/>
  <c r="T231" i="1" l="1"/>
  <c r="U58" i="4"/>
  <c r="U59" i="4" s="1"/>
  <c r="U55" i="4"/>
  <c r="U56" i="4" s="1"/>
  <c r="U33" i="4"/>
  <c r="T23" i="4"/>
  <c r="S108" i="1"/>
  <c r="T19" i="4" s="1"/>
  <c r="U11" i="4"/>
  <c r="T79" i="1"/>
  <c r="U40" i="4" l="1"/>
  <c r="U41" i="4" s="1"/>
  <c r="T240" i="1"/>
  <c r="T241" i="1"/>
  <c r="U13" i="4"/>
  <c r="U50" i="4" s="1"/>
  <c r="T85" i="1"/>
  <c r="T103" i="1"/>
  <c r="U60" i="1"/>
  <c r="R46" i="15"/>
  <c r="T252" i="1"/>
  <c r="T258" i="1"/>
  <c r="V7" i="4" l="1"/>
  <c r="U62" i="1"/>
  <c r="U63" i="1" s="1"/>
  <c r="V9" i="4" s="1"/>
  <c r="U16" i="4"/>
  <c r="T107" i="1"/>
  <c r="T121" i="1"/>
  <c r="T123" i="1" s="1"/>
  <c r="U26" i="4" s="1"/>
  <c r="T254" i="1"/>
  <c r="T259" i="1" s="1"/>
  <c r="T118" i="1"/>
  <c r="R48" i="15"/>
  <c r="K95" i="10"/>
  <c r="U68" i="4"/>
  <c r="U34" i="4"/>
  <c r="U35" i="4" s="1"/>
  <c r="U43" i="4"/>
  <c r="U46" i="4" s="1"/>
  <c r="U47" i="4" s="1"/>
  <c r="R50" i="15" l="1"/>
  <c r="R51" i="15"/>
  <c r="R49" i="15"/>
  <c r="C67" i="10"/>
  <c r="G67" i="10" s="1"/>
  <c r="I67" i="10" s="1"/>
  <c r="R58" i="15"/>
  <c r="U49" i="4"/>
  <c r="U71" i="4" s="1"/>
  <c r="V31" i="4"/>
  <c r="U72" i="1"/>
  <c r="U70" i="1" s="1"/>
  <c r="U209" i="1"/>
  <c r="U213" i="1" s="1"/>
  <c r="U222" i="1" s="1"/>
  <c r="V8" i="4"/>
  <c r="V32" i="4" s="1"/>
  <c r="V52" i="4" s="1"/>
  <c r="V53" i="4" s="1"/>
  <c r="U228" i="1"/>
  <c r="V45" i="4"/>
  <c r="V47" i="4"/>
  <c r="U18" i="4"/>
  <c r="C51" i="10"/>
  <c r="G51" i="10" s="1"/>
  <c r="I51" i="10" s="1"/>
  <c r="M95" i="10"/>
  <c r="T120" i="1"/>
  <c r="U22" i="4"/>
  <c r="U25" i="4"/>
  <c r="V33" i="4" l="1"/>
  <c r="V40" i="4" s="1"/>
  <c r="V41" i="4" s="1"/>
  <c r="U23" i="4"/>
  <c r="U231" i="1"/>
  <c r="V58" i="4"/>
  <c r="V59" i="4" s="1"/>
  <c r="V55" i="4"/>
  <c r="V56" i="4" s="1"/>
  <c r="U79" i="1"/>
  <c r="V11" i="4"/>
  <c r="T108" i="1"/>
  <c r="U19" i="4" s="1"/>
  <c r="W47" i="4"/>
  <c r="W45" i="4"/>
  <c r="U240" i="1" l="1"/>
  <c r="U241" i="1"/>
  <c r="X45" i="4"/>
  <c r="X47" i="4"/>
  <c r="S46" i="15"/>
  <c r="V13" i="4"/>
  <c r="V50" i="4" s="1"/>
  <c r="U85" i="1"/>
  <c r="U258" i="1"/>
  <c r="U103" i="1"/>
  <c r="V60" i="1"/>
  <c r="U252" i="1"/>
  <c r="V34" i="4"/>
  <c r="V35" i="4" s="1"/>
  <c r="V68" i="4"/>
  <c r="V43" i="4"/>
  <c r="V46" i="4" s="1"/>
  <c r="Y45" i="4" l="1"/>
  <c r="Y47" i="4"/>
  <c r="V62" i="1"/>
  <c r="W7" i="4"/>
  <c r="V49" i="4"/>
  <c r="V71" i="4" s="1"/>
  <c r="W31" i="4"/>
  <c r="U254" i="1"/>
  <c r="U259" i="1" s="1"/>
  <c r="U118" i="1"/>
  <c r="V16" i="4"/>
  <c r="U121" i="1"/>
  <c r="U123" i="1" s="1"/>
  <c r="V26" i="4" s="1"/>
  <c r="U107" i="1"/>
  <c r="S48" i="15"/>
  <c r="K96" i="10"/>
  <c r="S49" i="15" l="1"/>
  <c r="S51" i="15"/>
  <c r="S58" i="15"/>
  <c r="C68" i="10"/>
  <c r="G68" i="10" s="1"/>
  <c r="I68" i="10" s="1"/>
  <c r="S50" i="15"/>
  <c r="W8" i="4"/>
  <c r="W32" i="4" s="1"/>
  <c r="W52" i="4" s="1"/>
  <c r="W53" i="4" s="1"/>
  <c r="V209" i="1"/>
  <c r="V213" i="1" s="1"/>
  <c r="V222" i="1" s="1"/>
  <c r="V72" i="1"/>
  <c r="V70" i="1" s="1"/>
  <c r="V228" i="1"/>
  <c r="U120" i="1"/>
  <c r="U108" i="1" s="1"/>
  <c r="V19" i="4" s="1"/>
  <c r="V22" i="4"/>
  <c r="V63" i="1"/>
  <c r="W9" i="4" s="1"/>
  <c r="Z47" i="4"/>
  <c r="Z45" i="4"/>
  <c r="V25" i="4"/>
  <c r="C52" i="10"/>
  <c r="G52" i="10" s="1"/>
  <c r="I52" i="10" s="1"/>
  <c r="M96" i="10"/>
  <c r="V18" i="4"/>
  <c r="V23" i="4" l="1"/>
  <c r="W58" i="4"/>
  <c r="W59" i="4" s="1"/>
  <c r="W55" i="4"/>
  <c r="W56" i="4" s="1"/>
  <c r="V231" i="1"/>
  <c r="W33" i="4"/>
  <c r="AA45" i="4"/>
  <c r="AA47" i="4"/>
  <c r="V79" i="1"/>
  <c r="W11" i="4"/>
  <c r="W40" i="4" l="1"/>
  <c r="W41" i="4" s="1"/>
  <c r="W60" i="1"/>
  <c r="V103" i="1"/>
  <c r="W13" i="4"/>
  <c r="W50" i="4" s="1"/>
  <c r="T46" i="15"/>
  <c r="V252" i="1"/>
  <c r="V85" i="1"/>
  <c r="V258" i="1"/>
  <c r="AB47" i="4"/>
  <c r="AB45" i="4"/>
  <c r="V240" i="1"/>
  <c r="V241" i="1"/>
  <c r="W16" i="4" l="1"/>
  <c r="V118" i="1"/>
  <c r="V254" i="1"/>
  <c r="V259" i="1" s="1"/>
  <c r="V107" i="1"/>
  <c r="V121" i="1"/>
  <c r="V123" i="1" s="1"/>
  <c r="W26" i="4" s="1"/>
  <c r="W62" i="1"/>
  <c r="X7" i="4"/>
  <c r="T48" i="15"/>
  <c r="K97" i="10"/>
  <c r="W34" i="4"/>
  <c r="W35" i="4" s="1"/>
  <c r="W43" i="4"/>
  <c r="W46" i="4" s="1"/>
  <c r="W68" i="4"/>
  <c r="W18" i="4" l="1"/>
  <c r="W22" i="4"/>
  <c r="V120" i="1"/>
  <c r="C69" i="10"/>
  <c r="G69" i="10" s="1"/>
  <c r="I69" i="10" s="1"/>
  <c r="T58" i="15"/>
  <c r="T50" i="15"/>
  <c r="T49" i="15"/>
  <c r="T51" i="15"/>
  <c r="W72" i="1"/>
  <c r="W70" i="1" s="1"/>
  <c r="X8" i="4"/>
  <c r="X32" i="4" s="1"/>
  <c r="X52" i="4" s="1"/>
  <c r="X53" i="4" s="1"/>
  <c r="W209" i="1"/>
  <c r="W213" i="1" s="1"/>
  <c r="W222" i="1" s="1"/>
  <c r="W228" i="1"/>
  <c r="X31" i="4"/>
  <c r="W49" i="4"/>
  <c r="W71" i="4" s="1"/>
  <c r="W63" i="1"/>
  <c r="X9" i="4" s="1"/>
  <c r="C53" i="10"/>
  <c r="G53" i="10" s="1"/>
  <c r="I53" i="10" s="1"/>
  <c r="M97" i="10"/>
  <c r="W25" i="4"/>
  <c r="C10" i="12"/>
  <c r="X33" i="4" l="1"/>
  <c r="X40" i="4" s="1"/>
  <c r="X41" i="4" s="1"/>
  <c r="C20" i="12"/>
  <c r="C30" i="12"/>
  <c r="D10" i="12"/>
  <c r="W79" i="1"/>
  <c r="X11" i="4"/>
  <c r="W231" i="1"/>
  <c r="X58" i="4"/>
  <c r="X59" i="4" s="1"/>
  <c r="X55" i="4"/>
  <c r="X56" i="4" s="1"/>
  <c r="W23" i="4"/>
  <c r="V108" i="1"/>
  <c r="W19" i="4" s="1"/>
  <c r="J20" i="12" l="1"/>
  <c r="D30" i="12"/>
  <c r="F30" i="12" s="1"/>
  <c r="E20" i="12"/>
  <c r="F20" i="12" s="1"/>
  <c r="I20" i="12" s="1"/>
  <c r="D20" i="12"/>
  <c r="E10" i="12"/>
  <c r="G10" i="12" s="1"/>
  <c r="J10" i="12" s="1"/>
  <c r="K10" i="12" s="1"/>
  <c r="W240" i="1"/>
  <c r="W241" i="1"/>
  <c r="W103" i="1"/>
  <c r="X60" i="1"/>
  <c r="W85" i="1"/>
  <c r="W258" i="1"/>
  <c r="U46" i="15"/>
  <c r="X13" i="4"/>
  <c r="X50" i="4" s="1"/>
  <c r="W252" i="1"/>
  <c r="X68" i="4"/>
  <c r="X34" i="4"/>
  <c r="X35" i="4" s="1"/>
  <c r="X43" i="4"/>
  <c r="X46" i="4" s="1"/>
  <c r="E30" i="12" l="1"/>
  <c r="G30" i="12" s="1"/>
  <c r="J30" i="12" s="1"/>
  <c r="K30" i="12" s="1"/>
  <c r="X62" i="1"/>
  <c r="X63" i="1" s="1"/>
  <c r="Y9" i="4" s="1"/>
  <c r="Y7" i="4"/>
  <c r="X49" i="4"/>
  <c r="X71" i="4" s="1"/>
  <c r="Y31" i="4"/>
  <c r="U48" i="15"/>
  <c r="K98" i="10"/>
  <c r="W118" i="1"/>
  <c r="X16" i="4"/>
  <c r="X25" i="4" s="1"/>
  <c r="W107" i="1"/>
  <c r="W121" i="1"/>
  <c r="W123" i="1" s="1"/>
  <c r="X26" i="4" s="1"/>
  <c r="W254" i="1"/>
  <c r="W259" i="1" s="1"/>
  <c r="X18" i="4" l="1"/>
  <c r="C54" i="10"/>
  <c r="G54" i="10" s="1"/>
  <c r="I54" i="10" s="1"/>
  <c r="M98" i="10"/>
  <c r="C70" i="10"/>
  <c r="G70" i="10" s="1"/>
  <c r="I70" i="10" s="1"/>
  <c r="U58" i="15"/>
  <c r="U50" i="15"/>
  <c r="U51" i="15"/>
  <c r="U49" i="15"/>
  <c r="W120" i="1"/>
  <c r="X23" i="4" s="1"/>
  <c r="X22" i="4"/>
  <c r="X209" i="1"/>
  <c r="X213" i="1" s="1"/>
  <c r="X222" i="1" s="1"/>
  <c r="X72" i="1"/>
  <c r="X70" i="1" s="1"/>
  <c r="Y8" i="4"/>
  <c r="Y32" i="4" s="1"/>
  <c r="Y52" i="4" s="1"/>
  <c r="Y53" i="4" s="1"/>
  <c r="X228" i="1"/>
  <c r="Y58" i="4" l="1"/>
  <c r="Y59" i="4" s="1"/>
  <c r="Y55" i="4"/>
  <c r="Y56" i="4" s="1"/>
  <c r="W108" i="1"/>
  <c r="X19" i="4" s="1"/>
  <c r="X231" i="1"/>
  <c r="Y33" i="4"/>
  <c r="X79" i="1"/>
  <c r="Y11" i="4"/>
  <c r="X252" i="1" l="1"/>
  <c r="Y13" i="4"/>
  <c r="Y50" i="4" s="1"/>
  <c r="V46" i="15"/>
  <c r="X258" i="1"/>
  <c r="Y60" i="1"/>
  <c r="X85" i="1"/>
  <c r="X103" i="1"/>
  <c r="Y40" i="4"/>
  <c r="Y41" i="4" s="1"/>
  <c r="X240" i="1"/>
  <c r="X241" i="1"/>
  <c r="Y34" i="4" l="1"/>
  <c r="Y35" i="4" s="1"/>
  <c r="Y43" i="4"/>
  <c r="Y46" i="4" s="1"/>
  <c r="Y68" i="4"/>
  <c r="X118" i="1"/>
  <c r="Y16" i="4"/>
  <c r="Y25" i="4" s="1"/>
  <c r="X121" i="1"/>
  <c r="X123" i="1" s="1"/>
  <c r="Y26" i="4" s="1"/>
  <c r="X254" i="1"/>
  <c r="X259" i="1" s="1"/>
  <c r="X107" i="1"/>
  <c r="K99" i="10"/>
  <c r="V48" i="15"/>
  <c r="Z7" i="4"/>
  <c r="Y62" i="1"/>
  <c r="Y18" i="4" l="1"/>
  <c r="V51" i="15"/>
  <c r="V49" i="15"/>
  <c r="V50" i="15"/>
  <c r="V58" i="15"/>
  <c r="C71" i="10"/>
  <c r="G71" i="10" s="1"/>
  <c r="I71" i="10" s="1"/>
  <c r="Y22" i="4"/>
  <c r="X120" i="1"/>
  <c r="Y23" i="4" s="1"/>
  <c r="Y209" i="1"/>
  <c r="Y213" i="1" s="1"/>
  <c r="Y222" i="1" s="1"/>
  <c r="Z8" i="4"/>
  <c r="Z32" i="4" s="1"/>
  <c r="Z52" i="4" s="1"/>
  <c r="Z53" i="4" s="1"/>
  <c r="Y72" i="1"/>
  <c r="Y70" i="1" s="1"/>
  <c r="Y228" i="1"/>
  <c r="Y63" i="1"/>
  <c r="Z9" i="4" s="1"/>
  <c r="C55" i="10"/>
  <c r="G55" i="10" s="1"/>
  <c r="I55" i="10" s="1"/>
  <c r="M99" i="10"/>
  <c r="Y49" i="4"/>
  <c r="Y71" i="4" s="1"/>
  <c r="Z31" i="4"/>
  <c r="Z33" i="4" l="1"/>
  <c r="X108" i="1"/>
  <c r="Y19" i="4" s="1"/>
  <c r="Y79" i="1"/>
  <c r="Z11" i="4"/>
  <c r="Z58" i="4"/>
  <c r="Z59" i="4" s="1"/>
  <c r="Z55" i="4"/>
  <c r="Z56" i="4" s="1"/>
  <c r="Y231" i="1"/>
  <c r="Z60" i="1" l="1"/>
  <c r="Y258" i="1"/>
  <c r="Y103" i="1"/>
  <c r="Y252" i="1"/>
  <c r="W46" i="15"/>
  <c r="Z13" i="4"/>
  <c r="Z50" i="4" s="1"/>
  <c r="Y85" i="1"/>
  <c r="Y241" i="1"/>
  <c r="Y240" i="1"/>
  <c r="Z40" i="4"/>
  <c r="Z41" i="4" s="1"/>
  <c r="Z43" i="4" l="1"/>
  <c r="Z46" i="4" s="1"/>
  <c r="Z68" i="4"/>
  <c r="Z34" i="4"/>
  <c r="Z35" i="4" s="1"/>
  <c r="Y254" i="1"/>
  <c r="Y259" i="1" s="1"/>
  <c r="Y118" i="1"/>
  <c r="Y107" i="1"/>
  <c r="Y121" i="1"/>
  <c r="Y123" i="1" s="1"/>
  <c r="Z26" i="4" s="1"/>
  <c r="Z16" i="4"/>
  <c r="Z25" i="4" s="1"/>
  <c r="W48" i="15"/>
  <c r="K100" i="10"/>
  <c r="AA7" i="4"/>
  <c r="Z62" i="1"/>
  <c r="Z63" i="1" s="1"/>
  <c r="AA9" i="4" s="1"/>
  <c r="AA31" i="4" l="1"/>
  <c r="Z49" i="4"/>
  <c r="Z71" i="4" s="1"/>
  <c r="C56" i="10"/>
  <c r="G56" i="10" s="1"/>
  <c r="I56" i="10" s="1"/>
  <c r="M100" i="10"/>
  <c r="Z72" i="1"/>
  <c r="Z70" i="1" s="1"/>
  <c r="Z209" i="1"/>
  <c r="Z213" i="1" s="1"/>
  <c r="Z222" i="1" s="1"/>
  <c r="AA8" i="4"/>
  <c r="AA32" i="4" s="1"/>
  <c r="AA52" i="4" s="1"/>
  <c r="AA53" i="4" s="1"/>
  <c r="Z228" i="1"/>
  <c r="Z18" i="4"/>
  <c r="W50" i="15"/>
  <c r="W51" i="15"/>
  <c r="W49" i="15"/>
  <c r="C72" i="10"/>
  <c r="G72" i="10" s="1"/>
  <c r="I72" i="10" s="1"/>
  <c r="W58" i="15"/>
  <c r="Z22" i="4"/>
  <c r="Y120" i="1"/>
  <c r="Z23" i="4" s="1"/>
  <c r="Z231" i="1" l="1"/>
  <c r="AA55" i="4"/>
  <c r="AA56" i="4" s="1"/>
  <c r="AA58" i="4"/>
  <c r="AA59" i="4" s="1"/>
  <c r="Y108" i="1"/>
  <c r="Z19" i="4" s="1"/>
  <c r="AA11" i="4"/>
  <c r="Z79" i="1"/>
  <c r="AA33" i="4"/>
  <c r="Z85" i="1" l="1"/>
  <c r="AA60" i="1"/>
  <c r="Z103" i="1"/>
  <c r="Z258" i="1"/>
  <c r="Z252" i="1"/>
  <c r="AA13" i="4"/>
  <c r="AA50" i="4" s="1"/>
  <c r="X46" i="15"/>
  <c r="AA40" i="4"/>
  <c r="AA41" i="4" s="1"/>
  <c r="Z241" i="1"/>
  <c r="Z240" i="1"/>
  <c r="AA34" i="4" l="1"/>
  <c r="AA35" i="4" s="1"/>
  <c r="AA68" i="4"/>
  <c r="AA43" i="4"/>
  <c r="AA46" i="4" s="1"/>
  <c r="AB7" i="4"/>
  <c r="AA62" i="1"/>
  <c r="AA63" i="1" s="1"/>
  <c r="AB9" i="4" s="1"/>
  <c r="K101" i="10"/>
  <c r="X48" i="15"/>
  <c r="Z121" i="1"/>
  <c r="Z123" i="1" s="1"/>
  <c r="AA26" i="4" s="1"/>
  <c r="Z254" i="1"/>
  <c r="Z259" i="1" s="1"/>
  <c r="Z107" i="1"/>
  <c r="Z118" i="1"/>
  <c r="AA16" i="4"/>
  <c r="H105" i="1"/>
  <c r="AA72" i="1" l="1"/>
  <c r="AB8" i="4"/>
  <c r="AB32" i="4" s="1"/>
  <c r="AA209" i="1"/>
  <c r="AA213" i="1" s="1"/>
  <c r="AA222" i="1" s="1"/>
  <c r="AB62" i="1"/>
  <c r="AC8" i="4" s="1"/>
  <c r="AD10" i="4" s="1"/>
  <c r="AA228" i="1"/>
  <c r="AA231" i="1" s="1"/>
  <c r="AA25" i="4"/>
  <c r="C11" i="12"/>
  <c r="AA18" i="4"/>
  <c r="C57" i="10"/>
  <c r="G57" i="10" s="1"/>
  <c r="I57" i="10" s="1"/>
  <c r="M101" i="10"/>
  <c r="Z120" i="1"/>
  <c r="AA23" i="4" s="1"/>
  <c r="AA22" i="4"/>
  <c r="X50" i="15"/>
  <c r="X51" i="15"/>
  <c r="C73" i="10"/>
  <c r="G73" i="10" s="1"/>
  <c r="I73" i="10" s="1"/>
  <c r="X49" i="15"/>
  <c r="X58" i="15"/>
  <c r="AB31" i="4"/>
  <c r="AA49" i="4"/>
  <c r="AA71" i="4" s="1"/>
  <c r="AB33" i="4" l="1"/>
  <c r="AB40" i="4" s="1"/>
  <c r="AB41" i="4" s="1"/>
  <c r="D11" i="12"/>
  <c r="E11" i="12" s="1"/>
  <c r="G11" i="12" s="1"/>
  <c r="J11" i="12" s="1"/>
  <c r="K11" i="12" s="1"/>
  <c r="C21" i="12"/>
  <c r="C31" i="12"/>
  <c r="AB52" i="4"/>
  <c r="AC32" i="4"/>
  <c r="AD37" i="4" s="1"/>
  <c r="Z108" i="1"/>
  <c r="AA19" i="4" s="1"/>
  <c r="AA240" i="1"/>
  <c r="AA241" i="1"/>
  <c r="AB72" i="1"/>
  <c r="AA70" i="1"/>
  <c r="AB11" i="4" l="1"/>
  <c r="AA79" i="1"/>
  <c r="AC52" i="4"/>
  <c r="AB53" i="4"/>
  <c r="AB68" i="4"/>
  <c r="AB34" i="4"/>
  <c r="AB35" i="4" s="1"/>
  <c r="AB49" i="4" s="1"/>
  <c r="AB71" i="4" s="1"/>
  <c r="AB43" i="4"/>
  <c r="AB46" i="4" s="1"/>
  <c r="J21" i="12"/>
  <c r="E21" i="12"/>
  <c r="F21" i="12" s="1"/>
  <c r="I21" i="12" s="1"/>
  <c r="D31" i="12"/>
  <c r="F31" i="12" s="1"/>
  <c r="D21" i="12"/>
  <c r="AA103" i="1" l="1"/>
  <c r="AB13" i="4"/>
  <c r="AA258" i="1"/>
  <c r="Y46" i="15"/>
  <c r="AA85" i="1"/>
  <c r="AB85" i="1" s="1"/>
  <c r="AA252" i="1"/>
  <c r="G81" i="1"/>
  <c r="AB55" i="4"/>
  <c r="AB56" i="4" s="1"/>
  <c r="AB58" i="4"/>
  <c r="AB59" i="4" s="1"/>
  <c r="E31" i="12"/>
  <c r="G31" i="12" s="1"/>
  <c r="J31" i="12" s="1"/>
  <c r="K31" i="12" s="1"/>
  <c r="X66" i="4" l="1"/>
  <c r="Z66" i="4"/>
  <c r="AB50" i="4"/>
  <c r="R23" i="12" s="1"/>
  <c r="S66" i="4"/>
  <c r="AA66" i="4"/>
  <c r="T66" i="4"/>
  <c r="V66" i="4"/>
  <c r="Y66" i="4"/>
  <c r="W66" i="4"/>
  <c r="AB66" i="4"/>
  <c r="U66" i="4"/>
  <c r="K102" i="10"/>
  <c r="Y48" i="15"/>
  <c r="AA118" i="1"/>
  <c r="AA254" i="1"/>
  <c r="AA259" i="1" s="1"/>
  <c r="AA107" i="1"/>
  <c r="AA121" i="1"/>
  <c r="AA123" i="1" s="1"/>
  <c r="AB26" i="4" s="1"/>
  <c r="AB16" i="4"/>
  <c r="G105" i="1"/>
  <c r="AB18" i="4" l="1"/>
  <c r="F107" i="1"/>
  <c r="D102" i="1"/>
  <c r="G102" i="1" s="1"/>
  <c r="I105" i="1"/>
  <c r="AB22" i="4"/>
  <c r="AA120" i="1"/>
  <c r="G119" i="1"/>
  <c r="M102" i="10"/>
  <c r="C58" i="10"/>
  <c r="G58" i="10" s="1"/>
  <c r="I58" i="10" s="1"/>
  <c r="I47" i="10" s="1"/>
  <c r="E19" i="10" s="1"/>
  <c r="E17" i="10" s="1"/>
  <c r="AB25" i="4"/>
  <c r="C12" i="12"/>
  <c r="C74" i="10"/>
  <c r="G74" i="10" s="1"/>
  <c r="I74" i="10" s="1"/>
  <c r="I63" i="10" s="1"/>
  <c r="G19" i="10" s="1"/>
  <c r="G17" i="10" s="1"/>
  <c r="Y50" i="15"/>
  <c r="Y49" i="15"/>
  <c r="Y58" i="15"/>
  <c r="Y51" i="15"/>
  <c r="C22" i="12" l="1"/>
  <c r="C32" i="12"/>
  <c r="D12" i="12"/>
  <c r="AB23" i="4"/>
  <c r="F120" i="1"/>
  <c r="I17" i="10"/>
  <c r="AA108" i="1"/>
  <c r="AB19" i="4" s="1"/>
  <c r="G22" i="4"/>
  <c r="D116" i="1"/>
  <c r="G116" i="1" s="1"/>
  <c r="D107" i="1"/>
  <c r="Y17" i="4"/>
  <c r="M103" i="10"/>
  <c r="S7" i="10" s="1"/>
  <c r="I10" i="10" s="1"/>
  <c r="X17" i="4" l="1"/>
  <c r="D120" i="1"/>
  <c r="D23" i="4" s="1"/>
  <c r="F23" i="4"/>
  <c r="D22" i="12"/>
  <c r="E22" i="12"/>
  <c r="F22" i="12" s="1"/>
  <c r="J22" i="12"/>
  <c r="D32" i="12"/>
  <c r="F32" i="12" s="1"/>
  <c r="E12" i="12"/>
  <c r="G12" i="12" s="1"/>
  <c r="I22" i="12" l="1"/>
  <c r="F21" i="9"/>
  <c r="J12" i="12"/>
  <c r="K12" i="12" s="1"/>
  <c r="B21" i="9"/>
  <c r="H30" i="1"/>
  <c r="N2" i="4" s="1"/>
  <c r="E32" i="12"/>
  <c r="G32" i="12" s="1"/>
  <c r="D109" i="1"/>
  <c r="G17" i="4" s="1"/>
  <c r="D5" i="9"/>
  <c r="D12" i="9" s="1"/>
  <c r="J32" i="12" l="1"/>
  <c r="K32" i="12" s="1"/>
  <c r="D21" i="9"/>
  <c r="F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Bell</author>
  </authors>
  <commentList>
    <comment ref="I12" authorId="0" shapeId="0" xr:uid="{00000000-0006-0000-0C00-000001000000}">
      <text>
        <r>
          <rPr>
            <b/>
            <sz val="9"/>
            <color indexed="81"/>
            <rFont val="Tahoma"/>
            <family val="2"/>
          </rPr>
          <t>John Bell:</t>
        </r>
        <r>
          <rPr>
            <sz val="9"/>
            <color indexed="81"/>
            <rFont val="Tahoma"/>
            <family val="2"/>
          </rPr>
          <t xml:space="preserve">
This spreadsheet performs only the 10- and 20-year CNA analyses.</t>
        </r>
      </text>
    </comment>
    <comment ref="I14" authorId="0" shapeId="0" xr:uid="{00000000-0006-0000-0C00-000002000000}">
      <text>
        <r>
          <rPr>
            <b/>
            <sz val="9"/>
            <color indexed="81"/>
            <rFont val="Tahoma"/>
            <family val="2"/>
          </rPr>
          <t>John Bell:</t>
        </r>
        <r>
          <rPr>
            <sz val="9"/>
            <color indexed="81"/>
            <rFont val="Tahoma"/>
            <family val="2"/>
          </rPr>
          <t xml:space="preserve">
Linked to Input tab</t>
        </r>
      </text>
    </comment>
    <comment ref="I16" authorId="0" shapeId="0" xr:uid="{00000000-0006-0000-0C00-000003000000}">
      <text>
        <r>
          <rPr>
            <b/>
            <sz val="9"/>
            <color indexed="81"/>
            <rFont val="Tahoma"/>
            <family val="2"/>
          </rPr>
          <t>John Bell:</t>
        </r>
        <r>
          <rPr>
            <sz val="9"/>
            <color indexed="81"/>
            <rFont val="Tahoma"/>
            <family val="2"/>
          </rPr>
          <t xml:space="preserve">
Linked to input tab.</t>
        </r>
      </text>
    </comment>
    <comment ref="I24" authorId="0" shapeId="0" xr:uid="{00000000-0006-0000-0C00-000004000000}">
      <text>
        <r>
          <rPr>
            <b/>
            <sz val="9"/>
            <color indexed="81"/>
            <rFont val="Tahoma"/>
            <family val="2"/>
          </rPr>
          <t>John Bell:</t>
        </r>
        <r>
          <rPr>
            <sz val="9"/>
            <color indexed="81"/>
            <rFont val="Tahoma"/>
            <family val="2"/>
          </rPr>
          <t xml:space="preserve">
Linked to Input tab</t>
        </r>
      </text>
    </comment>
    <comment ref="J24" authorId="0" shapeId="0" xr:uid="{00000000-0006-0000-0C00-000005000000}">
      <text>
        <r>
          <rPr>
            <b/>
            <sz val="9"/>
            <color indexed="81"/>
            <rFont val="Tahoma"/>
            <family val="2"/>
          </rPr>
          <t>John Bell:</t>
        </r>
        <r>
          <rPr>
            <sz val="9"/>
            <color indexed="81"/>
            <rFont val="Tahoma"/>
            <family val="2"/>
          </rPr>
          <t xml:space="preserve">
Linked to Input tab</t>
        </r>
      </text>
    </comment>
    <comment ref="N28" authorId="0" shapeId="0" xr:uid="{00000000-0006-0000-0C00-000006000000}">
      <text>
        <r>
          <rPr>
            <b/>
            <sz val="9"/>
            <color indexed="81"/>
            <rFont val="Tahoma"/>
            <family val="2"/>
          </rPr>
          <t>John Bell:</t>
        </r>
        <r>
          <rPr>
            <sz val="9"/>
            <color indexed="81"/>
            <rFont val="Tahoma"/>
            <family val="2"/>
          </rPr>
          <t xml:space="preserve">
eTool uses preduration avg in yr 1, then inflates. Without looking a component level recreating same calc is not possible.</t>
        </r>
      </text>
    </comment>
    <comment ref="Q30" authorId="0" shapeId="0" xr:uid="{00000000-0006-0000-0C00-000007000000}">
      <text>
        <r>
          <rPr>
            <b/>
            <sz val="9"/>
            <color indexed="81"/>
            <rFont val="Tahoma"/>
            <family val="2"/>
          </rPr>
          <t>John Bell:</t>
        </r>
        <r>
          <rPr>
            <sz val="9"/>
            <color indexed="81"/>
            <rFont val="Tahoma"/>
            <family val="2"/>
          </rPr>
          <t xml:space="preserve">
Taken from imported data, without duration unadjusted component level data, otherwise can't be deduced from aggregate </t>
        </r>
      </text>
    </comment>
    <comment ref="H66" authorId="0" shapeId="0" xr:uid="{00000000-0006-0000-0C00-000008000000}">
      <text>
        <r>
          <rPr>
            <b/>
            <sz val="9"/>
            <color indexed="81"/>
            <rFont val="Tahoma"/>
            <family val="2"/>
          </rPr>
          <t>John Bell:</t>
        </r>
        <r>
          <rPr>
            <sz val="9"/>
            <color indexed="81"/>
            <rFont val="Tahoma"/>
            <family val="2"/>
          </rPr>
          <t xml:space="preserve">
Changed to hard "0%" to conform (as I believe is the case) to the CAN calculation of "Rel Yr 1" in that assumes only year end inflation applies, 
9/12/17.</t>
        </r>
      </text>
    </comment>
    <comment ref="I66" authorId="0" shapeId="0" xr:uid="{00000000-0006-0000-0C00-000009000000}">
      <text>
        <r>
          <rPr>
            <b/>
            <sz val="9"/>
            <color indexed="81"/>
            <rFont val="Tahoma"/>
            <family val="2"/>
          </rPr>
          <t>John Bell:</t>
        </r>
        <r>
          <rPr>
            <sz val="9"/>
            <color indexed="81"/>
            <rFont val="Tahoma"/>
            <family val="2"/>
          </rPr>
          <t xml:space="preserve">
took out=&lt; in formula and made it only &lt; in year reference.</t>
        </r>
      </text>
    </comment>
    <comment ref="C73" authorId="0" shapeId="0" xr:uid="{00000000-0006-0000-0C00-00000A000000}">
      <text>
        <r>
          <rPr>
            <b/>
            <sz val="9"/>
            <color indexed="81"/>
            <rFont val="Tahoma"/>
            <family val="2"/>
          </rPr>
          <t>John Bell:</t>
        </r>
        <r>
          <rPr>
            <sz val="9"/>
            <color indexed="81"/>
            <rFont val="Tahoma"/>
            <family val="2"/>
          </rPr>
          <t xml:space="preserve">
Modified to be a discount from the inflated needs read in from the Financial Schedule. 10/10/17</t>
        </r>
      </text>
    </comment>
    <comment ref="H73" authorId="0" shapeId="0" xr:uid="{00000000-0006-0000-0C00-00000B000000}">
      <text>
        <r>
          <rPr>
            <b/>
            <sz val="9"/>
            <color indexed="81"/>
            <rFont val="Tahoma"/>
            <family val="2"/>
          </rPr>
          <t>John Bell:</t>
        </r>
        <r>
          <rPr>
            <sz val="9"/>
            <color indexed="81"/>
            <rFont val="Tahoma"/>
            <family val="2"/>
          </rPr>
          <t xml:space="preserve">
Linked to Input tab.</t>
        </r>
      </text>
    </comment>
    <comment ref="I73" authorId="0" shapeId="0" xr:uid="{00000000-0006-0000-0C00-00000C000000}">
      <text>
        <r>
          <rPr>
            <b/>
            <sz val="9"/>
            <color indexed="81"/>
            <rFont val="Tahoma"/>
            <family val="2"/>
          </rPr>
          <t>John Bell:</t>
        </r>
        <r>
          <rPr>
            <sz val="9"/>
            <color indexed="81"/>
            <rFont val="Tahoma"/>
            <family val="2"/>
          </rPr>
          <t xml:space="preserve">
Linked to Input tab.</t>
        </r>
      </text>
    </comment>
    <comment ref="J73" authorId="0" shapeId="0" xr:uid="{00000000-0006-0000-0C00-00000D000000}">
      <text>
        <r>
          <rPr>
            <b/>
            <sz val="9"/>
            <color indexed="81"/>
            <rFont val="Tahoma"/>
            <family val="2"/>
          </rPr>
          <t>John Bell:</t>
        </r>
        <r>
          <rPr>
            <sz val="9"/>
            <color indexed="81"/>
            <rFont val="Tahoma"/>
            <family val="2"/>
          </rPr>
          <t xml:space="preserve">
Linked to Input tab.</t>
        </r>
      </text>
    </comment>
    <comment ref="K73" authorId="0" shapeId="0" xr:uid="{00000000-0006-0000-0C00-00000E000000}">
      <text>
        <r>
          <rPr>
            <b/>
            <sz val="9"/>
            <color indexed="81"/>
            <rFont val="Tahoma"/>
            <family val="2"/>
          </rPr>
          <t>John Bell:</t>
        </r>
        <r>
          <rPr>
            <sz val="9"/>
            <color indexed="81"/>
            <rFont val="Tahoma"/>
            <family val="2"/>
          </rPr>
          <t xml:space="preserve">
Linked to Input tab.</t>
        </r>
      </text>
    </comment>
    <comment ref="L73" authorId="0" shapeId="0" xr:uid="{00000000-0006-0000-0C00-00000F000000}">
      <text>
        <r>
          <rPr>
            <b/>
            <sz val="9"/>
            <color indexed="81"/>
            <rFont val="Tahoma"/>
            <family val="2"/>
          </rPr>
          <t>John Bell:</t>
        </r>
        <r>
          <rPr>
            <sz val="9"/>
            <color indexed="81"/>
            <rFont val="Tahoma"/>
            <family val="2"/>
          </rPr>
          <t xml:space="preserve">
Linked to Input tab.</t>
        </r>
      </text>
    </comment>
    <comment ref="M73" authorId="0" shapeId="0" xr:uid="{00000000-0006-0000-0C00-000010000000}">
      <text>
        <r>
          <rPr>
            <b/>
            <sz val="9"/>
            <color indexed="81"/>
            <rFont val="Tahoma"/>
            <family val="2"/>
          </rPr>
          <t>John Bell:</t>
        </r>
        <r>
          <rPr>
            <sz val="9"/>
            <color indexed="81"/>
            <rFont val="Tahoma"/>
            <family val="2"/>
          </rPr>
          <t xml:space="preserve">
Linked to Input tab.</t>
        </r>
      </text>
    </comment>
    <comment ref="N73" authorId="0" shapeId="0" xr:uid="{00000000-0006-0000-0C00-000011000000}">
      <text>
        <r>
          <rPr>
            <b/>
            <sz val="9"/>
            <color indexed="81"/>
            <rFont val="Tahoma"/>
            <family val="2"/>
          </rPr>
          <t>John Bell:</t>
        </r>
        <r>
          <rPr>
            <sz val="9"/>
            <color indexed="81"/>
            <rFont val="Tahoma"/>
            <family val="2"/>
          </rPr>
          <t xml:space="preserve">
Linked to Input tab.</t>
        </r>
      </text>
    </comment>
    <comment ref="O73" authorId="0" shapeId="0" xr:uid="{00000000-0006-0000-0C00-000012000000}">
      <text>
        <r>
          <rPr>
            <b/>
            <sz val="9"/>
            <color indexed="81"/>
            <rFont val="Tahoma"/>
            <family val="2"/>
          </rPr>
          <t>John Bell:</t>
        </r>
        <r>
          <rPr>
            <sz val="9"/>
            <color indexed="81"/>
            <rFont val="Tahoma"/>
            <family val="2"/>
          </rPr>
          <t xml:space="preserve">
Linked to Input tab.</t>
        </r>
      </text>
    </comment>
    <comment ref="P73" authorId="0" shapeId="0" xr:uid="{00000000-0006-0000-0C00-000013000000}">
      <text>
        <r>
          <rPr>
            <b/>
            <sz val="9"/>
            <color indexed="81"/>
            <rFont val="Tahoma"/>
            <family val="2"/>
          </rPr>
          <t>John Bell:</t>
        </r>
        <r>
          <rPr>
            <sz val="9"/>
            <color indexed="81"/>
            <rFont val="Tahoma"/>
            <family val="2"/>
          </rPr>
          <t xml:space="preserve">
Linked to Input tab.</t>
        </r>
      </text>
    </comment>
    <comment ref="Q73" authorId="0" shapeId="0" xr:uid="{00000000-0006-0000-0C00-000014000000}">
      <text>
        <r>
          <rPr>
            <b/>
            <sz val="9"/>
            <color indexed="81"/>
            <rFont val="Tahoma"/>
            <family val="2"/>
          </rPr>
          <t>John Bell:</t>
        </r>
        <r>
          <rPr>
            <sz val="9"/>
            <color indexed="81"/>
            <rFont val="Tahoma"/>
            <family val="2"/>
          </rPr>
          <t xml:space="preserve">
Linked to Input tab.</t>
        </r>
      </text>
    </comment>
    <comment ref="R73" authorId="0" shapeId="0" xr:uid="{00000000-0006-0000-0C00-000015000000}">
      <text>
        <r>
          <rPr>
            <b/>
            <sz val="9"/>
            <color indexed="81"/>
            <rFont val="Tahoma"/>
            <family val="2"/>
          </rPr>
          <t>John Bell:</t>
        </r>
        <r>
          <rPr>
            <sz val="9"/>
            <color indexed="81"/>
            <rFont val="Tahoma"/>
            <family val="2"/>
          </rPr>
          <t xml:space="preserve">
Linked to Input tab.</t>
        </r>
      </text>
    </comment>
    <comment ref="S73" authorId="0" shapeId="0" xr:uid="{00000000-0006-0000-0C00-000016000000}">
      <text>
        <r>
          <rPr>
            <b/>
            <sz val="9"/>
            <color indexed="81"/>
            <rFont val="Tahoma"/>
            <family val="2"/>
          </rPr>
          <t>John Bell:</t>
        </r>
        <r>
          <rPr>
            <sz val="9"/>
            <color indexed="81"/>
            <rFont val="Tahoma"/>
            <family val="2"/>
          </rPr>
          <t xml:space="preserve">
Linked to Input tab.</t>
        </r>
      </text>
    </comment>
    <comment ref="T73" authorId="0" shapeId="0" xr:uid="{00000000-0006-0000-0C00-000017000000}">
      <text>
        <r>
          <rPr>
            <b/>
            <sz val="9"/>
            <color indexed="81"/>
            <rFont val="Tahoma"/>
            <family val="2"/>
          </rPr>
          <t>John Bell:</t>
        </r>
        <r>
          <rPr>
            <sz val="9"/>
            <color indexed="81"/>
            <rFont val="Tahoma"/>
            <family val="2"/>
          </rPr>
          <t xml:space="preserve">
Linked to Input tab.</t>
        </r>
      </text>
    </comment>
    <comment ref="U73" authorId="0" shapeId="0" xr:uid="{00000000-0006-0000-0C00-000018000000}">
      <text>
        <r>
          <rPr>
            <b/>
            <sz val="9"/>
            <color indexed="81"/>
            <rFont val="Tahoma"/>
            <family val="2"/>
          </rPr>
          <t>John Bell:</t>
        </r>
        <r>
          <rPr>
            <sz val="9"/>
            <color indexed="81"/>
            <rFont val="Tahoma"/>
            <family val="2"/>
          </rPr>
          <t xml:space="preserve">
Linked to Input tab.</t>
        </r>
      </text>
    </comment>
    <comment ref="V73" authorId="0" shapeId="0" xr:uid="{00000000-0006-0000-0C00-000019000000}">
      <text>
        <r>
          <rPr>
            <b/>
            <sz val="9"/>
            <color indexed="81"/>
            <rFont val="Tahoma"/>
            <family val="2"/>
          </rPr>
          <t>John Bell:</t>
        </r>
        <r>
          <rPr>
            <sz val="9"/>
            <color indexed="81"/>
            <rFont val="Tahoma"/>
            <family val="2"/>
          </rPr>
          <t xml:space="preserve">
Linked to Input tab.</t>
        </r>
      </text>
    </comment>
    <comment ref="W73" authorId="0" shapeId="0" xr:uid="{00000000-0006-0000-0C00-00001A000000}">
      <text>
        <r>
          <rPr>
            <b/>
            <sz val="9"/>
            <color indexed="81"/>
            <rFont val="Tahoma"/>
            <family val="2"/>
          </rPr>
          <t>John Bell:</t>
        </r>
        <r>
          <rPr>
            <sz val="9"/>
            <color indexed="81"/>
            <rFont val="Tahoma"/>
            <family val="2"/>
          </rPr>
          <t xml:space="preserve">
Linked to Input tab.</t>
        </r>
      </text>
    </comment>
    <comment ref="X73" authorId="0" shapeId="0" xr:uid="{00000000-0006-0000-0C00-00001B000000}">
      <text>
        <r>
          <rPr>
            <b/>
            <sz val="9"/>
            <color indexed="81"/>
            <rFont val="Tahoma"/>
            <family val="2"/>
          </rPr>
          <t>John Bell:</t>
        </r>
        <r>
          <rPr>
            <sz val="9"/>
            <color indexed="81"/>
            <rFont val="Tahoma"/>
            <family val="2"/>
          </rPr>
          <t xml:space="preserve">
Linked to Input tab.</t>
        </r>
      </text>
    </comment>
    <comment ref="Y73" authorId="0" shapeId="0" xr:uid="{00000000-0006-0000-0C00-00001C000000}">
      <text>
        <r>
          <rPr>
            <b/>
            <sz val="9"/>
            <color indexed="81"/>
            <rFont val="Tahoma"/>
            <family val="2"/>
          </rPr>
          <t>John Bell:</t>
        </r>
        <r>
          <rPr>
            <sz val="9"/>
            <color indexed="81"/>
            <rFont val="Tahoma"/>
            <family val="2"/>
          </rPr>
          <t xml:space="preserve">
Linked to Input tab.</t>
        </r>
      </text>
    </comment>
    <comment ref="Z73" authorId="0" shapeId="0" xr:uid="{00000000-0006-0000-0C00-00001D000000}">
      <text>
        <r>
          <rPr>
            <b/>
            <sz val="9"/>
            <color indexed="81"/>
            <rFont val="Tahoma"/>
            <family val="2"/>
          </rPr>
          <t>John Bell:</t>
        </r>
        <r>
          <rPr>
            <sz val="9"/>
            <color indexed="81"/>
            <rFont val="Tahoma"/>
            <family val="2"/>
          </rPr>
          <t xml:space="preserve">
Linked to Input tab.</t>
        </r>
      </text>
    </comment>
    <comment ref="AA73" authorId="0" shapeId="0" xr:uid="{00000000-0006-0000-0C00-00001E000000}">
      <text>
        <r>
          <rPr>
            <b/>
            <sz val="9"/>
            <color indexed="81"/>
            <rFont val="Tahoma"/>
            <family val="2"/>
          </rPr>
          <t>John Bell:</t>
        </r>
        <r>
          <rPr>
            <sz val="9"/>
            <color indexed="81"/>
            <rFont val="Tahoma"/>
            <family val="2"/>
          </rPr>
          <t xml:space="preserve">
Linked to Input tab.</t>
        </r>
      </text>
    </comment>
    <comment ref="H74" authorId="0" shapeId="0" xr:uid="{00000000-0006-0000-0C00-00001F000000}">
      <text>
        <r>
          <rPr>
            <b/>
            <sz val="9"/>
            <color indexed="81"/>
            <rFont val="Tahoma"/>
            <family val="2"/>
          </rPr>
          <t>John Bell:</t>
        </r>
        <r>
          <rPr>
            <sz val="9"/>
            <color indexed="81"/>
            <rFont val="Tahoma"/>
            <family val="2"/>
          </rPr>
          <t xml:space="preserve">
Hard coded to 0% for Relative Year 1 to conform, as far as I can tell, to CAN tool, 9/12/17.</t>
        </r>
      </text>
    </comment>
    <comment ref="I74" authorId="0" shapeId="0" xr:uid="{00000000-0006-0000-0C00-000020000000}">
      <text>
        <r>
          <rPr>
            <b/>
            <sz val="9"/>
            <color indexed="81"/>
            <rFont val="Tahoma"/>
            <family val="2"/>
          </rPr>
          <t>John Bell:</t>
        </r>
        <r>
          <rPr>
            <sz val="9"/>
            <color indexed="81"/>
            <rFont val="Tahoma"/>
            <family val="2"/>
          </rPr>
          <t xml:space="preserve">
Took out &lt;= in formula and made it only &lt;.</t>
        </r>
      </text>
    </comment>
    <comment ref="C77" authorId="0" shapeId="0" xr:uid="{00000000-0006-0000-0C00-000021000000}">
      <text>
        <r>
          <rPr>
            <b/>
            <sz val="9"/>
            <color indexed="81"/>
            <rFont val="Tahoma"/>
            <family val="2"/>
          </rPr>
          <t>John Bell: Created to allow known inflated (duration-adjusted) need to be discounted.</t>
        </r>
        <r>
          <rPr>
            <sz val="9"/>
            <color indexed="81"/>
            <rFont val="Tahoma"/>
            <family val="2"/>
          </rPr>
          <t xml:space="preserve">
</t>
        </r>
      </text>
    </comment>
    <comment ref="C98" authorId="0" shapeId="0" xr:uid="{00000000-0006-0000-0C00-000022000000}">
      <text>
        <r>
          <rPr>
            <b/>
            <sz val="9"/>
            <color indexed="81"/>
            <rFont val="Tahoma"/>
            <family val="2"/>
          </rPr>
          <t>John Bell:</t>
        </r>
        <r>
          <rPr>
            <sz val="9"/>
            <color indexed="81"/>
            <rFont val="Tahoma"/>
            <family val="2"/>
          </rPr>
          <t xml:space="preserve">
see source note. e-Tool calcs use duration adjusted avg then inflate; w/o components  figure cannot be derived so  yr 1 is taken from eTool imported data</t>
        </r>
      </text>
    </comment>
  </commentList>
</comments>
</file>

<file path=xl/sharedStrings.xml><?xml version="1.0" encoding="utf-8"?>
<sst xmlns="http://schemas.openxmlformats.org/spreadsheetml/2006/main" count="787" uniqueCount="560">
  <si>
    <t>HUD RfR Financial Factors Analysis Tool</t>
  </si>
  <si>
    <t>Update date:</t>
  </si>
  <si>
    <t>Update Information</t>
  </si>
  <si>
    <t>Update date</t>
  </si>
  <si>
    <t>Worksheet</t>
  </si>
  <si>
    <t>Issue and Change (conforming and minor changes not listed.)</t>
  </si>
  <si>
    <t>See below</t>
  </si>
  <si>
    <t>Formulas which derive rate changes neglected to include the operative "0" in the MATCH formula within the OFFSET formula, resulting in an error message. The Operative "0" has been added to allow an exact match for the word "Change" within the lookup array.</t>
  </si>
  <si>
    <t>eTool Data Conversion</t>
  </si>
  <si>
    <t>eTool Data</t>
  </si>
  <si>
    <t>Created a pull-down menu option to use the converted data in the eTool Data Conversion worksheet or data from a linked file.</t>
  </si>
  <si>
    <t>Pass Fail Status</t>
  </si>
  <si>
    <t>Rewrote formulas in Data Source cell to reflect data source option for converted data, in E20.</t>
  </si>
  <si>
    <t>eTool Data Conversion and Trial Deposits Analysis</t>
  </si>
  <si>
    <t>Instructions</t>
  </si>
  <si>
    <t>Attachment-RfR Commt Lttr</t>
  </si>
  <si>
    <t>Reference in I27 corrected to refer to F34 instead of f40 on eTool Data Engine to cite Dep. Escalation after change (previously mistakenly cited Cap Needs inflation).</t>
  </si>
  <si>
    <t>Altered E20 to reflect option choice for data source.</t>
  </si>
  <si>
    <t>eTool Data Analysis and Trial Deposits Analysis</t>
  </si>
  <si>
    <t>Supporting details and columns of figures were added to support new graphs related to full period shortfall and cumulative amortization and data in Pass Fail Status worksheet.</t>
  </si>
  <si>
    <t>Altered graph line, RfR less Min. to a dashed line.</t>
  </si>
  <si>
    <t>Description</t>
  </si>
  <si>
    <t>Year 01</t>
  </si>
  <si>
    <t>Year 02</t>
  </si>
  <si>
    <t>Year 03</t>
  </si>
  <si>
    <t>Year 04</t>
  </si>
  <si>
    <t>Year 05</t>
  </si>
  <si>
    <t>Year 06</t>
  </si>
  <si>
    <t>Year 07</t>
  </si>
  <si>
    <t>Year 08</t>
  </si>
  <si>
    <t>Year 09</t>
  </si>
  <si>
    <t>Year 10</t>
  </si>
  <si>
    <t>Year 11</t>
  </si>
  <si>
    <t>Year 12</t>
  </si>
  <si>
    <t>Year 13</t>
  </si>
  <si>
    <t>Year 14</t>
  </si>
  <si>
    <t>Year 15</t>
  </si>
  <si>
    <t>Year 16</t>
  </si>
  <si>
    <t>Year 17</t>
  </si>
  <si>
    <t>Year 18</t>
  </si>
  <si>
    <t>Year 19</t>
  </si>
  <si>
    <t>Year 20</t>
  </si>
  <si>
    <t>Calendar Year</t>
  </si>
  <si>
    <t>Beginning Balance</t>
  </si>
  <si>
    <t>Interest Income</t>
  </si>
  <si>
    <t>Annual Deposit</t>
  </si>
  <si>
    <t>Inflated Needs (Withdrawal)</t>
  </si>
  <si>
    <t>Ending Balance</t>
  </si>
  <si>
    <t>Required Minimum Balance</t>
  </si>
  <si>
    <t>Interest Rate on Balance%</t>
  </si>
  <si>
    <t>Inflation Rate on Deposit%</t>
  </si>
  <si>
    <t>Inflation Rate on Capital Needs%</t>
  </si>
  <si>
    <t>RFRR Deposit / Unit / Year</t>
  </si>
  <si>
    <t>Inflated Needs / Unit / Year</t>
  </si>
  <si>
    <t>Inflation Rate on Deposit</t>
  </si>
  <si>
    <t>Inflation Rate on Capital Needs</t>
  </si>
  <si>
    <t>Project Name</t>
  </si>
  <si>
    <t>Initial Deposit</t>
  </si>
  <si>
    <t>RY 1-10</t>
  </si>
  <si>
    <t>RY 11+</t>
  </si>
  <si>
    <t>Total</t>
  </si>
  <si>
    <t>Full Period</t>
  </si>
  <si>
    <t>Project City</t>
  </si>
  <si>
    <t>Project Name:</t>
  </si>
  <si>
    <t>Project State</t>
  </si>
  <si>
    <t>FHA #:</t>
  </si>
  <si>
    <t>SOA</t>
  </si>
  <si>
    <t>Lender</t>
  </si>
  <si>
    <t># of Violations:</t>
  </si>
  <si>
    <t>click here</t>
  </si>
  <si>
    <t>Mortgage Interest Rate (Coupon):</t>
  </si>
  <si>
    <t>Amortization Start Date:</t>
  </si>
  <si>
    <t>OVERALL RESULT:</t>
  </si>
  <si>
    <t>Relative Year</t>
  </si>
  <si>
    <t>Estimate Period Required Minimum Balance</t>
  </si>
  <si>
    <t>Required Minimum Balance Test Met?</t>
  </si>
  <si>
    <t>Cumulative Amortization Offset* Allowed (Principal Paid x Allowance %)</t>
  </si>
  <si>
    <t>FOR REFERENCE: e-Tool Data</t>
  </si>
  <si>
    <t>Data Source: Validated CNA e-Tool</t>
  </si>
  <si>
    <t xml:space="preserve">Inflated Needs </t>
  </si>
  <si>
    <t>Estimate Period Required Minimum Balances</t>
  </si>
  <si>
    <t>e-Tool Data Ending RfR Balance</t>
  </si>
  <si>
    <t>Inflated Needs per unit</t>
  </si>
  <si>
    <t>Relative Year of Change:</t>
  </si>
  <si>
    <t>Total Amount</t>
  </si>
  <si>
    <t>Per Unit</t>
  </si>
  <si>
    <t>Initial Deposit:</t>
  </si>
  <si>
    <t>Annual Deposits</t>
  </si>
  <si>
    <t>Units</t>
  </si>
  <si>
    <t>Trial Deposit Results: RY 1-10 Required Min. Balance Test</t>
  </si>
  <si>
    <t>Trial Deposit Data Ending RfR Balance Results</t>
  </si>
  <si>
    <t>Trial Deposit Results: RY 11+ Required Min. Balance Test</t>
  </si>
  <si>
    <t>Trial Deposit results: Required Minimum Balance Test Met?</t>
  </si>
  <si>
    <t>Trial Deposit results: RY 11+ Amortization Test</t>
  </si>
  <si>
    <t>Trial Deposit Data RfR Balance less Required Minimum Balance</t>
  </si>
  <si>
    <t>Trial Deposit Data: Required Minimum Balance Test Met?</t>
  </si>
  <si>
    <t>ADDITIONAL ANALYSIS: e-Tool Data and Trial Deposit RfR Results Comparison</t>
  </si>
  <si>
    <t>Data Source: User Input Trial Deposits</t>
  </si>
  <si>
    <t>Comparison</t>
  </si>
  <si>
    <t>Ending RfR Balance</t>
  </si>
  <si>
    <t>Inflated Needs/Unit Amounts</t>
  </si>
  <si>
    <t>Trial Deposit results - Ending RfR Balance</t>
  </si>
  <si>
    <t>Trial Deposit Results vs. e-Tool Data Results</t>
  </si>
  <si>
    <t>This schedule is to be attached to the Firm Commitment letter</t>
  </si>
  <si>
    <t>The following amounts and assumptions are incorporated by reference into the terms of the Commitment Letter for the referenced project. Lender may complete the section below.</t>
  </si>
  <si>
    <t>(Figures are e-Tool Data, per the RfR Deposit Test workbook)</t>
  </si>
  <si>
    <t>FHA #</t>
  </si>
  <si>
    <r>
      <t xml:space="preserve">Date of Commitment letter </t>
    </r>
    <r>
      <rPr>
        <i/>
        <sz val="10"/>
        <color theme="1"/>
        <rFont val="Calibri"/>
        <family val="2"/>
        <scheme val="minor"/>
      </rPr>
      <t>(HUD Input)</t>
    </r>
  </si>
  <si>
    <t>Initial Deposit at Endorsement</t>
  </si>
  <si>
    <t>Initial deposit to the Reserve for Replacement escrow, (incl.any transferred reserves)</t>
  </si>
  <si>
    <t>Annual Deposits to the Reserve for Replacements Escrow (ADRR)</t>
  </si>
  <si>
    <t xml:space="preserve">1st Year ADRR/unit </t>
  </si>
  <si>
    <t>Approved annual % rate(s) of change in ADRR:</t>
  </si>
  <si>
    <t>Number of units</t>
  </si>
  <si>
    <t>1st Year Deposit</t>
  </si>
  <si>
    <t>Initial ADRR per unit x the # of units is the base ADRR below:</t>
  </si>
  <si>
    <t>Adjusted ADRR based on rate(s) of change:</t>
  </si>
  <si>
    <t>Adjusted ADRR per month</t>
  </si>
  <si>
    <t>The ADRR may be amended in future years  based on HUD review of actual repair and replacement</t>
  </si>
  <si>
    <t xml:space="preserve">needs and in any event ADRR will be adjusted based on a new capital needs assessment (CNA) </t>
  </si>
  <si>
    <t>which must be completed not later than 10 years after the date of Endorsement/Final Endorsement.</t>
  </si>
  <si>
    <t>Project Name from Input Sheet:</t>
  </si>
  <si>
    <t>FHA # from Input Sheet:</t>
  </si>
  <si>
    <t>Structuring Results:</t>
  </si>
  <si>
    <t>Note: results from Trial Deposits Analysis tab data; eTool Data results will appear only if Trial Deposits data is the same as eTool Data.</t>
  </si>
  <si>
    <t>Inflated Estimate Period minimum balance</t>
  </si>
  <si>
    <r>
      <t>Excess</t>
    </r>
    <r>
      <rPr>
        <sz val="11"/>
        <color rgb="FFFF0000"/>
        <rFont val="Calibri"/>
        <family val="2"/>
        <scheme val="minor"/>
      </rPr>
      <t>(Shortfall)</t>
    </r>
    <r>
      <rPr>
        <sz val="11"/>
        <color theme="1"/>
        <rFont val="Calibri"/>
        <family val="2"/>
        <scheme val="minor"/>
      </rPr>
      <t xml:space="preserve"> vs. Minimum Balance Requirement</t>
    </r>
  </si>
  <si>
    <t>If Required Minimum Balance is met, "OK" appears. If not "Not OK" appears.</t>
  </si>
  <si>
    <t>If Req. Min. Bal. is not met, does the Amortization Test displayed below mitigate it? (RY 11+)"OK" appears.</t>
  </si>
  <si>
    <t xml:space="preserve">         Margin&gt;min.</t>
  </si>
  <si>
    <t>Cumulative Principal Amortization</t>
  </si>
  <si>
    <t>If a RfR does not exceed Req. Min. Bal. , shortfall as a % of Cumulative Principal Amortization</t>
  </si>
  <si>
    <t>Period Deposits (Original Deposit and/or Net unused Annual Deposit)</t>
  </si>
  <si>
    <t>Opening Initial Deposit Bal. as adjusted</t>
  </si>
  <si>
    <t>Interest Income on RfR Balance</t>
  </si>
  <si>
    <t>Available from Initial Deposit plus RfR Interest Income</t>
  </si>
  <si>
    <t>Funds Needed Beyond ADDR shortfall vs. Infl Needs</t>
  </si>
  <si>
    <t>Ending Original Init Dep Balance as adjusted</t>
  </si>
  <si>
    <t>Annual Deposit as Inflated to RfR</t>
  </si>
  <si>
    <t>Inflated Needs to be withdrawn</t>
  </si>
  <si>
    <t>Net Needed to be withdrawn from Original Deposit as adjusted</t>
  </si>
  <si>
    <t>Net Available in Original Dep as adjusted</t>
  </si>
  <si>
    <t>Net required from Initial Deposit As Adjusted</t>
  </si>
  <si>
    <t>Amount to credit or debit as adj. to Annual Excess Depl account</t>
  </si>
  <si>
    <t>Opening Excess Annual Deposit</t>
  </si>
  <si>
    <t>Opening Excess Annual Deposit period adjustment</t>
  </si>
  <si>
    <t>Closing Excess Annual Depsit Bal as Adjusted</t>
  </si>
  <si>
    <t>Sum of two ending balances</t>
  </si>
  <si>
    <t>Check RfR vs. Sum of above</t>
  </si>
  <si>
    <t>Total Flows into RfR</t>
  </si>
  <si>
    <t>Cumulative Total Flows into RfR</t>
  </si>
  <si>
    <t>Cumulative Inflated Needs</t>
  </si>
  <si>
    <t>Cumulative Funding Surplus (Shortfall)</t>
  </si>
  <si>
    <t>Change in Cumulative Funding Surplus (Shortfall)</t>
  </si>
  <si>
    <t>Ratio of Cumulative Total Flows into the RfR vs. Cumulative Inflated Needs</t>
  </si>
  <si>
    <t>Change in Ratio (Large Negative Changes pose Increased Risk)</t>
  </si>
  <si>
    <t>Ratio of Period Needs vs. Total needs</t>
  </si>
  <si>
    <t>Cumulative Annual Needs vs. Total</t>
  </si>
  <si>
    <t>Ratio of Inflated Need vs. Annual Dep.</t>
  </si>
  <si>
    <t>% of accrued amoritzation (equity) at the beginning of the year to fund the remaining 20-year balance of Inflated Needs after giving credit for sheduled deposits and interest (ignoring req. min. bal.):</t>
  </si>
  <si>
    <t>Annual Escalated Deposit per Unit</t>
  </si>
  <si>
    <t>Annual Transfers from Init. Dep. + Int. Inc.  per Unit</t>
  </si>
  <si>
    <t>Annual Inflated Needs per Unit</t>
  </si>
  <si>
    <t>Annual Minimum Balance per Unit</t>
  </si>
  <si>
    <t>Annual RfR per Unit</t>
  </si>
  <si>
    <t>Note: For Trial Deposits Results tab figures and graphs to be properly calculated, entries on this worksheet must be $0.</t>
  </si>
  <si>
    <t>Additional Analysis</t>
  </si>
  <si>
    <t>Lookup</t>
  </si>
  <si>
    <t>1 / 2 / units</t>
  </si>
  <si>
    <t>3 x 4</t>
  </si>
  <si>
    <t>Reference</t>
  </si>
  <si>
    <t>5 + 6</t>
  </si>
  <si>
    <t>7 / 6</t>
  </si>
  <si>
    <t>Period for Adjustment Analysis</t>
  </si>
  <si>
    <t>Year Occurr-ing</t>
  </si>
  <si>
    <t>Test an entry from Column 5, Additional RY 1 Annual Deposit per unit, to see results in Graph</t>
  </si>
  <si>
    <t>Relative Years 11-15</t>
  </si>
  <si>
    <t>Relative Years 11-19</t>
  </si>
  <si>
    <t>Relative Years 11-20</t>
  </si>
  <si>
    <t>1 x 3</t>
  </si>
  <si>
    <t>4 / units</t>
  </si>
  <si>
    <t>Year Occurr-ing (see above)</t>
  </si>
  <si>
    <t>Approx. discounting factor to adjust for interest inc to RY 1</t>
  </si>
  <si>
    <t>Note: Ending RfR Balance on RY of Largest Shortfall</t>
  </si>
  <si>
    <t>Test an entry from Column 4, One-Time RY 11 Deposit, to see results in Graph</t>
  </si>
  <si>
    <t>RY20 Ending RfR Balance:</t>
  </si>
  <si>
    <t>Test an entry from Column 5, Additional RY 11 Annual Deposit per unit, to see results in Graph</t>
  </si>
  <si>
    <t>RY 1</t>
  </si>
  <si>
    <t>RY 11</t>
  </si>
  <si>
    <t>Final Estimate Period RY</t>
  </si>
  <si>
    <t>Total Annual Deposit to RfR</t>
  </si>
  <si>
    <t>Per Unit Annual Deposit to RfR</t>
  </si>
  <si>
    <t>% Change from RY</t>
  </si>
  <si>
    <t>Total RY 1 ADDR per unit to test:</t>
  </si>
  <si>
    <t>Assuming DSC of:</t>
  </si>
  <si>
    <t xml:space="preserve"> and per unit Debt Service of:</t>
  </si>
  <si>
    <t>Deduced per unit NOI RY 1:</t>
  </si>
  <si>
    <t>Adjusted Deduced per unit NOI</t>
  </si>
  <si>
    <t xml:space="preserve"> P&amp;I and Debt Service</t>
  </si>
  <si>
    <t>Divided by # of Units</t>
  </si>
  <si>
    <t>Total All-In Cost of DSC calculations</t>
  </si>
  <si>
    <t>Times Mortgage Amount</t>
  </si>
  <si>
    <t>Equals debt service w MIP</t>
  </si>
  <si>
    <t>For possible reference and use by those using this Tool, certain information can be accessed in the four sections below.
   Section I runs the Required Minimum Balance Test and Amortization Test for the eTool's validated results above. 
   Section II derives the unit count and financial factors required elsewhere in this spreadsheet to run these same tests for the results of Trial Deposit inputs. 
   Section III reflects certain results from the application of Trial Deposit inputs calculated on a hidden worksheet called "Engine."
   Section IV contains data used in constructing the graphs on the eTool Data Results and Trial Deposit Results worksheets.</t>
  </si>
  <si>
    <t>Section I. Minimum balance (yr 1-10) and amortization test (yr 11+) for</t>
  </si>
  <si>
    <t>Year</t>
  </si>
  <si>
    <t>the CNA eTool validated Financial Schedule imported or copied above</t>
  </si>
  <si>
    <t>Cum. Amortization (beg. of per.)</t>
  </si>
  <si>
    <t>Cum. Amortization (end of per.)</t>
  </si>
  <si>
    <t>Beg. of Period Principal Balance</t>
  </si>
  <si>
    <t>The Mortgage Data Inputs below - required to run the Amortization Test on the eTool validated results - are read from the "eTool Data Results" tab.</t>
  </si>
  <si>
    <t>End of Period Principal Balance</t>
  </si>
  <si>
    <t>Change in Principal Bal (Amort. Check)</t>
  </si>
  <si>
    <t>Initial Mortgage Amt.</t>
  </si>
  <si>
    <t>Cumulative End-of-Per. Amortization</t>
  </si>
  <si>
    <t>Amortization term</t>
  </si>
  <si>
    <t>Interest Rate (Coupon)</t>
  </si>
  <si>
    <t>Required Min. Bal. / Unit / Year</t>
  </si>
  <si>
    <t>Monthly Pmt. (calc't'd.)</t>
  </si>
  <si>
    <t>Ending RfR Balance (from eTool data)</t>
  </si>
  <si>
    <t>Allowance for RfR deficit offset</t>
  </si>
  <si>
    <t>Req. Min. Balance (from eTool data)</t>
  </si>
  <si>
    <t>e-Tool data Total to Offset (Ending Bal. minus Req. Min.)</t>
  </si>
  <si>
    <t>Initial RfR Deposit Amount</t>
  </si>
  <si>
    <t>Initial Deposit / Unit</t>
  </si>
  <si>
    <t>Allowable Offset minus Required minimum Balance (positive number indicates successful offset).</t>
  </si>
  <si>
    <t>Initial Annual Deposit</t>
  </si>
  <si>
    <t>Required Min. Balance Test</t>
  </si>
  <si>
    <t>Check for Allowable offset (Yr. 11-20)</t>
  </si>
  <si>
    <t>Initial Annual Deposit/unit</t>
  </si>
  <si>
    <t xml:space="preserve"> Excess/Shortfall</t>
  </si>
  <si>
    <t>Number of Units (calc't'd.)</t>
  </si>
  <si>
    <t>Req. Min. Balance Test met (see Note 1 above)</t>
  </si>
  <si>
    <t>For graph: Negative of Total to Offset (Ending Bal. minus Req. Min.)</t>
  </si>
  <si>
    <t>For graph: % of Amortztn Req. to Offset (eTool data Ending Bal. minus Req. Min.)</t>
  </si>
  <si>
    <t>Section II. Determination of certain Financial Factors needed to Recompute</t>
  </si>
  <si>
    <t xml:space="preserve"> trial RfR balances to subject trial results to the Amortization Test</t>
  </si>
  <si>
    <t>Initial Earnings Rate on RfR Balance</t>
  </si>
  <si>
    <t>Relative Year of Change</t>
  </si>
  <si>
    <t>Changed Rate</t>
  </si>
  <si>
    <t>Note 1: RfR balances are assumed to earn interest at the Initial Earnings Rate for the entirety of Relative Year 1.</t>
  </si>
  <si>
    <t>Note 2: A constant rate defaults the Relative Year of Change to 1. Though User Input into the Assessment tool's Financial Factor screen may show a different RY, since there is no change, any year input as the Relative Year of change will have no effect.</t>
  </si>
  <si>
    <t>Escalation Rate on Deposit</t>
  </si>
  <si>
    <t>Initial Rate of Increase on Annual Deposit</t>
  </si>
  <si>
    <t>NA</t>
  </si>
  <si>
    <t>Changed Rate of Increase</t>
  </si>
  <si>
    <t>Note 1: There is no change in the Annual Deposit in Relative Year 1, therefore the Initial Rate of Increase applies to the Deposit in Relative Year 2 as an escalation over the Relative Year 1 Base Annual Deposit.</t>
  </si>
  <si>
    <t>Note: Needs inflation rates are for information only.  Inflated needs are imported/copied from a validated Financial Schedule.</t>
  </si>
  <si>
    <t>Initial Inflation Rate on Capital Needs</t>
  </si>
  <si>
    <t>Note 1: There is no change in any Relative Year 1 Needs based on an inflation rate, therefore the Initial Rate of Increase applies to any Needs in Relative Year 2 as an inflation over any Relative Year 1 Uninflated Need.</t>
  </si>
  <si>
    <t>Section III. Summary of trial input results. More easily read results</t>
  </si>
  <si>
    <t>appear on the "Inputs, Test Results" worksheet.</t>
  </si>
  <si>
    <t>Trial Deposit results Ending RfR Balance</t>
  </si>
  <si>
    <t>Total to Offset (sum of above)</t>
  </si>
  <si>
    <t>For graph: % of Amortztn Req. to Offset (Trial Deposit results Ending Bal. minus Req. Min.)</t>
  </si>
  <si>
    <t>Section IV. Certain Data used in Graphs</t>
  </si>
  <si>
    <t>Note: Trial data</t>
  </si>
  <si>
    <t>Deposits (excludes Interest)</t>
  </si>
  <si>
    <t>Note: Assmt. Tool data</t>
  </si>
  <si>
    <t>Minimum Required Balance</t>
  </si>
  <si>
    <t>Trial Deposit results Total to Offset (Ending Bal. minus Req. Min.)</t>
  </si>
  <si>
    <t>Use the 1, 2, and 3 in the upper left margin, or the + and - signs, to  show or hide grouped rows to allow useful views of this spreadsheet.</t>
  </si>
  <si>
    <t>Named Range for data replacement menu</t>
  </si>
  <si>
    <t xml:space="preserve">Notes regarding this spreadsheet: </t>
  </si>
  <si>
    <t>Input only in the blue cells.</t>
  </si>
  <si>
    <t>Replace eTool data?</t>
  </si>
  <si>
    <t>This spreadsheet performs only the 10- and 20-year CNA analyses.</t>
  </si>
  <si>
    <t>YES</t>
  </si>
  <si>
    <t>Certain other calculations performed herein may differ slightly from those performed in the CNA e-tool.</t>
  </si>
  <si>
    <t>Additional inputs</t>
  </si>
  <si>
    <t>Participants</t>
  </si>
  <si>
    <t>Financial Factors</t>
  </si>
  <si>
    <t>The interest calculations do not, for example, at this point, reflect average balance interest earnings.</t>
  </si>
  <si>
    <t xml:space="preserve"> Initial Deposit</t>
  </si>
  <si>
    <t>Property</t>
  </si>
  <si>
    <r>
      <t xml:space="preserve">Use the </t>
    </r>
    <r>
      <rPr>
        <b/>
        <sz val="9"/>
        <color theme="1"/>
        <rFont val="Calibri"/>
        <family val="2"/>
        <scheme val="minor"/>
      </rPr>
      <t>1</t>
    </r>
    <r>
      <rPr>
        <sz val="9"/>
        <color theme="1"/>
        <rFont val="Calibri"/>
        <family val="2"/>
        <scheme val="minor"/>
      </rPr>
      <t xml:space="preserve"> and</t>
    </r>
    <r>
      <rPr>
        <b/>
        <sz val="9"/>
        <color theme="1"/>
        <rFont val="Calibri"/>
        <family val="2"/>
        <scheme val="minor"/>
      </rPr>
      <t xml:space="preserve"> 2</t>
    </r>
    <r>
      <rPr>
        <sz val="9"/>
        <color theme="1"/>
        <rFont val="Calibri"/>
        <family val="2"/>
        <scheme val="minor"/>
      </rPr>
      <t xml:space="preserve"> in the upper left margin, or the </t>
    </r>
    <r>
      <rPr>
        <b/>
        <sz val="9"/>
        <color theme="1"/>
        <rFont val="Calibri"/>
        <family val="2"/>
        <scheme val="minor"/>
      </rPr>
      <t>+</t>
    </r>
    <r>
      <rPr>
        <sz val="9"/>
        <color theme="1"/>
        <rFont val="Calibri"/>
        <family val="2"/>
        <scheme val="minor"/>
      </rPr>
      <t xml:space="preserve"> and </t>
    </r>
    <r>
      <rPr>
        <b/>
        <sz val="9"/>
        <color theme="1"/>
        <rFont val="Calibri"/>
        <family val="2"/>
        <scheme val="minor"/>
      </rPr>
      <t>-</t>
    </r>
    <r>
      <rPr>
        <sz val="9"/>
        <color theme="1"/>
        <rFont val="Calibri"/>
        <family val="2"/>
        <scheme val="minor"/>
      </rPr>
      <t xml:space="preserve"> signs, to  show or hide grouped rows to allow useful views of this spreadsheet.</t>
    </r>
  </si>
  <si>
    <t>First Annual Deposit</t>
  </si>
  <si>
    <t>Sites</t>
  </si>
  <si>
    <t>First Annual Withdrawal</t>
  </si>
  <si>
    <t>Unit Type Definition</t>
  </si>
  <si>
    <t>Estimate Period</t>
  </si>
  <si>
    <t>Not applicable to this spreadsheet</t>
  </si>
  <si>
    <t>Min. RfR Balance Per Unit</t>
  </si>
  <si>
    <t>&lt;-- App 5.G.C.3.d. (1)</t>
  </si>
  <si>
    <t>Amortization information</t>
  </si>
  <si>
    <t>Buildings</t>
  </si>
  <si>
    <t>App 5.G.C.3.a. --&gt;</t>
  </si>
  <si>
    <t>Min. RFR Balance % of Needs</t>
  </si>
  <si>
    <t>&lt;-- App 5.G.C.3.d. (2?)</t>
  </si>
  <si>
    <t>Mortgage Amount</t>
  </si>
  <si>
    <t>Units and Common Spaces</t>
  </si>
  <si>
    <t>App 5.G.C.3.b. --&gt;</t>
  </si>
  <si>
    <t>YR-1 Annual deposit Per Unit</t>
  </si>
  <si>
    <t>Required Minimum RFR</t>
  </si>
  <si>
    <t>TBD</t>
  </si>
  <si>
    <t>Mortgage Coupon</t>
  </si>
  <si>
    <t>Utility Type usage</t>
  </si>
  <si>
    <t>First Year RFR</t>
  </si>
  <si>
    <t>Amortization begins</t>
  </si>
  <si>
    <t>Note: last payment:</t>
  </si>
  <si>
    <t>Inspection Samples</t>
  </si>
  <si>
    <t xml:space="preserve">Type of change: 1=one time; 2=simple annual; 3=compounding      --v        </t>
  </si>
  <si>
    <t>Components</t>
  </si>
  <si>
    <t>(See Appendix 5, p. 153 for details)</t>
  </si>
  <si>
    <t xml:space="preserve">Initial/Start rate </t>
  </si>
  <si>
    <t>Add Rate</t>
  </si>
  <si>
    <t>RY of Change after Yr ("rarely more than 3")</t>
  </si>
  <si>
    <t>Units in project</t>
  </si>
  <si>
    <t>Alternatives</t>
  </si>
  <si>
    <t>App 5.G.C.3.c. --&gt;</t>
  </si>
  <si>
    <t>Note: mortgage per unit</t>
  </si>
  <si>
    <t>Repair Replace Recommendation</t>
  </si>
  <si>
    <t>Annual compounding inflation rate</t>
  </si>
  <si>
    <t>Capital Needs</t>
  </si>
  <si>
    <t>HUD minimum balance uninflated data</t>
  </si>
  <si>
    <t xml:space="preserve">Uninflated annual average minimums:               </t>
  </si>
  <si>
    <t>Narrative</t>
  </si>
  <si>
    <t>Simple Interest earnings rate</t>
  </si>
  <si>
    <t>RfR Balance</t>
  </si>
  <si>
    <r>
      <t xml:space="preserve">Ten-year uninflated needs total </t>
    </r>
    <r>
      <rPr>
        <sz val="11"/>
        <color rgb="FFFF0000"/>
        <rFont val="Calibri"/>
        <family val="2"/>
        <scheme val="minor"/>
      </rPr>
      <t>(not preduration as eTool calculates it)</t>
    </r>
  </si>
  <si>
    <t>Click to Min. Analysis</t>
  </si>
  <si>
    <t>Click to go to Needs input</t>
  </si>
  <si>
    <t>Click to go to graphs</t>
  </si>
  <si>
    <t>Twenty-year uninflated needs total</t>
  </si>
  <si>
    <t>Alternative Interest Earnings data</t>
  </si>
  <si>
    <t>Initial Earnings rate on RfR Balance</t>
  </si>
  <si>
    <t>Rate after any Change Date</t>
  </si>
  <si>
    <t>Change Date</t>
  </si>
  <si>
    <t>Repair Replace Decision</t>
  </si>
  <si>
    <t>LoV Admin</t>
  </si>
  <si>
    <t>Reserve Comments</t>
  </si>
  <si>
    <t>Guidance</t>
  </si>
  <si>
    <t>The above matrix can be used to define a starting Inflation Rate for the 'Annual Depots'</t>
  </si>
  <si>
    <t>and 'Capital Needs', as well as the starting Interest Rate for 'RfR Balance' by entering a</t>
  </si>
  <si>
    <t>rate(e.g. 2 for 2%) in the Start Rate column.</t>
  </si>
  <si>
    <t>If a rate change is planned, the new rate can be added into the Add. Rate column and</t>
  </si>
  <si>
    <t>the Relative Year that the new rate will take affect into the RY of Change column.</t>
  </si>
  <si>
    <t>e.g. If the Annual Deposit inflates at a rate of 2% for the first 5 years followed by 3%</t>
  </si>
  <si>
    <t>for the remaining 7 years of a 12yr CAN, the following can be interfered: 2/3/6</t>
  </si>
  <si>
    <t>&lt;&lt;&lt;</t>
  </si>
  <si>
    <t xml:space="preserve">When sheet is unprotected, Click on this row 55 margin + or - sign to show or hide rows 1-54 which include the input cells and structuring results and then click the hyperlink below to </t>
  </si>
  <si>
    <t>See input, summary and violation status</t>
  </si>
  <si>
    <t>Year of Deposit or Withdraw</t>
  </si>
  <si>
    <t>Totals</t>
  </si>
  <si>
    <t>Year ending</t>
  </si>
  <si>
    <t>RfR Beginning Balance</t>
  </si>
  <si>
    <t>Times Assumed Earnings rate of</t>
  </si>
  <si>
    <t>Interest Income on RfR balance</t>
  </si>
  <si>
    <t>RfR balance before RfR deposit</t>
  </si>
  <si>
    <t>Base Annual RfR Deposit</t>
  </si>
  <si>
    <t>Times Increase rate on Deposit</t>
  </si>
  <si>
    <t>Calculated cumulative inflation</t>
  </si>
  <si>
    <t>Inflationary Increase in Annual Deposit</t>
  </si>
  <si>
    <t>RfR Deposit (as inflated)</t>
  </si>
  <si>
    <t>RfR balance Available for Needs</t>
  </si>
  <si>
    <r>
      <rPr>
        <i/>
        <sz val="10"/>
        <color theme="0" tint="-0.499984740745262"/>
        <rFont val="Calibri"/>
        <family val="2"/>
        <scheme val="minor"/>
      </rPr>
      <t xml:space="preserve">Subtotal: Increase in RfR balance </t>
    </r>
    <r>
      <rPr>
        <sz val="9"/>
        <color theme="0" tint="-0.499984740745262"/>
        <rFont val="Calibri"/>
        <family val="2"/>
        <scheme val="minor"/>
      </rPr>
      <t>(Interest + inflated RfR deposit)</t>
    </r>
  </si>
  <si>
    <t>Duration Adjusted Uninflated Needs</t>
  </si>
  <si>
    <t>Needs Inflation rate</t>
  </si>
  <si>
    <t>Inflation in Needs Amount</t>
  </si>
  <si>
    <t>Corresponding deflation factor</t>
  </si>
  <si>
    <t>Lowest RfR balance years 1-10</t>
  </si>
  <si>
    <t>Lowest RfR balance years 11-20</t>
  </si>
  <si>
    <t>Note: Highest Annual Withdrawal to equalize Sources and Needs graphs scales</t>
  </si>
  <si>
    <t>Net Annual Change in RfR balance</t>
  </si>
  <si>
    <t>Minimum Balances Analysis Years 1-10</t>
  </si>
  <si>
    <t>Minimum HUD standard (Total needs uninflated/Estimate Period x needs inflation rate)</t>
  </si>
  <si>
    <t>10-year period total needs - ten year average</t>
  </si>
  <si>
    <t>Not applicable</t>
  </si>
  <si>
    <t xml:space="preserve"> Approx. offsets needed</t>
  </si>
  <si>
    <t>Initial dep.</t>
  </si>
  <si>
    <t>Ann dep.</t>
  </si>
  <si>
    <t>20 year equal to eTool (NOT 10 Yr) Minimum Balance-inflated</t>
  </si>
  <si>
    <t>Margin exceeding Minimum Balance</t>
  </si>
  <si>
    <t>N/A</t>
  </si>
  <si>
    <t>Min. Balance/Mitigation Analysis Years 1-10,11-end of Est. Per.</t>
  </si>
  <si>
    <t>Estimate period total needs - total period average</t>
  </si>
  <si>
    <t>Estimate Period Minimum Balance-inflated</t>
  </si>
  <si>
    <t>Lowest margin, years 1-10</t>
  </si>
  <si>
    <t>Year of Lowest margin</t>
  </si>
  <si>
    <t>Lowest margin, years 11-20</t>
  </si>
  <si>
    <t>Minimum Balance Met-Yrs 1-10</t>
  </si>
  <si>
    <t>Violations</t>
  </si>
  <si>
    <t>Minimum Balance Met-Yrs. 11-end of Est. Per.?</t>
  </si>
  <si>
    <t>If Min. Balance is not met, does principal amortization calculated below mitigate it?</t>
  </si>
  <si>
    <t>Loan Amortization Test for Outyear Deficits-Yrs 11+</t>
  </si>
  <si>
    <t>Original Mortgage Amount</t>
  </si>
  <si>
    <t>Mtg. safe harbor</t>
  </si>
  <si>
    <t>Cumulative Mortgage Payments</t>
  </si>
  <si>
    <t>Mortgage Balance End of Period</t>
  </si>
  <si>
    <t xml:space="preserve"> Apx. offsets needed</t>
  </si>
  <si>
    <t>Amount Paid</t>
  </si>
  <si>
    <t>Cumulative Paid (formula check)</t>
  </si>
  <si>
    <t>Mitigant available = X% of cumulative mortgage principal paid</t>
  </si>
  <si>
    <t>Margin Exceeding Allowed % of Amortization Test</t>
  </si>
  <si>
    <t>Are Shortfalls &lt;Allowed % of Principal Paydown</t>
  </si>
  <si>
    <t xml:space="preserve">App 5.G.C.3.d.(4) </t>
  </si>
  <si>
    <t>% of RfR plus Req. Min. Bal. as % of Cum. Amort.</t>
  </si>
  <si>
    <t>Graph data section</t>
  </si>
  <si>
    <t>Total Flowing into the R4R</t>
  </si>
  <si>
    <t>Total Flowing out of the R4R</t>
  </si>
  <si>
    <t>Net Annual Change in R4R</t>
  </si>
  <si>
    <t>Accumulated Sources</t>
  </si>
  <si>
    <t>Accumulated Uses</t>
  </si>
  <si>
    <t>Note: Gap between highest cumulative R4R Sources and Needs to equalize graphs scales</t>
  </si>
  <si>
    <t>Accumulated Gap</t>
  </si>
  <si>
    <t>Location of Gap line</t>
  </si>
  <si>
    <t>RfR shortfall vs. minimum requiring offset (inverse of green line below)</t>
  </si>
  <si>
    <t>Allowed % of cumulative amortization (beg. Yr 11)</t>
  </si>
  <si>
    <t>Added graph of RY ADDR and Needs; added link to RY 11 analysis to eTool Data Analysis worksheet.</t>
  </si>
  <si>
    <t>Added analysis of RY 11 deposit requirements.</t>
  </si>
  <si>
    <t xml:space="preserve"> eTool Data Analysis</t>
  </si>
  <si>
    <t xml:space="preserve">Since certain methods of exporting and saving data from the CN validation engine's Financial Schedule result do not convert the Exported eTool Data into a format that is usable this this Tool, a worksheet was added that converts text fields into numerical fields, and allow users to copy and paste the resulting numerical data into the eTool Data worksheet section where it can be processed by this Tool. </t>
  </si>
  <si>
    <t>Comments were added to cells E1:K1 to provide information about how the Tool uses information which appears in the cells to address a concern that might arise if the user uses the copy and paste method of inputting data into the worksheet. The Tool assumes by its Master structure that data will be incorporated by linked file and these cells are set to read information in the range of A1:A7 of that linked file.</t>
  </si>
  <si>
    <t>Rewrote formulas to eliminate Excel 2016's "NUMBERSVALUE" and "CONCAT" functions to make compatible with Excel 2013.</t>
  </si>
  <si>
    <t>Added screenshots and text to illustrated and describe how users can get alternative useable files/data.</t>
  </si>
  <si>
    <t>Added graph of annual revenue and need projections and Relative Year 11 analysis.</t>
  </si>
  <si>
    <t>Property Information</t>
  </si>
  <si>
    <t>Project City:</t>
  </si>
  <si>
    <t xml:space="preserve">Project State: </t>
  </si>
  <si>
    <t>Lender:</t>
  </si>
  <si>
    <t>Section of the Act:</t>
  </si>
  <si>
    <t>Mortgage Information</t>
  </si>
  <si>
    <t>Mortgage Amount:</t>
  </si>
  <si>
    <t>Mortgage Term in Years:</t>
  </si>
  <si>
    <t>Date of CNA Approval:</t>
  </si>
  <si>
    <t>See Results</t>
  </si>
  <si>
    <t>"Requirements Met"</t>
  </si>
  <si>
    <t>Go to Firm Commitment Letter Attachment Tab</t>
  </si>
  <si>
    <t>"Violation Exists"</t>
  </si>
  <si>
    <t>CNA eTool Data: RY 1-10 Required Min. Balance Test</t>
  </si>
  <si>
    <t># of Violations</t>
  </si>
  <si>
    <t>Relative 
Year</t>
  </si>
  <si>
    <t>CNA eTool Data: RY 11+ Required Min. Balance Test</t>
  </si>
  <si>
    <t>eTool Data Ending RfR Balance Results</t>
  </si>
  <si>
    <t>RY 11+ Amortization Test:  Using Validated eTool Data Import</t>
  </si>
  <si>
    <t>eTool Data RfR Balance less Required Minimum Balance</t>
  </si>
  <si>
    <t>Total Needs:</t>
  </si>
  <si>
    <t>Total Flows Into RfR:</t>
  </si>
  <si>
    <t>Total Unfunded Needs:</t>
  </si>
  <si>
    <t xml:space="preserve">Required Minimum Balance Test Met?*         </t>
  </si>
  <si>
    <t>Minimum Balance Test Result Summary:</t>
  </si>
  <si>
    <t>% of Cumulative Amortization Allowed for Mitigation:</t>
  </si>
  <si>
    <t>Version 3.0</t>
  </si>
  <si>
    <t>Total Uses of Funds (Out of the  RfR)</t>
  </si>
  <si>
    <t>New Rate of Change:</t>
  </si>
  <si>
    <t>Annual Deposit Rate of Change</t>
  </si>
  <si>
    <t>Initial Rate of Change:</t>
  </si>
  <si>
    <t>YEAR 11+: 
REQUIRED MINIMUM BALANCE TEST RESULT</t>
  </si>
  <si>
    <t>YEAR 1-10: 
REQUIRED MINIMUM BALANCE TEST RESULT</t>
  </si>
  <si>
    <t>YEAR 11+: 
DEFICIT BALANCES MITIGATED?</t>
  </si>
  <si>
    <t>Deposit Amounts</t>
  </si>
  <si>
    <t>eTool Data (Existing):</t>
  </si>
  <si>
    <t>User Trial Input:</t>
  </si>
  <si>
    <t>eTool data (Existing):</t>
  </si>
  <si>
    <t>TRIAL OVERALL RESULT:</t>
  </si>
  <si>
    <t>Analysis</t>
  </si>
  <si>
    <t>Annual Deposits (per Unit)</t>
  </si>
  <si>
    <t>Annual Total</t>
  </si>
  <si>
    <t>TRIAL DATA INPUT BY USER</t>
  </si>
  <si>
    <r>
      <t xml:space="preserve">eTool Data Req. Min. Bal. Excess </t>
    </r>
    <r>
      <rPr>
        <b/>
        <sz val="9"/>
        <color rgb="FFFF0000"/>
        <rFont val="Calibri"/>
        <family val="2"/>
        <scheme val="minor"/>
      </rPr>
      <t>(Shortfall)</t>
    </r>
  </si>
  <si>
    <r>
      <t xml:space="preserve">eTool Data Amortization Test Excess </t>
    </r>
    <r>
      <rPr>
        <b/>
        <sz val="9"/>
        <color rgb="FFFF0000"/>
        <rFont val="Calibri"/>
        <family val="2"/>
        <scheme val="minor"/>
      </rPr>
      <t>(Shortfall)</t>
    </r>
  </si>
  <si>
    <r>
      <t xml:space="preserve">Trial Deposit Data Req. Min. Bal. Excess </t>
    </r>
    <r>
      <rPr>
        <b/>
        <sz val="10"/>
        <color rgb="FFFF0000"/>
        <rFont val="Calibri"/>
        <family val="2"/>
        <scheme val="minor"/>
      </rPr>
      <t>(Shortfall)</t>
    </r>
  </si>
  <si>
    <r>
      <t xml:space="preserve">Trial Deposit Data: Amortization Test Excess </t>
    </r>
    <r>
      <rPr>
        <b/>
        <sz val="10"/>
        <color rgb="FFFF0000"/>
        <rFont val="Calibri"/>
        <family val="2"/>
        <scheme val="minor"/>
      </rPr>
      <t>(Shortfall)</t>
    </r>
  </si>
  <si>
    <t>Uninflated Needs (Withdrawal)</t>
  </si>
  <si>
    <t>Years 1-10 &amp; 11-20 Average Revenue, Average Inflated Needs, and Funding Excess or Shortfall in the RfR, including Per Unit Per Annum (PUPA) figures</t>
  </si>
  <si>
    <t>Average PUPA Deposits</t>
  </si>
  <si>
    <t>Average PUPA Needs</t>
  </si>
  <si>
    <t xml:space="preserve">  Change in Avg Deposits  (Yr.11+ vs Yr.1-10)</t>
  </si>
  <si>
    <t>Change in Avg Needs  (Yr.11+ vs Yr.1-10)</t>
  </si>
  <si>
    <t xml:space="preserve">Smallest Margin Over Req. Min. Bal. in RY 1-10 </t>
  </si>
  <si>
    <t>Total eTool Data vs. Trial Deposit difference:</t>
  </si>
  <si>
    <t>Note: Graphs below depict results from Trial Deposits Analysis tab data.  When the Trial Deposit input is identical to the eTool Data, the graphs will reflect the eTool Data result analysis.</t>
  </si>
  <si>
    <t>Cumulative Amortization Offset** Allowed (Principal Paid x Allowance %)</t>
  </si>
  <si>
    <r>
      <t xml:space="preserve">*Total RfR Bal. Increase </t>
    </r>
    <r>
      <rPr>
        <i/>
        <sz val="10"/>
        <color rgb="FFFF0000"/>
        <rFont val="Calibri"/>
        <family val="2"/>
        <scheme val="minor"/>
      </rPr>
      <t>(Decrease)</t>
    </r>
    <r>
      <rPr>
        <i/>
        <sz val="10"/>
        <color theme="1"/>
        <rFont val="Calibri"/>
        <family val="2"/>
        <scheme val="minor"/>
      </rPr>
      <t xml:space="preserve"> for the estimate period, Trial Input vs. Validated CNA Data</t>
    </r>
  </si>
  <si>
    <t>To see annual RfR ending balance differences</t>
  </si>
  <si>
    <t>Trial Deposit input:</t>
  </si>
  <si>
    <t>eTool data:</t>
  </si>
  <si>
    <t>Difference:</t>
  </si>
  <si>
    <t>Debt Service Coverage Analysis Using ADRR/unit changes in RY 1</t>
  </si>
  <si>
    <t>RY 1-10 average w/ escalation</t>
  </si>
  <si>
    <t>RY 11+ average w/ escalation</t>
  </si>
  <si>
    <t>RFR Deposit / Unit / Year</t>
  </si>
  <si>
    <t>Add (Subtract) per unit ADRR to test</t>
  </si>
  <si>
    <t>RY 1 ADRR per unit in Trial Deposit Worksheet:</t>
  </si>
  <si>
    <t>Additional (lesser) NOI in RY 1 to test</t>
  </si>
  <si>
    <t>Mortgage amount:</t>
  </si>
  <si>
    <t>Mortgage coupon:</t>
  </si>
  <si>
    <t>Mortgage term:</t>
  </si>
  <si>
    <t>Monthly P&amp;I:</t>
  </si>
  <si>
    <t xml:space="preserve"> Times 12 months = Annual P&amp; I:</t>
  </si>
  <si>
    <t>Divided by # of Units:</t>
  </si>
  <si>
    <t>Equals P&amp; I per unit per year:</t>
  </si>
  <si>
    <t>Mortgage Constant:</t>
  </si>
  <si>
    <t>MIP:</t>
  </si>
  <si>
    <t>Significant Increases in the deposits indicate RISK that should be considered even when passing the Amortization Mitigation Test.</t>
  </si>
  <si>
    <t>Largest shortfall (surplus) vs. Req. Min. RfR Bal.</t>
  </si>
  <si>
    <t>Adjusted One-Time RY 11 Dep to counter shortfall (surplus)</t>
  </si>
  <si>
    <t>One-Time RY 11 Dep to counter shortfall (surplus) per unit</t>
  </si>
  <si>
    <t>RY 11 Annual Deposit Needed to meet YR 11+ Req. Min. Balance</t>
  </si>
  <si>
    <t>Step:</t>
  </si>
  <si>
    <t>Step Calculations:</t>
  </si>
  <si>
    <t>Approx. discounting factor to adjust for escal. and  interest income</t>
  </si>
  <si>
    <t>Non-discounted additional RY 1 ADRR per unit needed to counter shortfall</t>
  </si>
  <si>
    <t>Largest shortfall (surplus) vs. Req. Min. Bal. (see above)</t>
  </si>
  <si>
    <t>RY 11 One-Time Deposit Needed to Meet YR 11+ Req. Min. Balance</t>
  </si>
  <si>
    <t>RY 1 Annual Deposit Needed to Meet YR 11+ Req. Min. Balance</t>
  </si>
  <si>
    <t>Additional RY 11  ADRR per unit needed to counter shortfall</t>
  </si>
  <si>
    <t>Trial Deposit data per unit ADRR entry  in RY 1</t>
  </si>
  <si>
    <t>Approx. Total RY 1 ADRR To counter shortfall</t>
  </si>
  <si>
    <t>% Extra ADRR / Unit needed in RY 1</t>
  </si>
  <si>
    <t>Reference:</t>
  </si>
  <si>
    <t>RY 10  Inflated ADRR per unit resulting from the RY 1 ADRR that passes RY 1-10 Min. Req. Bal.</t>
  </si>
  <si>
    <t>Approx. total RY 11 ADRR counter shortfall</t>
  </si>
  <si>
    <t>% extra ADRR per unit needed in RY 11 v. RY 10</t>
  </si>
  <si>
    <t>RY 1 Additional ADRR Adj. test:</t>
  </si>
  <si>
    <t>RY 11 One-Time Deposit Adj. test:</t>
  </si>
  <si>
    <t>RY 11 Additional ADRR Adj. test:</t>
  </si>
  <si>
    <t>TRIAL DEPOSIT RESULT:</t>
  </si>
  <si>
    <t>Modified User Interface</t>
  </si>
  <si>
    <t>Updated user interface to simplify for users</t>
  </si>
  <si>
    <t xml:space="preserve">CNA eTool v2.3 added Uninflated Needs.  Added additional row in the data field for Uninflated Needs. </t>
  </si>
  <si>
    <t>ABC</t>
  </si>
  <si>
    <t>111-11111</t>
  </si>
  <si>
    <t xml:space="preserve">ABC </t>
  </si>
  <si>
    <t>VA</t>
  </si>
  <si>
    <t>221d4</t>
  </si>
  <si>
    <t>Total Income (Into the RfR)</t>
  </si>
  <si>
    <t>Income vs. Uses</t>
  </si>
  <si>
    <t>PUPA</t>
  </si>
  <si>
    <t>Additional RY 1 ADRR per unit to counter Req. Min.Bal. shortfall</t>
  </si>
  <si>
    <t>Additional RY 11 ADRR per unit to counter Req. Min.Bal. shortfall</t>
  </si>
  <si>
    <t>Total diff. in Trial Deposits vs. eTool Deposits at the end of Est. Period</t>
  </si>
  <si>
    <r>
      <t>Approx. 
Excess</t>
    </r>
    <r>
      <rPr>
        <i/>
        <u/>
        <sz val="10"/>
        <color rgb="FFFF0000"/>
        <rFont val="Calibri"/>
        <family val="2"/>
        <scheme val="minor"/>
      </rPr>
      <t xml:space="preserve"> (deficit)</t>
    </r>
    <r>
      <rPr>
        <i/>
        <u/>
        <sz val="10"/>
        <color theme="1" tint="0.249977111117893"/>
        <rFont val="Calibri"/>
        <family val="2"/>
        <scheme val="minor"/>
      </rPr>
      <t xml:space="preserve"> per Unit</t>
    </r>
  </si>
  <si>
    <t>RISK ANALYSIS</t>
  </si>
  <si>
    <t>Go to Year 11+ Risk Analysis Tab for details</t>
  </si>
  <si>
    <t>Go To Trial Deposit Analysis Tab to test deposit amounts</t>
  </si>
  <si>
    <t>Lender Name</t>
  </si>
  <si>
    <t>CNA eTool FINANCIAL SCHEDULE DATA</t>
  </si>
  <si>
    <t>e-Tool Data Revenue (Ini. Dep.+ADRR+Int.)</t>
  </si>
  <si>
    <t>DIFFERENCES BETWEEN USER TRIAL INPUT VS. VALIDATED eTool DATA</t>
  </si>
  <si>
    <t>Calc'd</t>
  </si>
  <si>
    <t>Resulting DSC from adding (subtracting) ADRR in RY 1</t>
  </si>
  <si>
    <t>Resulting DSC change</t>
  </si>
  <si>
    <t>Equals Initial Debt Service annualized per unit per year</t>
  </si>
  <si>
    <t>% of accrued amortization (equity) at the beginning of the year to fund the remaining 20-year balance of Inflated Needs after giving credit for scheduled deposits and interest (ignoring req. min. bal.):</t>
  </si>
  <si>
    <t>Go to Trial Deposit Analysis Tab for adjustments trial</t>
  </si>
  <si>
    <t>Per unit</t>
  </si>
  <si>
    <r>
      <t xml:space="preserve">To meet RMB for the entire Est. Period, increase </t>
    </r>
    <r>
      <rPr>
        <b/>
        <sz val="9"/>
        <color theme="1"/>
        <rFont val="Calibri"/>
        <family val="2"/>
        <scheme val="minor"/>
      </rPr>
      <t>annual deposit</t>
    </r>
    <r>
      <rPr>
        <sz val="9"/>
        <color theme="1"/>
        <rFont val="Calibri"/>
        <family val="2"/>
        <scheme val="minor"/>
      </rPr>
      <t xml:space="preserve"> starting </t>
    </r>
    <r>
      <rPr>
        <b/>
        <u/>
        <sz val="9"/>
        <color theme="1"/>
        <rFont val="Calibri"/>
        <family val="2"/>
        <scheme val="minor"/>
      </rPr>
      <t>RY 11</t>
    </r>
    <r>
      <rPr>
        <b/>
        <sz val="9"/>
        <color theme="1"/>
        <rFont val="Calibri"/>
        <family val="2"/>
        <scheme val="minor"/>
      </rPr>
      <t xml:space="preserve"> </t>
    </r>
    <r>
      <rPr>
        <sz val="9"/>
        <color theme="1"/>
        <rFont val="Calibri"/>
        <family val="2"/>
        <scheme val="minor"/>
      </rPr>
      <t>by:</t>
    </r>
  </si>
  <si>
    <r>
      <rPr>
        <b/>
        <sz val="9"/>
        <color theme="1"/>
        <rFont val="Calibri"/>
        <family val="2"/>
        <scheme val="minor"/>
      </rPr>
      <t xml:space="preserve">One-time deposit </t>
    </r>
    <r>
      <rPr>
        <sz val="9"/>
        <color theme="1"/>
        <rFont val="Calibri"/>
        <family val="2"/>
        <scheme val="minor"/>
      </rPr>
      <t xml:space="preserve">amount required in </t>
    </r>
    <r>
      <rPr>
        <b/>
        <u/>
        <sz val="9"/>
        <color theme="1"/>
        <rFont val="Calibri"/>
        <family val="2"/>
        <scheme val="minor"/>
      </rPr>
      <t>RY 11</t>
    </r>
    <r>
      <rPr>
        <sz val="9"/>
        <color theme="1"/>
        <rFont val="Calibri"/>
        <family val="2"/>
        <scheme val="minor"/>
      </rPr>
      <t xml:space="preserve"> to meet RMB for remaining Est. Period (i.e. RY 11+):</t>
    </r>
  </si>
  <si>
    <t>Lump sum</t>
  </si>
  <si>
    <r>
      <t xml:space="preserve">YEAR 1-10: 
</t>
    </r>
    <r>
      <rPr>
        <sz val="12"/>
        <color theme="1"/>
        <rFont val="Calibri"/>
        <family val="2"/>
        <scheme val="minor"/>
      </rPr>
      <t>REQUIRED MINIMUM BALANCE TEST RESULT</t>
    </r>
  </si>
  <si>
    <r>
      <t xml:space="preserve">YEAR 11+: 
</t>
    </r>
    <r>
      <rPr>
        <sz val="12"/>
        <color theme="1"/>
        <rFont val="Calibri"/>
        <family val="2"/>
        <scheme val="minor"/>
      </rPr>
      <t>REQUIRED MINIMUM BALANCE TEST RESULT</t>
    </r>
  </si>
  <si>
    <r>
      <t xml:space="preserve">YEAR 11+: </t>
    </r>
    <r>
      <rPr>
        <sz val="12"/>
        <color theme="1"/>
        <rFont val="Calibri"/>
        <family val="2"/>
        <scheme val="minor"/>
      </rPr>
      <t>AMORTIZATION TEST REQUIRED?</t>
    </r>
  </si>
  <si>
    <r>
      <t xml:space="preserve">YEARS 11+: </t>
    </r>
    <r>
      <rPr>
        <sz val="12"/>
        <color theme="1"/>
        <rFont val="Calibri"/>
        <family val="2"/>
        <scheme val="minor"/>
      </rPr>
      <t>AMORTIZATION TEST MITIGATION RESULT</t>
    </r>
  </si>
  <si>
    <r>
      <t xml:space="preserve">Risk Analysis of Deposit Changes to </t>
    </r>
    <r>
      <rPr>
        <b/>
        <sz val="16"/>
        <color rgb="FFFF0000"/>
        <rFont val="Calibri"/>
        <family val="2"/>
        <scheme val="minor"/>
      </rPr>
      <t>Trial Deposit Inputs</t>
    </r>
    <r>
      <rPr>
        <b/>
        <sz val="16"/>
        <rFont val="Calibri"/>
        <family val="2"/>
        <scheme val="minor"/>
      </rPr>
      <t xml:space="preserve"> to Meet Required Minimum RfR Balances in RY 11+</t>
    </r>
  </si>
  <si>
    <r>
      <t xml:space="preserve">To meet RMB for the entire Est. Period, increase </t>
    </r>
    <r>
      <rPr>
        <b/>
        <sz val="9"/>
        <color theme="1"/>
        <rFont val="Calibri"/>
        <family val="2"/>
        <scheme val="minor"/>
      </rPr>
      <t xml:space="preserve">annual deposit </t>
    </r>
    <r>
      <rPr>
        <sz val="9"/>
        <color theme="1"/>
        <rFont val="Calibri"/>
        <family val="2"/>
        <scheme val="minor"/>
      </rPr>
      <t xml:space="preserve">starting </t>
    </r>
    <r>
      <rPr>
        <b/>
        <u/>
        <sz val="9"/>
        <color theme="1"/>
        <rFont val="Calibri"/>
        <family val="2"/>
        <scheme val="minor"/>
      </rPr>
      <t>RY 1</t>
    </r>
    <r>
      <rPr>
        <b/>
        <sz val="9"/>
        <color theme="1"/>
        <rFont val="Calibri"/>
        <family val="2"/>
        <scheme val="minor"/>
      </rPr>
      <t xml:space="preserve"> </t>
    </r>
    <r>
      <rPr>
        <sz val="9"/>
        <color theme="1"/>
        <rFont val="Calibri"/>
        <family val="2"/>
        <scheme val="minor"/>
      </rPr>
      <t>by:</t>
    </r>
  </si>
  <si>
    <t>Updated instructions to match CNA e-Tool v3.0 Export Format</t>
  </si>
  <si>
    <t>eTool Data Engine</t>
  </si>
  <si>
    <t>CNA e-Tool v3.0 export percentage misread corrected. Initial rate reference misread corrected to point to Year 0</t>
  </si>
  <si>
    <r>
      <t xml:space="preserve">Updated the MAP Guide reference; corrected the #3) requirement to say "…must </t>
    </r>
    <r>
      <rPr>
        <b/>
        <i/>
        <sz val="11"/>
        <color theme="1"/>
        <rFont val="Calibri"/>
        <family val="2"/>
        <scheme val="minor"/>
      </rPr>
      <t>not</t>
    </r>
    <r>
      <rPr>
        <sz val="11"/>
        <color theme="1"/>
        <rFont val="Calibri"/>
        <family val="2"/>
        <scheme val="minor"/>
      </rPr>
      <t xml:space="preserve"> exceed the percentage…"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</si>
</sst>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quot;$&quot;#,##0.0000000"/>
    <numFmt numFmtId="167" formatCode="&quot;$&quot;#,##0.0_);[Red]\(&quot;$&quot;#,##0.0\)"/>
    <numFmt numFmtId="168" formatCode="0.0%"/>
    <numFmt numFmtId="169" formatCode="0.000%"/>
    <numFmt numFmtId="170" formatCode="0.0000%"/>
    <numFmt numFmtId="171" formatCode="&quot;$&quot;#,##0.0000000_);[Red]\(&quot;$&quot;#,##0.0000000\)"/>
    <numFmt numFmtId="172" formatCode="000\-00000"/>
    <numFmt numFmtId="173" formatCode="_(&quot;$&quot;* #,##0_);_(&quot;$&quot;* \(#,##0\);_(&quot;$&quot;* &quot;-&quot;??_);_(@_)"/>
  </numFmts>
  <fonts count="113"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2"/>
      <color theme="1"/>
      <name val="Calibri"/>
      <family val="2"/>
      <scheme val="minor"/>
    </font>
    <font>
      <sz val="10"/>
      <color theme="1"/>
      <name val="Calibri"/>
      <family val="2"/>
      <scheme val="minor"/>
    </font>
    <font>
      <sz val="9"/>
      <color theme="1"/>
      <name val="Calibri"/>
      <family val="2"/>
      <scheme val="minor"/>
    </font>
    <font>
      <i/>
      <sz val="9"/>
      <color theme="0" tint="-0.499984740745262"/>
      <name val="Calibri"/>
      <family val="2"/>
      <scheme val="minor"/>
    </font>
    <font>
      <i/>
      <sz val="9"/>
      <color theme="1" tint="0.499984740745262"/>
      <name val="Calibri"/>
      <family val="2"/>
      <scheme val="minor"/>
    </font>
    <font>
      <i/>
      <sz val="10"/>
      <color theme="1" tint="0.499984740745262"/>
      <name val="Calibri"/>
      <family val="2"/>
      <scheme val="minor"/>
    </font>
    <font>
      <u/>
      <sz val="11"/>
      <color theme="1"/>
      <name val="Calibri"/>
      <family val="2"/>
      <scheme val="minor"/>
    </font>
    <font>
      <u val="doubleAccounting"/>
      <sz val="11"/>
      <color theme="1"/>
      <name val="Calibri"/>
      <family val="2"/>
      <scheme val="minor"/>
    </font>
    <font>
      <u val="singleAccounting"/>
      <sz val="11"/>
      <color theme="1"/>
      <name val="Calibri"/>
      <family val="2"/>
      <scheme val="minor"/>
    </font>
    <font>
      <i/>
      <sz val="11"/>
      <color theme="1"/>
      <name val="Calibri"/>
      <family val="2"/>
      <scheme val="minor"/>
    </font>
    <font>
      <i/>
      <u val="singleAccounting"/>
      <sz val="11"/>
      <color theme="1"/>
      <name val="Calibri"/>
      <family val="2"/>
      <scheme val="minor"/>
    </font>
    <font>
      <sz val="9"/>
      <color rgb="FFFF0000"/>
      <name val="Calibri"/>
      <family val="2"/>
      <scheme val="minor"/>
    </font>
    <font>
      <sz val="9"/>
      <color rgb="FF00B050"/>
      <name val="Calibri"/>
      <family val="2"/>
      <scheme val="minor"/>
    </font>
    <font>
      <sz val="11"/>
      <color rgb="FF00B050"/>
      <name val="Calibri"/>
      <family val="2"/>
      <scheme val="minor"/>
    </font>
    <font>
      <i/>
      <sz val="10"/>
      <name val="Calibri"/>
      <family val="2"/>
      <scheme val="minor"/>
    </font>
    <font>
      <sz val="9"/>
      <name val="Calibri"/>
      <family val="2"/>
      <scheme val="minor"/>
    </font>
    <font>
      <i/>
      <sz val="10"/>
      <color theme="0" tint="-0.499984740745262"/>
      <name val="Calibri"/>
      <family val="2"/>
      <scheme val="minor"/>
    </font>
    <font>
      <sz val="8"/>
      <color theme="1"/>
      <name val="Calibri"/>
      <family val="2"/>
      <scheme val="minor"/>
    </font>
    <font>
      <sz val="8"/>
      <color theme="0" tint="-0.499984740745262"/>
      <name val="Calibri"/>
      <family val="2"/>
      <scheme val="minor"/>
    </font>
    <font>
      <i/>
      <u val="doubleAccounting"/>
      <sz val="10"/>
      <color theme="1" tint="0.499984740745262"/>
      <name val="Calibri"/>
      <family val="2"/>
      <scheme val="minor"/>
    </font>
    <font>
      <i/>
      <u val="singleAccounting"/>
      <sz val="10"/>
      <color theme="1" tint="0.499984740745262"/>
      <name val="Calibri"/>
      <family val="2"/>
      <scheme val="minor"/>
    </font>
    <font>
      <i/>
      <u/>
      <sz val="10"/>
      <color theme="1" tint="0.499984740745262"/>
      <name val="Calibri"/>
      <family val="2"/>
      <scheme val="minor"/>
    </font>
    <font>
      <u/>
      <sz val="11"/>
      <color theme="10"/>
      <name val="Calibri"/>
      <family val="2"/>
      <scheme val="minor"/>
    </font>
    <font>
      <sz val="9"/>
      <color indexed="81"/>
      <name val="Tahoma"/>
      <family val="2"/>
    </font>
    <font>
      <b/>
      <sz val="9"/>
      <color indexed="81"/>
      <name val="Tahoma"/>
      <family val="2"/>
    </font>
    <font>
      <b/>
      <sz val="9"/>
      <color theme="1"/>
      <name val="Calibri"/>
      <family val="2"/>
      <scheme val="minor"/>
    </font>
    <font>
      <b/>
      <sz val="12"/>
      <color theme="0"/>
      <name val="Calibri"/>
      <family val="2"/>
      <scheme val="minor"/>
    </font>
    <font>
      <i/>
      <sz val="10"/>
      <color theme="1"/>
      <name val="Calibri"/>
      <family val="2"/>
      <scheme val="minor"/>
    </font>
    <font>
      <sz val="9"/>
      <color theme="0" tint="-0.499984740745262"/>
      <name val="Calibri"/>
      <family val="2"/>
      <scheme val="minor"/>
    </font>
    <font>
      <i/>
      <sz val="8"/>
      <color theme="0" tint="-0.499984740745262"/>
      <name val="Calibri"/>
      <family val="2"/>
      <scheme val="minor"/>
    </font>
    <font>
      <u/>
      <sz val="9"/>
      <color theme="10"/>
      <name val="Calibri"/>
      <family val="2"/>
      <scheme val="minor"/>
    </font>
    <font>
      <sz val="12"/>
      <color theme="1"/>
      <name val="Calibri"/>
      <family val="2"/>
      <scheme val="minor"/>
    </font>
    <font>
      <sz val="10"/>
      <color rgb="FFFF0000"/>
      <name val="Calibri"/>
      <family val="2"/>
      <scheme val="minor"/>
    </font>
    <font>
      <sz val="11"/>
      <name val="Calibri"/>
      <family val="2"/>
      <scheme val="minor"/>
    </font>
    <font>
      <i/>
      <sz val="8"/>
      <color theme="1"/>
      <name val="Calibri"/>
      <family val="2"/>
      <scheme val="minor"/>
    </font>
    <font>
      <sz val="14"/>
      <color theme="1"/>
      <name val="Calibri"/>
      <family val="2"/>
      <scheme val="minor"/>
    </font>
    <font>
      <b/>
      <sz val="14"/>
      <color theme="1"/>
      <name val="Calibri"/>
      <family val="2"/>
      <scheme val="minor"/>
    </font>
    <font>
      <u/>
      <sz val="8"/>
      <color theme="1"/>
      <name val="Calibri"/>
      <family val="2"/>
      <scheme val="minor"/>
    </font>
    <font>
      <sz val="9"/>
      <color theme="4"/>
      <name val="Calibri"/>
      <family val="2"/>
      <scheme val="minor"/>
    </font>
    <font>
      <u/>
      <sz val="9"/>
      <color theme="4"/>
      <name val="Calibri"/>
      <family val="2"/>
      <scheme val="minor"/>
    </font>
    <font>
      <b/>
      <sz val="9"/>
      <color theme="4"/>
      <name val="Calibri"/>
      <family val="2"/>
      <scheme val="minor"/>
    </font>
    <font>
      <b/>
      <sz val="11"/>
      <color theme="4"/>
      <name val="Calibri"/>
      <family val="2"/>
      <scheme val="minor"/>
    </font>
    <font>
      <sz val="11"/>
      <color rgb="FFFF0000"/>
      <name val="Calibri"/>
      <family val="2"/>
      <scheme val="minor"/>
    </font>
    <font>
      <u val="doubleAccounting"/>
      <sz val="11"/>
      <color rgb="FF0099CC"/>
      <name val="Calibri"/>
      <family val="2"/>
      <scheme val="minor"/>
    </font>
    <font>
      <b/>
      <sz val="11"/>
      <color rgb="FF0099CC"/>
      <name val="Calibri"/>
      <family val="2"/>
      <scheme val="minor"/>
    </font>
    <font>
      <u/>
      <sz val="10"/>
      <color theme="1"/>
      <name val="Calibri"/>
      <family val="2"/>
      <scheme val="minor"/>
    </font>
    <font>
      <i/>
      <sz val="11"/>
      <name val="Calibri"/>
      <family val="2"/>
      <scheme val="minor"/>
    </font>
    <font>
      <i/>
      <sz val="11"/>
      <color theme="1" tint="0.499984740745262"/>
      <name val="Calibri"/>
      <family val="2"/>
      <scheme val="minor"/>
    </font>
    <font>
      <sz val="10"/>
      <name val="Calibri"/>
      <family val="2"/>
      <scheme val="minor"/>
    </font>
    <font>
      <i/>
      <sz val="12"/>
      <color theme="0" tint="-0.499984740745262"/>
      <name val="Calibri"/>
      <family val="2"/>
      <scheme val="minor"/>
    </font>
    <font>
      <i/>
      <sz val="12"/>
      <name val="Calibri"/>
      <family val="2"/>
      <scheme val="minor"/>
    </font>
    <font>
      <b/>
      <i/>
      <sz val="12"/>
      <name val="Calibri"/>
      <family val="2"/>
      <scheme val="minor"/>
    </font>
    <font>
      <u/>
      <sz val="12"/>
      <name val="Calibri"/>
      <family val="2"/>
      <scheme val="minor"/>
    </font>
    <font>
      <sz val="11"/>
      <color theme="1"/>
      <name val="Calibri"/>
      <family val="2"/>
      <scheme val="minor"/>
    </font>
    <font>
      <b/>
      <sz val="10"/>
      <color theme="1"/>
      <name val="Calibri"/>
      <family val="2"/>
      <scheme val="minor"/>
    </font>
    <font>
      <b/>
      <sz val="18"/>
      <color theme="1"/>
      <name val="Calibri"/>
      <family val="2"/>
      <scheme val="minor"/>
    </font>
    <font>
      <b/>
      <sz val="16"/>
      <color theme="1"/>
      <name val="Calibri"/>
      <family val="2"/>
      <scheme val="minor"/>
    </font>
    <font>
      <i/>
      <sz val="9"/>
      <color theme="1"/>
      <name val="Calibri"/>
      <family val="2"/>
      <scheme val="minor"/>
    </font>
    <font>
      <b/>
      <sz val="11"/>
      <name val="Calibri"/>
      <family val="2"/>
      <scheme val="minor"/>
    </font>
    <font>
      <b/>
      <sz val="13"/>
      <color theme="1"/>
      <name val="Calibri"/>
      <family val="2"/>
      <scheme val="minor"/>
    </font>
    <font>
      <b/>
      <sz val="12"/>
      <name val="Calibri"/>
      <family val="2"/>
      <scheme val="minor"/>
    </font>
    <font>
      <b/>
      <i/>
      <sz val="10"/>
      <color theme="1"/>
      <name val="Calibri"/>
      <family val="2"/>
      <scheme val="minor"/>
    </font>
    <font>
      <b/>
      <i/>
      <sz val="11"/>
      <color theme="1"/>
      <name val="Calibri"/>
      <family val="2"/>
      <scheme val="minor"/>
    </font>
    <font>
      <sz val="14"/>
      <color rgb="FFFF0000"/>
      <name val="Calibri"/>
      <family val="2"/>
      <scheme val="minor"/>
    </font>
    <font>
      <u/>
      <sz val="10"/>
      <color theme="10"/>
      <name val="Calibri"/>
      <family val="2"/>
      <scheme val="minor"/>
    </font>
    <font>
      <i/>
      <sz val="11"/>
      <color rgb="FF0070C0"/>
      <name val="Calibri"/>
      <family val="2"/>
      <scheme val="minor"/>
    </font>
    <font>
      <i/>
      <u/>
      <sz val="11"/>
      <name val="Calibri"/>
      <family val="2"/>
      <scheme val="minor"/>
    </font>
    <font>
      <b/>
      <u/>
      <sz val="12"/>
      <color theme="1"/>
      <name val="Calibri"/>
      <family val="2"/>
      <scheme val="minor"/>
    </font>
    <font>
      <b/>
      <sz val="12"/>
      <color rgb="FFFF0000"/>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tint="0.249977111117893"/>
      <name val="Calibri"/>
      <family val="2"/>
      <scheme val="minor"/>
    </font>
    <font>
      <i/>
      <u/>
      <sz val="10"/>
      <color theme="1" tint="0.249977111117893"/>
      <name val="Calibri"/>
      <family val="2"/>
      <scheme val="minor"/>
    </font>
    <font>
      <i/>
      <sz val="11"/>
      <color theme="1" tint="0.249977111117893"/>
      <name val="Calibri"/>
      <family val="2"/>
      <scheme val="minor"/>
    </font>
    <font>
      <i/>
      <u/>
      <sz val="9"/>
      <color theme="1" tint="0.249977111117893"/>
      <name val="Calibri"/>
      <family val="2"/>
      <scheme val="minor"/>
    </font>
    <font>
      <sz val="11"/>
      <color theme="1" tint="0.249977111117893"/>
      <name val="Calibri"/>
      <family val="2"/>
      <scheme val="minor"/>
    </font>
    <font>
      <i/>
      <sz val="9"/>
      <color theme="1" tint="0.249977111117893"/>
      <name val="Calibri"/>
      <family val="2"/>
      <scheme val="minor"/>
    </font>
    <font>
      <b/>
      <sz val="14"/>
      <color rgb="FFFF0000"/>
      <name val="Calibri"/>
      <family val="2"/>
      <scheme val="minor"/>
    </font>
    <font>
      <b/>
      <sz val="9"/>
      <color rgb="FFFF0000"/>
      <name val="Calibri"/>
      <family val="2"/>
      <scheme val="minor"/>
    </font>
    <font>
      <b/>
      <sz val="10"/>
      <color rgb="FFFF0000"/>
      <name val="Calibri"/>
      <family val="2"/>
      <scheme val="minor"/>
    </font>
    <font>
      <b/>
      <sz val="10"/>
      <name val="Calibri"/>
      <family val="2"/>
      <scheme val="minor"/>
    </font>
    <font>
      <i/>
      <sz val="10"/>
      <color rgb="FF0070C0"/>
      <name val="Calibri"/>
      <family val="2"/>
      <scheme val="minor"/>
    </font>
    <font>
      <i/>
      <sz val="9"/>
      <color rgb="FF0070C0"/>
      <name val="Calibri"/>
      <family val="2"/>
      <scheme val="minor"/>
    </font>
    <font>
      <sz val="11"/>
      <color rgb="FF0070C0"/>
      <name val="Calibri"/>
      <family val="2"/>
      <scheme val="minor"/>
    </font>
    <font>
      <i/>
      <sz val="10"/>
      <color rgb="FFFF0000"/>
      <name val="Calibri"/>
      <family val="2"/>
      <scheme val="minor"/>
    </font>
    <font>
      <b/>
      <sz val="10"/>
      <color theme="1" tint="0.249977111117893"/>
      <name val="Calibri"/>
      <family val="2"/>
      <scheme val="minor"/>
    </font>
    <font>
      <b/>
      <u/>
      <sz val="11"/>
      <color theme="1"/>
      <name val="Calibri"/>
      <family val="2"/>
      <scheme val="minor"/>
    </font>
    <font>
      <sz val="8"/>
      <name val="Calibri"/>
      <family val="2"/>
      <scheme val="minor"/>
    </font>
    <font>
      <i/>
      <sz val="9"/>
      <name val="Calibri"/>
      <family val="2"/>
      <scheme val="minor"/>
    </font>
    <font>
      <b/>
      <sz val="16"/>
      <name val="Calibri"/>
      <family val="2"/>
      <scheme val="minor"/>
    </font>
    <font>
      <sz val="12"/>
      <name val="Calibri"/>
      <family val="2"/>
      <scheme val="minor"/>
    </font>
    <font>
      <b/>
      <i/>
      <sz val="9"/>
      <name val="Calibri"/>
      <family val="2"/>
      <scheme val="minor"/>
    </font>
    <font>
      <b/>
      <sz val="14"/>
      <name val="Calibri"/>
      <family val="2"/>
      <scheme val="minor"/>
    </font>
    <font>
      <b/>
      <sz val="16"/>
      <color rgb="FFFF0000"/>
      <name val="Calibri"/>
      <family val="2"/>
      <scheme val="minor"/>
    </font>
    <font>
      <i/>
      <u/>
      <sz val="10"/>
      <color rgb="FFFF0000"/>
      <name val="Calibri"/>
      <family val="2"/>
      <scheme val="minor"/>
    </font>
    <font>
      <u/>
      <sz val="8"/>
      <color theme="10"/>
      <name val="Calibri"/>
      <family val="2"/>
      <scheme val="minor"/>
    </font>
    <font>
      <b/>
      <u/>
      <sz val="9"/>
      <color theme="1"/>
      <name val="Calibri"/>
      <family val="2"/>
      <scheme val="minor"/>
    </font>
    <font>
      <sz val="20"/>
      <color theme="1"/>
      <name val="Calibri"/>
      <family val="2"/>
      <scheme val="minor"/>
    </font>
  </fonts>
  <fills count="5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0099CC"/>
        <bgColor indexed="64"/>
      </patternFill>
    </fill>
    <fill>
      <patternFill patternType="solid">
        <fgColor rgb="FF66FFFF"/>
        <bgColor indexed="64"/>
      </patternFill>
    </fill>
    <fill>
      <patternFill patternType="solid">
        <fgColor rgb="FF66CCFF"/>
        <bgColor indexed="64"/>
      </patternFill>
    </fill>
    <fill>
      <patternFill patternType="solid">
        <fgColor theme="0" tint="-0.499984740745262"/>
        <bgColor indexed="64"/>
      </patternFill>
    </fill>
    <fill>
      <patternFill patternType="solid">
        <fgColor rgb="FFFFFF00"/>
        <bgColor indexed="64"/>
      </patternFill>
    </fill>
    <fill>
      <patternFill patternType="solid">
        <fgColor rgb="FFE2FCC0"/>
        <bgColor indexed="64"/>
      </patternFill>
    </fill>
    <fill>
      <patternFill patternType="solid">
        <fgColor rgb="FFCCECFF"/>
        <bgColor indexed="64"/>
      </patternFill>
    </fill>
    <fill>
      <patternFill patternType="solid">
        <fgColor rgb="FF00B0F0"/>
        <bgColor indexed="64"/>
      </patternFill>
    </fill>
    <fill>
      <patternFill patternType="solid">
        <fgColor theme="1" tint="0.499984740745262"/>
        <bgColor indexed="64"/>
      </patternFill>
    </fill>
    <fill>
      <patternFill patternType="solid">
        <fgColor rgb="FFD5F1F0"/>
        <bgColor indexed="64"/>
      </patternFill>
    </fill>
    <fill>
      <patternFill patternType="solid">
        <fgColor rgb="FFFFCC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34998626667073579"/>
        <bgColor indexed="64"/>
      </patternFill>
    </fill>
    <fill>
      <patternFill patternType="solid">
        <fgColor rgb="FFE5F4FF"/>
        <bgColor indexed="64"/>
      </patternFill>
    </fill>
  </fills>
  <borders count="94">
    <border>
      <left/>
      <right/>
      <top/>
      <bottom/>
      <diagonal/>
    </border>
    <border>
      <left style="medium">
        <color theme="0"/>
      </left>
      <right style="medium">
        <color theme="0" tint="-0.24994659260841701"/>
      </right>
      <top style="medium">
        <color theme="0"/>
      </top>
      <bottom style="medium">
        <color theme="0" tint="-0.2499465926084170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theme="0" tint="-0.34998626667073579"/>
      </left>
      <right/>
      <top style="thick">
        <color theme="0" tint="-0.34998626667073579"/>
      </top>
      <bottom style="dashed">
        <color theme="0"/>
      </bottom>
      <diagonal/>
    </border>
    <border>
      <left style="thick">
        <color theme="0" tint="-0.24994659260841701"/>
      </left>
      <right/>
      <top style="thick">
        <color theme="0" tint="-0.24994659260841701"/>
      </top>
      <bottom/>
      <diagonal/>
    </border>
    <border>
      <left/>
      <right style="dashed">
        <color theme="0"/>
      </right>
      <top style="thick">
        <color theme="0" tint="-0.24994659260841701"/>
      </top>
      <bottom/>
      <diagonal/>
    </border>
    <border>
      <left style="thick">
        <color theme="0" tint="-0.24994659260841701"/>
      </left>
      <right/>
      <top/>
      <bottom/>
      <diagonal/>
    </border>
    <border>
      <left/>
      <right style="dashed">
        <color theme="0"/>
      </right>
      <top/>
      <bottom/>
      <diagonal/>
    </border>
    <border>
      <left style="thick">
        <color theme="0" tint="-0.24994659260841701"/>
      </left>
      <right/>
      <top/>
      <bottom style="dashed">
        <color theme="0"/>
      </bottom>
      <diagonal/>
    </border>
    <border>
      <left/>
      <right style="dashed">
        <color theme="0"/>
      </right>
      <top/>
      <bottom style="dashed">
        <color theme="0"/>
      </bottom>
      <diagonal/>
    </border>
    <border>
      <left style="thin">
        <color theme="1" tint="0.499984740745262"/>
      </left>
      <right/>
      <top style="thin">
        <color theme="1" tint="0.499984740745262"/>
      </top>
      <bottom/>
      <diagonal/>
    </border>
    <border>
      <left/>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theme="0" tint="-0.24994659260841701"/>
      </left>
      <right style="medium">
        <color theme="1"/>
      </right>
      <top style="medium">
        <color theme="0" tint="-0.24994659260841701"/>
      </top>
      <bottom/>
      <diagonal/>
    </border>
    <border>
      <left style="medium">
        <color theme="0" tint="-0.24994659260841701"/>
      </left>
      <right style="medium">
        <color theme="1"/>
      </right>
      <top/>
      <bottom/>
      <diagonal/>
    </border>
    <border>
      <left style="medium">
        <color theme="0" tint="-0.24994659260841701"/>
      </left>
      <right style="medium">
        <color theme="1"/>
      </right>
      <top/>
      <bottom style="medium">
        <color theme="0" tint="-0.24994659260841701"/>
      </bottom>
      <diagonal/>
    </border>
    <border>
      <left/>
      <right/>
      <top style="thin">
        <color indexed="64"/>
      </top>
      <bottom style="double">
        <color indexed="64"/>
      </bottom>
      <diagonal/>
    </border>
    <border>
      <left/>
      <right style="medium">
        <color theme="1"/>
      </right>
      <top style="medium">
        <color theme="0" tint="-0.24994659260841701"/>
      </top>
      <bottom/>
      <diagonal/>
    </border>
    <border>
      <left style="medium">
        <color theme="0" tint="-0.24994659260841701"/>
      </left>
      <right/>
      <top style="medium">
        <color theme="0" tint="-0.24994659260841701"/>
      </top>
      <bottom/>
      <diagonal/>
    </border>
    <border>
      <left style="thick">
        <color theme="0" tint="-0.34998626667073579"/>
      </left>
      <right style="thick">
        <color theme="0" tint="-0.34998626667073579"/>
      </right>
      <top style="thick">
        <color theme="0" tint="-0.34998626667073579"/>
      </top>
      <bottom style="thin">
        <color theme="0" tint="-0.3499862666707357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auto="1"/>
      </bottom>
      <diagonal/>
    </border>
    <border>
      <left/>
      <right style="medium">
        <color indexed="64"/>
      </right>
      <top/>
      <bottom style="thin">
        <color auto="1"/>
      </bottom>
      <diagonal/>
    </border>
    <border>
      <left/>
      <right style="medium">
        <color indexed="64"/>
      </right>
      <top style="thin">
        <color indexed="64"/>
      </top>
      <bottom/>
      <diagonal/>
    </border>
    <border>
      <left style="thin">
        <color auto="1"/>
      </left>
      <right style="thin">
        <color auto="1"/>
      </right>
      <top style="medium">
        <color indexed="64"/>
      </top>
      <bottom style="thin">
        <color auto="1"/>
      </bottom>
      <diagonal/>
    </border>
    <border>
      <left style="thin">
        <color auto="1"/>
      </left>
      <right style="thin">
        <color auto="1"/>
      </right>
      <top/>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style="medium">
        <color indexed="64"/>
      </bottom>
      <diagonal/>
    </border>
    <border>
      <left style="thin">
        <color auto="1"/>
      </left>
      <right style="medium">
        <color indexed="64"/>
      </right>
      <top style="medium">
        <color indexed="64"/>
      </top>
      <bottom style="thin">
        <color auto="1"/>
      </bottom>
      <diagonal/>
    </border>
    <border>
      <left style="medium">
        <color indexed="64"/>
      </left>
      <right style="thin">
        <color auto="1"/>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top style="double">
        <color indexed="64"/>
      </top>
      <bottom style="thin">
        <color auto="1"/>
      </bottom>
      <diagonal/>
    </border>
    <border>
      <left/>
      <right style="thin">
        <color indexed="64"/>
      </right>
      <top style="double">
        <color indexed="64"/>
      </top>
      <bottom style="thin">
        <color auto="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thin">
        <color auto="1"/>
      </top>
      <bottom style="thin">
        <color indexed="64"/>
      </bottom>
      <diagonal/>
    </border>
    <border>
      <left/>
      <right style="medium">
        <color indexed="64"/>
      </right>
      <top style="thin">
        <color auto="1"/>
      </top>
      <bottom style="thin">
        <color indexed="64"/>
      </bottom>
      <diagonal/>
    </border>
    <border>
      <left style="thin">
        <color indexed="64"/>
      </left>
      <right/>
      <top style="thin">
        <color indexed="64"/>
      </top>
      <bottom style="double">
        <color indexed="64"/>
      </bottom>
      <diagonal/>
    </border>
    <border>
      <left style="thin">
        <color indexed="64"/>
      </left>
      <right/>
      <top/>
      <bottom style="medium">
        <color indexed="64"/>
      </bottom>
      <diagonal/>
    </border>
    <border>
      <left/>
      <right style="mediumDashed">
        <color rgb="FFC00000"/>
      </right>
      <top/>
      <bottom/>
      <diagonal/>
    </border>
    <border>
      <left/>
      <right style="mediumDashed">
        <color rgb="FFC00000"/>
      </right>
      <top style="mediumDashed">
        <color rgb="FFC00000"/>
      </top>
      <bottom/>
      <diagonal/>
    </border>
    <border>
      <left style="mediumDashed">
        <color rgb="FFC00000"/>
      </left>
      <right/>
      <top/>
      <bottom style="mediumDashed">
        <color rgb="FFC00000"/>
      </bottom>
      <diagonal/>
    </border>
    <border>
      <left/>
      <right/>
      <top/>
      <bottom style="mediumDashed">
        <color rgb="FFC00000"/>
      </bottom>
      <diagonal/>
    </border>
    <border>
      <left/>
      <right style="mediumDashed">
        <color rgb="FFC00000"/>
      </right>
      <top/>
      <bottom style="mediumDashed">
        <color rgb="FFC00000"/>
      </bottom>
      <diagonal/>
    </border>
    <border>
      <left style="medium">
        <color indexed="64"/>
      </left>
      <right/>
      <top style="thin">
        <color auto="1"/>
      </top>
      <bottom/>
      <diagonal/>
    </border>
    <border>
      <left/>
      <right/>
      <top style="medium">
        <color indexed="64"/>
      </top>
      <bottom style="mediumDashed">
        <color rgb="FFC00000"/>
      </bottom>
      <diagonal/>
    </border>
  </borders>
  <cellStyleXfs count="47">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26" fillId="0" borderId="0" applyNumberFormat="0" applyFill="0" applyBorder="0" applyAlignment="0" applyProtection="0"/>
    <xf numFmtId="43" fontId="1" fillId="0" borderId="0" applyFont="0" applyFill="0" applyBorder="0" applyAlignment="0" applyProtection="0"/>
    <xf numFmtId="0" fontId="73" fillId="0" borderId="0" applyNumberFormat="0" applyFill="0" applyBorder="0" applyAlignment="0" applyProtection="0"/>
    <xf numFmtId="0" fontId="74" fillId="0" borderId="74" applyNumberFormat="0" applyFill="0" applyAlignment="0" applyProtection="0"/>
    <xf numFmtId="0" fontId="75" fillId="0" borderId="75" applyNumberFormat="0" applyFill="0" applyAlignment="0" applyProtection="0"/>
    <xf numFmtId="0" fontId="76" fillId="0" borderId="76" applyNumberFormat="0" applyFill="0" applyAlignment="0" applyProtection="0"/>
    <xf numFmtId="0" fontId="76" fillId="0" borderId="0" applyNumberFormat="0" applyFill="0" applyBorder="0" applyAlignment="0" applyProtection="0"/>
    <xf numFmtId="0" fontId="77" fillId="17" borderId="0" applyNumberFormat="0" applyBorder="0" applyAlignment="0" applyProtection="0"/>
    <xf numFmtId="0" fontId="78" fillId="18" borderId="0" applyNumberFormat="0" applyBorder="0" applyAlignment="0" applyProtection="0"/>
    <xf numFmtId="0" fontId="79" fillId="19" borderId="0" applyNumberFormat="0" applyBorder="0" applyAlignment="0" applyProtection="0"/>
    <xf numFmtId="0" fontId="80" fillId="20" borderId="77" applyNumberFormat="0" applyAlignment="0" applyProtection="0"/>
    <xf numFmtId="0" fontId="81" fillId="21" borderId="78" applyNumberFormat="0" applyAlignment="0" applyProtection="0"/>
    <xf numFmtId="0" fontId="82" fillId="21" borderId="77" applyNumberFormat="0" applyAlignment="0" applyProtection="0"/>
    <xf numFmtId="0" fontId="83" fillId="0" borderId="79" applyNumberFormat="0" applyFill="0" applyAlignment="0" applyProtection="0"/>
    <xf numFmtId="0" fontId="84" fillId="22" borderId="80" applyNumberFormat="0" applyAlignment="0" applyProtection="0"/>
    <xf numFmtId="0" fontId="46" fillId="0" borderId="0" applyNumberFormat="0" applyFill="0" applyBorder="0" applyAlignment="0" applyProtection="0"/>
    <xf numFmtId="0" fontId="1" fillId="23" borderId="81" applyNumberFormat="0" applyFont="0" applyAlignment="0" applyProtection="0"/>
    <xf numFmtId="0" fontId="85" fillId="0" borderId="0" applyNumberFormat="0" applyFill="0" applyBorder="0" applyAlignment="0" applyProtection="0"/>
    <xf numFmtId="0" fontId="2" fillId="0" borderId="82" applyNumberFormat="0" applyFill="0" applyAlignment="0" applyProtection="0"/>
    <xf numFmtId="0" fontId="3"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3"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3"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3"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3"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cellStyleXfs>
  <cellXfs count="1199">
    <xf numFmtId="0" fontId="0" fillId="0" borderId="0" xfId="0"/>
    <xf numFmtId="0" fontId="0" fillId="3" borderId="4" xfId="0" applyFill="1" applyBorder="1"/>
    <xf numFmtId="0" fontId="0" fillId="3" borderId="6" xfId="0" applyFill="1" applyBorder="1"/>
    <xf numFmtId="0" fontId="0" fillId="3" borderId="8" xfId="0" applyFill="1" applyBorder="1"/>
    <xf numFmtId="0" fontId="0" fillId="3" borderId="9" xfId="0" applyFill="1" applyBorder="1"/>
    <xf numFmtId="0" fontId="0" fillId="3" borderId="0" xfId="0" applyFill="1" applyBorder="1"/>
    <xf numFmtId="0" fontId="0" fillId="12" borderId="3" xfId="0" applyFill="1" applyBorder="1"/>
    <xf numFmtId="0" fontId="0" fillId="12" borderId="0" xfId="0" applyFill="1" applyBorder="1"/>
    <xf numFmtId="6" fontId="0" fillId="12" borderId="0" xfId="0" applyNumberFormat="1" applyFill="1" applyBorder="1"/>
    <xf numFmtId="0" fontId="0" fillId="12" borderId="0" xfId="0" applyFont="1" applyFill="1" applyBorder="1"/>
    <xf numFmtId="0" fontId="10" fillId="12" borderId="0" xfId="0" applyFont="1" applyFill="1" applyBorder="1" applyAlignment="1">
      <alignment horizontal="right" wrapText="1"/>
    </xf>
    <xf numFmtId="9" fontId="0" fillId="12" borderId="0" xfId="2" applyFont="1" applyFill="1" applyBorder="1"/>
    <xf numFmtId="0" fontId="10" fillId="12" borderId="0" xfId="0" applyFont="1" applyFill="1" applyBorder="1" applyAlignment="1">
      <alignment horizontal="right" vertical="top" wrapText="1"/>
    </xf>
    <xf numFmtId="8" fontId="0" fillId="12" borderId="0" xfId="0" applyNumberFormat="1" applyFill="1" applyBorder="1"/>
    <xf numFmtId="0" fontId="0" fillId="12" borderId="0" xfId="0" applyFill="1" applyBorder="1" applyAlignment="1">
      <alignment horizontal="right" indent="1"/>
    </xf>
    <xf numFmtId="0" fontId="39" fillId="12" borderId="3" xfId="0" applyFont="1" applyFill="1" applyBorder="1"/>
    <xf numFmtId="0" fontId="39" fillId="12" borderId="0" xfId="0" applyFont="1" applyFill="1" applyBorder="1"/>
    <xf numFmtId="164" fontId="0" fillId="12" borderId="0" xfId="0" applyNumberFormat="1" applyFill="1" applyBorder="1" applyAlignment="1">
      <alignment horizontal="center"/>
    </xf>
    <xf numFmtId="8" fontId="0" fillId="12" borderId="0" xfId="0" applyNumberFormat="1" applyFont="1" applyFill="1" applyBorder="1"/>
    <xf numFmtId="0" fontId="0" fillId="12" borderId="3" xfId="0" applyFill="1" applyBorder="1" applyProtection="1"/>
    <xf numFmtId="0" fontId="0" fillId="0" borderId="0" xfId="0" applyProtection="1"/>
    <xf numFmtId="0" fontId="0" fillId="12" borderId="5" xfId="0" applyFill="1" applyBorder="1" applyProtection="1"/>
    <xf numFmtId="0" fontId="2" fillId="12" borderId="0" xfId="0" applyFont="1" applyFill="1" applyBorder="1" applyProtection="1"/>
    <xf numFmtId="0" fontId="0" fillId="12" borderId="6" xfId="0" applyFill="1" applyBorder="1" applyProtection="1"/>
    <xf numFmtId="0" fontId="0" fillId="12" borderId="0" xfId="0" applyFill="1" applyBorder="1" applyProtection="1"/>
    <xf numFmtId="6" fontId="5" fillId="12" borderId="0" xfId="0" applyNumberFormat="1" applyFont="1" applyFill="1" applyBorder="1" applyProtection="1"/>
    <xf numFmtId="0" fontId="0" fillId="12" borderId="7" xfId="0" applyFill="1" applyBorder="1" applyProtection="1"/>
    <xf numFmtId="0" fontId="0" fillId="12" borderId="8" xfId="0" applyFill="1" applyBorder="1" applyProtection="1"/>
    <xf numFmtId="0" fontId="0" fillId="12" borderId="9" xfId="0" applyFill="1" applyBorder="1" applyProtection="1"/>
    <xf numFmtId="6" fontId="58" fillId="12" borderId="0" xfId="0" applyNumberFormat="1" applyFont="1" applyFill="1" applyBorder="1" applyProtection="1"/>
    <xf numFmtId="0" fontId="2" fillId="2" borderId="2" xfId="0" applyFont="1" applyFill="1" applyBorder="1" applyAlignment="1" applyProtection="1">
      <alignment horizontal="left" indent="1"/>
    </xf>
    <xf numFmtId="0" fontId="0" fillId="2" borderId="3" xfId="0" applyFill="1" applyBorder="1" applyProtection="1"/>
    <xf numFmtId="0" fontId="2" fillId="2" borderId="3" xfId="0" applyFont="1" applyFill="1" applyBorder="1" applyProtection="1"/>
    <xf numFmtId="0" fontId="0" fillId="2" borderId="4" xfId="0" applyFill="1" applyBorder="1" applyProtection="1"/>
    <xf numFmtId="0" fontId="42" fillId="2" borderId="2" xfId="0" applyFont="1" applyFill="1" applyBorder="1" applyProtection="1"/>
    <xf numFmtId="0" fontId="42" fillId="11" borderId="46" xfId="0" applyFont="1" applyFill="1" applyBorder="1" applyAlignment="1" applyProtection="1">
      <alignment horizontal="center"/>
    </xf>
    <xf numFmtId="0" fontId="42" fillId="11" borderId="52" xfId="0" applyFont="1" applyFill="1" applyBorder="1" applyAlignment="1" applyProtection="1">
      <alignment horizontal="center"/>
    </xf>
    <xf numFmtId="0" fontId="2" fillId="2" borderId="7" xfId="0" applyFont="1" applyFill="1" applyBorder="1" applyAlignment="1" applyProtection="1">
      <alignment horizontal="left" indent="1"/>
    </xf>
    <xf numFmtId="0" fontId="2" fillId="2" borderId="8" xfId="0" applyFont="1" applyFill="1" applyBorder="1" applyProtection="1"/>
    <xf numFmtId="0" fontId="0" fillId="2" borderId="9" xfId="0" applyFill="1" applyBorder="1" applyProtection="1"/>
    <xf numFmtId="0" fontId="42" fillId="2" borderId="5" xfId="0" applyFont="1" applyFill="1" applyBorder="1" applyProtection="1"/>
    <xf numFmtId="0" fontId="42" fillId="3" borderId="24" xfId="0" applyFont="1" applyFill="1" applyBorder="1" applyAlignment="1" applyProtection="1">
      <alignment horizontal="center"/>
    </xf>
    <xf numFmtId="0" fontId="42" fillId="3" borderId="48" xfId="0" applyFont="1" applyFill="1" applyBorder="1" applyAlignment="1" applyProtection="1">
      <alignment horizontal="center"/>
    </xf>
    <xf numFmtId="0" fontId="2" fillId="12" borderId="5" xfId="0" applyFont="1" applyFill="1" applyBorder="1" applyAlignment="1" applyProtection="1">
      <alignment horizontal="left" indent="1"/>
    </xf>
    <xf numFmtId="0" fontId="42" fillId="3" borderId="0" xfId="0" applyFont="1" applyFill="1" applyBorder="1" applyAlignment="1" applyProtection="1">
      <alignment horizontal="center"/>
    </xf>
    <xf numFmtId="0" fontId="42" fillId="3" borderId="6" xfId="0" applyFont="1" applyFill="1" applyBorder="1" applyAlignment="1" applyProtection="1">
      <alignment horizontal="center"/>
    </xf>
    <xf numFmtId="6" fontId="42" fillId="3" borderId="0" xfId="0" applyNumberFormat="1" applyFont="1" applyFill="1" applyBorder="1" applyProtection="1"/>
    <xf numFmtId="6" fontId="42" fillId="3" borderId="6" xfId="0" applyNumberFormat="1" applyFont="1" applyFill="1" applyBorder="1" applyProtection="1"/>
    <xf numFmtId="0" fontId="0" fillId="12" borderId="5" xfId="0" applyFill="1" applyBorder="1" applyAlignment="1" applyProtection="1">
      <alignment horizontal="left" indent="1"/>
    </xf>
    <xf numFmtId="0" fontId="42" fillId="0" borderId="25" xfId="0" applyFont="1" applyBorder="1" applyProtection="1"/>
    <xf numFmtId="6" fontId="42" fillId="8" borderId="24" xfId="0" applyNumberFormat="1" applyFont="1" applyFill="1" applyBorder="1" applyAlignment="1" applyProtection="1">
      <alignment horizontal="center"/>
    </xf>
    <xf numFmtId="0" fontId="42" fillId="0" borderId="28" xfId="0" applyFont="1" applyBorder="1" applyProtection="1"/>
    <xf numFmtId="0" fontId="42" fillId="8" borderId="24" xfId="0" applyFont="1" applyFill="1" applyBorder="1" applyAlignment="1" applyProtection="1">
      <alignment horizontal="center"/>
    </xf>
    <xf numFmtId="0" fontId="42" fillId="2" borderId="49" xfId="0" applyFont="1" applyFill="1" applyBorder="1" applyProtection="1"/>
    <xf numFmtId="6" fontId="6" fillId="12" borderId="24" xfId="0" applyNumberFormat="1" applyFont="1" applyFill="1" applyBorder="1" applyProtection="1"/>
    <xf numFmtId="6" fontId="6" fillId="12" borderId="48" xfId="0" applyNumberFormat="1" applyFont="1" applyFill="1" applyBorder="1" applyProtection="1"/>
    <xf numFmtId="169" fontId="42" fillId="8" borderId="24" xfId="2" applyNumberFormat="1" applyFont="1" applyFill="1" applyBorder="1" applyAlignment="1" applyProtection="1">
      <alignment horizontal="center"/>
    </xf>
    <xf numFmtId="0" fontId="42" fillId="0" borderId="30" xfId="0" applyFont="1" applyBorder="1" applyProtection="1"/>
    <xf numFmtId="8" fontId="42" fillId="3" borderId="32" xfId="0" applyNumberFormat="1" applyFont="1" applyFill="1" applyBorder="1" applyAlignment="1" applyProtection="1">
      <alignment horizontal="center"/>
    </xf>
    <xf numFmtId="0" fontId="42" fillId="0" borderId="5" xfId="0" applyFont="1" applyFill="1" applyBorder="1" applyProtection="1"/>
    <xf numFmtId="6" fontId="42" fillId="11" borderId="24" xfId="0" applyNumberFormat="1" applyFont="1" applyFill="1" applyBorder="1" applyAlignment="1" applyProtection="1">
      <alignment horizontal="center"/>
    </xf>
    <xf numFmtId="6" fontId="42" fillId="11" borderId="48" xfId="0" applyNumberFormat="1" applyFont="1" applyFill="1" applyBorder="1" applyAlignment="1" applyProtection="1">
      <alignment horizontal="center"/>
    </xf>
    <xf numFmtId="10" fontId="44" fillId="8" borderId="24" xfId="2" applyNumberFormat="1" applyFont="1" applyFill="1" applyBorder="1" applyProtection="1"/>
    <xf numFmtId="6" fontId="43" fillId="11" borderId="24" xfId="0" applyNumberFormat="1" applyFont="1" applyFill="1" applyBorder="1" applyAlignment="1" applyProtection="1">
      <alignment horizontal="center"/>
    </xf>
    <xf numFmtId="6" fontId="43" fillId="11" borderId="48" xfId="0" applyNumberFormat="1" applyFont="1" applyFill="1" applyBorder="1" applyAlignment="1" applyProtection="1">
      <alignment horizontal="center"/>
    </xf>
    <xf numFmtId="0" fontId="0" fillId="12" borderId="0" xfId="0" applyFill="1" applyProtection="1"/>
    <xf numFmtId="6" fontId="6" fillId="12" borderId="24" xfId="0" applyNumberFormat="1" applyFont="1" applyFill="1" applyBorder="1" applyAlignment="1" applyProtection="1">
      <alignment horizontal="center"/>
    </xf>
    <xf numFmtId="6" fontId="6" fillId="12" borderId="48" xfId="0" applyNumberFormat="1" applyFont="1" applyFill="1" applyBorder="1" applyAlignment="1" applyProtection="1">
      <alignment horizontal="center"/>
    </xf>
    <xf numFmtId="0" fontId="2" fillId="12" borderId="5" xfId="0" applyFont="1" applyFill="1" applyBorder="1" applyAlignment="1" applyProtection="1">
      <alignment horizontal="left" indent="2"/>
    </xf>
    <xf numFmtId="0" fontId="0" fillId="0" borderId="0" xfId="0" applyBorder="1" applyProtection="1"/>
    <xf numFmtId="0" fontId="2" fillId="0" borderId="0" xfId="0" applyFont="1" applyBorder="1" applyAlignment="1" applyProtection="1">
      <alignment horizontal="right"/>
    </xf>
    <xf numFmtId="6" fontId="29" fillId="3" borderId="0" xfId="0" applyNumberFormat="1" applyFont="1" applyFill="1" applyBorder="1" applyAlignment="1" applyProtection="1">
      <alignment horizontal="center"/>
    </xf>
    <xf numFmtId="6" fontId="29" fillId="3" borderId="45" xfId="0" applyNumberFormat="1" applyFont="1" applyFill="1" applyBorder="1" applyAlignment="1" applyProtection="1">
      <alignment horizontal="center"/>
    </xf>
    <xf numFmtId="0" fontId="45" fillId="0" borderId="5" xfId="0" applyFont="1" applyFill="1" applyBorder="1" applyAlignment="1" applyProtection="1">
      <alignment horizontal="right"/>
    </xf>
    <xf numFmtId="6" fontId="6" fillId="12" borderId="0" xfId="0" applyNumberFormat="1" applyFont="1" applyFill="1" applyBorder="1" applyAlignment="1" applyProtection="1">
      <alignment horizontal="center"/>
    </xf>
    <xf numFmtId="6" fontId="6" fillId="12" borderId="6" xfId="0" applyNumberFormat="1" applyFont="1" applyFill="1" applyBorder="1" applyAlignment="1" applyProtection="1">
      <alignment horizontal="center"/>
    </xf>
    <xf numFmtId="0" fontId="42" fillId="0" borderId="5" xfId="0" applyFont="1" applyFill="1" applyBorder="1" applyAlignment="1" applyProtection="1">
      <alignment horizontal="right" indent="2"/>
    </xf>
    <xf numFmtId="1" fontId="42" fillId="3" borderId="24" xfId="5" applyNumberFormat="1" applyFont="1" applyFill="1" applyBorder="1" applyAlignment="1" applyProtection="1">
      <alignment horizontal="center"/>
    </xf>
    <xf numFmtId="0" fontId="42" fillId="0" borderId="7" xfId="0" applyFont="1" applyFill="1" applyBorder="1" applyProtection="1"/>
    <xf numFmtId="6" fontId="6" fillId="8" borderId="8" xfId="0" applyNumberFormat="1" applyFont="1" applyFill="1" applyBorder="1" applyAlignment="1" applyProtection="1">
      <alignment horizontal="center"/>
    </xf>
    <xf numFmtId="6" fontId="6" fillId="12" borderId="8" xfId="0" applyNumberFormat="1" applyFont="1" applyFill="1" applyBorder="1" applyAlignment="1" applyProtection="1">
      <alignment horizontal="center"/>
    </xf>
    <xf numFmtId="0" fontId="42" fillId="12" borderId="0" xfId="0" applyFont="1" applyFill="1" applyBorder="1" applyProtection="1"/>
    <xf numFmtId="1" fontId="42" fillId="12" borderId="0" xfId="5" applyNumberFormat="1" applyFont="1" applyFill="1" applyBorder="1" applyAlignment="1" applyProtection="1">
      <alignment horizontal="center"/>
    </xf>
    <xf numFmtId="168" fontId="5" fillId="12" borderId="0" xfId="2" applyNumberFormat="1" applyFont="1" applyFill="1" applyBorder="1" applyAlignment="1" applyProtection="1">
      <alignment horizontal="center" vertical="center"/>
    </xf>
    <xf numFmtId="0" fontId="2" fillId="2" borderId="53" xfId="0" applyFont="1" applyFill="1" applyBorder="1" applyAlignment="1" applyProtection="1">
      <alignment horizontal="left" vertical="top" indent="1"/>
    </xf>
    <xf numFmtId="0" fontId="0" fillId="2" borderId="49" xfId="0" applyFill="1" applyBorder="1" applyAlignment="1" applyProtection="1">
      <alignment horizontal="left" indent="3"/>
    </xf>
    <xf numFmtId="169" fontId="5" fillId="12" borderId="24" xfId="2" applyNumberFormat="1" applyFont="1" applyFill="1" applyBorder="1" applyAlignment="1" applyProtection="1">
      <alignment horizontal="center"/>
    </xf>
    <xf numFmtId="0" fontId="0" fillId="2" borderId="0" xfId="0" applyFill="1" applyBorder="1" applyProtection="1"/>
    <xf numFmtId="0" fontId="0" fillId="2" borderId="6" xfId="0" applyFill="1" applyBorder="1" applyProtection="1"/>
    <xf numFmtId="0" fontId="0" fillId="2" borderId="5" xfId="0" applyFill="1" applyBorder="1" applyAlignment="1" applyProtection="1">
      <alignment horizontal="left" indent="3"/>
    </xf>
    <xf numFmtId="0" fontId="5" fillId="12" borderId="24" xfId="0" applyFont="1" applyFill="1" applyBorder="1" applyAlignment="1" applyProtection="1">
      <alignment horizontal="center"/>
    </xf>
    <xf numFmtId="0" fontId="0" fillId="2" borderId="24" xfId="0" applyFill="1" applyBorder="1" applyAlignment="1" applyProtection="1">
      <alignment horizontal="center"/>
    </xf>
    <xf numFmtId="0" fontId="0" fillId="2" borderId="48" xfId="0" applyFill="1" applyBorder="1" applyAlignment="1" applyProtection="1">
      <alignment horizontal="center"/>
    </xf>
    <xf numFmtId="169" fontId="5" fillId="12" borderId="50" xfId="2" applyNumberFormat="1" applyFont="1" applyFill="1" applyBorder="1" applyAlignment="1" applyProtection="1">
      <alignment horizontal="center"/>
    </xf>
    <xf numFmtId="0" fontId="0" fillId="2" borderId="0" xfId="0" applyFill="1" applyBorder="1" applyAlignment="1" applyProtection="1">
      <alignment horizontal="center"/>
    </xf>
    <xf numFmtId="0" fontId="0" fillId="2" borderId="6" xfId="0" applyFill="1" applyBorder="1" applyAlignment="1" applyProtection="1">
      <alignment horizontal="center"/>
    </xf>
    <xf numFmtId="0" fontId="0" fillId="2" borderId="5" xfId="0" applyFill="1" applyBorder="1" applyProtection="1"/>
    <xf numFmtId="0" fontId="2" fillId="2" borderId="49" xfId="0" applyFont="1" applyFill="1" applyBorder="1" applyAlignment="1" applyProtection="1">
      <alignment horizontal="left" indent="1"/>
    </xf>
    <xf numFmtId="0" fontId="0" fillId="2" borderId="43" xfId="0" applyFill="1" applyBorder="1" applyAlignment="1" applyProtection="1">
      <alignment horizontal="left" indent="3"/>
    </xf>
    <xf numFmtId="0" fontId="0" fillId="2" borderId="7" xfId="0" applyFill="1" applyBorder="1" applyAlignment="1" applyProtection="1">
      <alignment horizontal="left" indent="3"/>
    </xf>
    <xf numFmtId="169" fontId="5" fillId="12" borderId="51" xfId="2" applyNumberFormat="1" applyFont="1" applyFill="1" applyBorder="1" applyAlignment="1" applyProtection="1">
      <alignment horizontal="center"/>
    </xf>
    <xf numFmtId="0" fontId="0" fillId="12" borderId="0" xfId="0" applyFill="1" applyBorder="1" applyAlignment="1" applyProtection="1">
      <alignment horizontal="left" indent="3"/>
    </xf>
    <xf numFmtId="169" fontId="5" fillId="12" borderId="0" xfId="2" applyNumberFormat="1" applyFont="1" applyFill="1" applyBorder="1" applyAlignment="1" applyProtection="1">
      <alignment horizontal="center"/>
    </xf>
    <xf numFmtId="0" fontId="0" fillId="2" borderId="7" xfId="0" applyFill="1" applyBorder="1" applyProtection="1"/>
    <xf numFmtId="0" fontId="0" fillId="2" borderId="8" xfId="0" applyFill="1" applyBorder="1" applyProtection="1"/>
    <xf numFmtId="0" fontId="2" fillId="2" borderId="53" xfId="0" applyFont="1" applyFill="1" applyBorder="1" applyAlignment="1" applyProtection="1">
      <alignment horizontal="left" indent="1"/>
    </xf>
    <xf numFmtId="0" fontId="0" fillId="12" borderId="0" xfId="0" applyFill="1" applyBorder="1" applyAlignment="1" applyProtection="1">
      <alignment wrapText="1"/>
    </xf>
    <xf numFmtId="0" fontId="0" fillId="12" borderId="6" xfId="0" applyFill="1" applyBorder="1" applyAlignment="1" applyProtection="1">
      <alignment wrapText="1"/>
    </xf>
    <xf numFmtId="0" fontId="2" fillId="2" borderId="2" xfId="0" applyFont="1" applyFill="1" applyBorder="1" applyAlignment="1" applyProtection="1">
      <alignment horizontal="left" indent="3"/>
    </xf>
    <xf numFmtId="0" fontId="2" fillId="2" borderId="7" xfId="0" applyFont="1" applyFill="1" applyBorder="1" applyAlignment="1" applyProtection="1">
      <alignment horizontal="left" indent="3"/>
    </xf>
    <xf numFmtId="0" fontId="0" fillId="0" borderId="5" xfId="0" applyBorder="1" applyProtection="1"/>
    <xf numFmtId="0" fontId="0" fillId="0" borderId="6" xfId="0" applyBorder="1" applyProtection="1"/>
    <xf numFmtId="6" fontId="42" fillId="3" borderId="24" xfId="0" applyNumberFormat="1" applyFont="1" applyFill="1" applyBorder="1" applyAlignment="1" applyProtection="1">
      <alignment horizontal="center"/>
    </xf>
    <xf numFmtId="6" fontId="42" fillId="3" borderId="48" xfId="0" applyNumberFormat="1" applyFont="1" applyFill="1" applyBorder="1" applyAlignment="1" applyProtection="1">
      <alignment horizontal="center"/>
    </xf>
    <xf numFmtId="0" fontId="0" fillId="0" borderId="7" xfId="0" applyBorder="1" applyProtection="1"/>
    <xf numFmtId="0" fontId="0" fillId="0" borderId="8" xfId="0" applyBorder="1" applyProtection="1"/>
    <xf numFmtId="169" fontId="42" fillId="0" borderId="8" xfId="2" applyNumberFormat="1" applyFont="1" applyFill="1" applyBorder="1" applyAlignment="1" applyProtection="1">
      <alignment horizontal="center"/>
    </xf>
    <xf numFmtId="0" fontId="45" fillId="0" borderId="7" xfId="0" applyFont="1" applyFill="1" applyBorder="1" applyAlignment="1" applyProtection="1">
      <alignment horizontal="right"/>
    </xf>
    <xf numFmtId="6" fontId="6" fillId="12" borderId="9" xfId="0" applyNumberFormat="1" applyFont="1" applyFill="1" applyBorder="1" applyAlignment="1" applyProtection="1">
      <alignment horizontal="center"/>
    </xf>
    <xf numFmtId="0" fontId="2" fillId="2" borderId="2" xfId="0" applyFont="1" applyFill="1" applyBorder="1" applyProtection="1"/>
    <xf numFmtId="0" fontId="0" fillId="2" borderId="4" xfId="0" applyFill="1" applyBorder="1" applyAlignment="1" applyProtection="1">
      <alignment horizontal="right"/>
    </xf>
    <xf numFmtId="0" fontId="42" fillId="0" borderId="2" xfId="0" applyFont="1" applyFill="1" applyBorder="1" applyProtection="1"/>
    <xf numFmtId="6" fontId="42" fillId="3" borderId="46" xfId="0" applyNumberFormat="1" applyFont="1" applyFill="1" applyBorder="1" applyAlignment="1" applyProtection="1">
      <alignment horizontal="center"/>
    </xf>
    <xf numFmtId="6" fontId="42" fillId="3" borderId="52" xfId="0" applyNumberFormat="1" applyFont="1" applyFill="1" applyBorder="1" applyAlignment="1" applyProtection="1">
      <alignment horizontal="center"/>
    </xf>
    <xf numFmtId="6" fontId="42" fillId="3" borderId="58" xfId="0" applyNumberFormat="1" applyFont="1" applyFill="1" applyBorder="1" applyAlignment="1" applyProtection="1">
      <alignment horizontal="center"/>
    </xf>
    <xf numFmtId="6" fontId="42" fillId="3" borderId="59" xfId="0" applyNumberFormat="1" applyFont="1" applyFill="1" applyBorder="1" applyAlignment="1" applyProtection="1">
      <alignment horizontal="center"/>
    </xf>
    <xf numFmtId="0" fontId="0" fillId="12" borderId="0" xfId="0" applyFill="1" applyAlignment="1" applyProtection="1">
      <alignment horizontal="right"/>
    </xf>
    <xf numFmtId="0" fontId="0" fillId="12" borderId="0" xfId="0" applyFill="1" applyBorder="1" applyAlignment="1" applyProtection="1">
      <alignment horizontal="right"/>
    </xf>
    <xf numFmtId="6" fontId="0" fillId="12" borderId="3" xfId="0" applyNumberFormat="1" applyFill="1" applyBorder="1" applyProtection="1"/>
    <xf numFmtId="0" fontId="0" fillId="12" borderId="0" xfId="0" applyFont="1" applyFill="1" applyBorder="1" applyAlignment="1" applyProtection="1">
      <alignment horizontal="right"/>
    </xf>
    <xf numFmtId="6" fontId="0" fillId="12" borderId="0" xfId="0" applyNumberFormat="1" applyFill="1" applyBorder="1" applyProtection="1"/>
    <xf numFmtId="0" fontId="1" fillId="9" borderId="0" xfId="0" applyFont="1" applyFill="1" applyProtection="1"/>
    <xf numFmtId="0" fontId="1" fillId="9" borderId="0" xfId="0" applyFont="1" applyFill="1" applyBorder="1" applyProtection="1"/>
    <xf numFmtId="0" fontId="2" fillId="3" borderId="0" xfId="0" applyFont="1" applyFill="1" applyBorder="1" applyAlignment="1" applyProtection="1">
      <alignment horizontal="center"/>
    </xf>
    <xf numFmtId="0" fontId="5" fillId="3" borderId="0" xfId="0" applyFont="1" applyFill="1" applyBorder="1" applyProtection="1"/>
    <xf numFmtId="0" fontId="1" fillId="3" borderId="0" xfId="0" applyFont="1" applyFill="1" applyBorder="1" applyProtection="1"/>
    <xf numFmtId="0" fontId="5" fillId="4" borderId="0" xfId="0" applyFont="1" applyFill="1" applyBorder="1" applyAlignment="1" applyProtection="1">
      <alignment horizontal="center" vertical="center" wrapText="1"/>
    </xf>
    <xf numFmtId="0" fontId="26" fillId="14" borderId="0" xfId="4" applyFill="1" applyBorder="1" applyAlignment="1" applyProtection="1">
      <alignment horizontal="center" vertical="top"/>
    </xf>
    <xf numFmtId="0" fontId="1" fillId="14" borderId="0" xfId="0" applyFont="1" applyFill="1" applyBorder="1" applyProtection="1"/>
    <xf numFmtId="0" fontId="1" fillId="4" borderId="0" xfId="0" applyFont="1" applyFill="1" applyBorder="1" applyProtection="1"/>
    <xf numFmtId="0" fontId="1" fillId="4" borderId="6" xfId="0" applyFont="1" applyFill="1" applyBorder="1" applyProtection="1"/>
    <xf numFmtId="0" fontId="1" fillId="4" borderId="8" xfId="0" applyFont="1" applyFill="1" applyBorder="1" applyProtection="1"/>
    <xf numFmtId="0" fontId="1" fillId="4" borderId="9" xfId="0" applyFont="1" applyFill="1" applyBorder="1" applyProtection="1"/>
    <xf numFmtId="0" fontId="31" fillId="3" borderId="69" xfId="0" applyFont="1" applyFill="1" applyBorder="1" applyAlignment="1" applyProtection="1">
      <alignment horizontal="center" wrapText="1"/>
    </xf>
    <xf numFmtId="0" fontId="4" fillId="3" borderId="70" xfId="0" applyFont="1" applyFill="1" applyBorder="1" applyAlignment="1" applyProtection="1">
      <alignment horizontal="center" vertical="top"/>
    </xf>
    <xf numFmtId="0" fontId="1" fillId="3" borderId="6" xfId="0" applyFont="1" applyFill="1" applyBorder="1" applyProtection="1"/>
    <xf numFmtId="0" fontId="1" fillId="3" borderId="9" xfId="0" applyFont="1" applyFill="1" applyBorder="1" applyProtection="1"/>
    <xf numFmtId="0" fontId="49" fillId="3" borderId="0" xfId="0" applyFont="1" applyFill="1" applyBorder="1" applyAlignment="1" applyProtection="1">
      <alignment horizontal="center" vertical="center" wrapText="1"/>
    </xf>
    <xf numFmtId="0" fontId="6" fillId="3" borderId="0" xfId="0" applyFont="1" applyFill="1" applyBorder="1" applyAlignment="1" applyProtection="1">
      <alignment vertical="center" wrapText="1"/>
    </xf>
    <xf numFmtId="0" fontId="1" fillId="3" borderId="0" xfId="0" applyFont="1" applyFill="1" applyBorder="1" applyAlignment="1" applyProtection="1">
      <alignment vertical="center"/>
    </xf>
    <xf numFmtId="0" fontId="4" fillId="3" borderId="70" xfId="0" applyFont="1" applyFill="1" applyBorder="1" applyAlignment="1" applyProtection="1">
      <alignment horizontal="center" vertical="center"/>
    </xf>
    <xf numFmtId="0" fontId="13" fillId="3" borderId="69" xfId="0" applyFont="1" applyFill="1" applyBorder="1" applyAlignment="1" applyProtection="1">
      <alignment horizontal="center" wrapText="1"/>
    </xf>
    <xf numFmtId="0" fontId="10" fillId="3" borderId="0" xfId="0" applyFont="1" applyFill="1" applyBorder="1" applyAlignment="1" applyProtection="1">
      <alignment horizontal="center" vertical="center" wrapText="1"/>
    </xf>
    <xf numFmtId="0" fontId="1" fillId="3" borderId="0" xfId="0" applyFont="1" applyFill="1" applyBorder="1" applyAlignment="1" applyProtection="1">
      <alignment vertical="top" wrapText="1"/>
    </xf>
    <xf numFmtId="0" fontId="1" fillId="3" borderId="8" xfId="0" applyFont="1" applyFill="1" applyBorder="1" applyAlignment="1" applyProtection="1">
      <alignment vertical="top"/>
    </xf>
    <xf numFmtId="0" fontId="1" fillId="3" borderId="8" xfId="0" applyFont="1" applyFill="1" applyBorder="1" applyAlignment="1" applyProtection="1">
      <alignment horizontal="center"/>
    </xf>
    <xf numFmtId="0" fontId="0" fillId="3" borderId="3" xfId="0" applyFill="1" applyBorder="1" applyProtection="1"/>
    <xf numFmtId="0" fontId="0" fillId="3" borderId="4" xfId="0" applyFill="1" applyBorder="1" applyProtection="1"/>
    <xf numFmtId="0" fontId="0" fillId="3" borderId="0" xfId="0" applyFill="1" applyBorder="1" applyProtection="1"/>
    <xf numFmtId="0" fontId="0" fillId="3" borderId="0" xfId="0" applyFill="1" applyBorder="1" applyAlignment="1" applyProtection="1">
      <alignment horizontal="center"/>
    </xf>
    <xf numFmtId="0" fontId="0" fillId="3" borderId="6" xfId="0" applyFill="1" applyBorder="1" applyProtection="1"/>
    <xf numFmtId="0" fontId="0" fillId="3" borderId="31" xfId="0" applyFill="1" applyBorder="1" applyProtection="1"/>
    <xf numFmtId="0" fontId="31" fillId="3" borderId="44" xfId="0" applyFont="1" applyFill="1" applyBorder="1" applyAlignment="1" applyProtection="1">
      <alignment horizontal="right"/>
    </xf>
    <xf numFmtId="0" fontId="38" fillId="3" borderId="0" xfId="0" applyFont="1" applyFill="1" applyBorder="1" applyAlignment="1" applyProtection="1">
      <alignment horizontal="left" vertical="top" wrapText="1"/>
    </xf>
    <xf numFmtId="0" fontId="6" fillId="3" borderId="0" xfId="0" applyFont="1" applyFill="1" applyBorder="1" applyAlignment="1" applyProtection="1">
      <alignment vertical="top" wrapText="1"/>
    </xf>
    <xf numFmtId="0" fontId="6" fillId="3" borderId="0" xfId="0" applyFont="1" applyFill="1" applyBorder="1" applyAlignment="1" applyProtection="1">
      <alignment horizontal="center" vertical="top" wrapText="1"/>
    </xf>
    <xf numFmtId="0" fontId="5" fillId="3" borderId="0" xfId="2" applyNumberFormat="1" applyFont="1" applyFill="1" applyBorder="1" applyAlignment="1" applyProtection="1">
      <alignment horizontal="center"/>
    </xf>
    <xf numFmtId="0" fontId="5" fillId="3" borderId="31" xfId="2" applyNumberFormat="1" applyFont="1" applyFill="1" applyBorder="1" applyAlignment="1" applyProtection="1">
      <alignment horizontal="center"/>
    </xf>
    <xf numFmtId="0" fontId="0" fillId="3" borderId="0" xfId="0" applyFill="1" applyProtection="1"/>
    <xf numFmtId="0" fontId="5" fillId="3" borderId="0" xfId="2" applyNumberFormat="1" applyFont="1" applyFill="1" applyBorder="1" applyAlignment="1" applyProtection="1"/>
    <xf numFmtId="0" fontId="0" fillId="3" borderId="8" xfId="0" applyFill="1" applyBorder="1" applyProtection="1"/>
    <xf numFmtId="0" fontId="0" fillId="3" borderId="9" xfId="0" applyFill="1" applyBorder="1" applyProtection="1"/>
    <xf numFmtId="0" fontId="2" fillId="3" borderId="3" xfId="0" applyFont="1" applyFill="1" applyBorder="1" applyAlignment="1" applyProtection="1">
      <alignment horizontal="center"/>
    </xf>
    <xf numFmtId="0" fontId="2" fillId="3" borderId="0" xfId="0" applyFont="1" applyFill="1" applyBorder="1" applyProtection="1"/>
    <xf numFmtId="0" fontId="5" fillId="3" borderId="0" xfId="0" applyFont="1" applyFill="1" applyBorder="1" applyAlignment="1" applyProtection="1">
      <alignment horizontal="left" indent="1"/>
    </xf>
    <xf numFmtId="0" fontId="6" fillId="3" borderId="0" xfId="0" applyFont="1" applyFill="1" applyBorder="1" applyAlignment="1" applyProtection="1">
      <alignment horizontal="left" vertical="top"/>
    </xf>
    <xf numFmtId="0" fontId="2" fillId="3" borderId="26" xfId="0" applyFont="1" applyFill="1" applyBorder="1" applyAlignment="1" applyProtection="1">
      <alignment horizontal="center"/>
    </xf>
    <xf numFmtId="0" fontId="2" fillId="3" borderId="26" xfId="0" applyFont="1" applyFill="1" applyBorder="1" applyAlignment="1" applyProtection="1">
      <alignment horizontal="left"/>
    </xf>
    <xf numFmtId="0" fontId="2" fillId="3" borderId="26" xfId="0" applyFont="1" applyFill="1" applyBorder="1" applyProtection="1"/>
    <xf numFmtId="0" fontId="0" fillId="3" borderId="26" xfId="0" applyFill="1" applyBorder="1" applyProtection="1"/>
    <xf numFmtId="0" fontId="5" fillId="3" borderId="26" xfId="0" applyFont="1" applyFill="1" applyBorder="1" applyAlignment="1" applyProtection="1">
      <alignment horizontal="left" indent="1"/>
    </xf>
    <xf numFmtId="0" fontId="0" fillId="3" borderId="45" xfId="0" applyFill="1" applyBorder="1" applyProtection="1"/>
    <xf numFmtId="0" fontId="5" fillId="3" borderId="0" xfId="0" applyFont="1" applyFill="1" applyBorder="1" applyAlignment="1" applyProtection="1">
      <alignment horizontal="center" wrapText="1"/>
    </xf>
    <xf numFmtId="0" fontId="6" fillId="3" borderId="0" xfId="0" applyFont="1" applyFill="1" applyBorder="1" applyAlignment="1" applyProtection="1">
      <alignment horizontal="left" vertical="top" wrapText="1"/>
    </xf>
    <xf numFmtId="0" fontId="5" fillId="3" borderId="0" xfId="0" applyFont="1" applyFill="1" applyProtection="1"/>
    <xf numFmtId="0" fontId="5" fillId="3" borderId="0" xfId="0" applyFont="1" applyFill="1" applyBorder="1" applyAlignment="1" applyProtection="1">
      <alignment horizontal="right" indent="1"/>
    </xf>
    <xf numFmtId="0" fontId="6" fillId="3" borderId="0" xfId="0" applyFont="1" applyFill="1" applyBorder="1" applyAlignment="1" applyProtection="1">
      <alignment wrapText="1"/>
    </xf>
    <xf numFmtId="6" fontId="37" fillId="3" borderId="0" xfId="3" applyNumberFormat="1" applyFont="1" applyFill="1" applyBorder="1" applyAlignment="1" applyProtection="1">
      <alignment horizontal="center"/>
    </xf>
    <xf numFmtId="0" fontId="49" fillId="3" borderId="0" xfId="0" applyFont="1" applyFill="1" applyBorder="1" applyAlignment="1" applyProtection="1">
      <alignment horizontal="center" wrapText="1"/>
    </xf>
    <xf numFmtId="1" fontId="0" fillId="3" borderId="0" xfId="0" applyNumberFormat="1" applyFill="1" applyBorder="1" applyAlignment="1" applyProtection="1">
      <alignment horizontal="center"/>
    </xf>
    <xf numFmtId="165" fontId="0" fillId="3" borderId="0" xfId="0" applyNumberFormat="1" applyFill="1" applyBorder="1" applyAlignment="1" applyProtection="1">
      <alignment horizontal="center"/>
    </xf>
    <xf numFmtId="164" fontId="0" fillId="3" borderId="0" xfId="0" applyNumberFormat="1" applyFill="1" applyBorder="1" applyAlignment="1" applyProtection="1">
      <alignment horizontal="center"/>
    </xf>
    <xf numFmtId="10" fontId="5" fillId="3" borderId="0" xfId="2" applyNumberFormat="1" applyFont="1" applyFill="1" applyBorder="1" applyAlignment="1" applyProtection="1">
      <alignment horizontal="center"/>
    </xf>
    <xf numFmtId="165" fontId="0" fillId="3" borderId="36" xfId="0" applyNumberFormat="1" applyFill="1" applyBorder="1" applyAlignment="1" applyProtection="1">
      <alignment horizontal="center"/>
    </xf>
    <xf numFmtId="0" fontId="72" fillId="12" borderId="0" xfId="0" applyFont="1" applyFill="1" applyAlignment="1" applyProtection="1">
      <alignment vertical="center"/>
    </xf>
    <xf numFmtId="0" fontId="0" fillId="4" borderId="0" xfId="0" applyFill="1" applyBorder="1" applyProtection="1"/>
    <xf numFmtId="0" fontId="0" fillId="4" borderId="6" xfId="0" applyFill="1" applyBorder="1" applyProtection="1"/>
    <xf numFmtId="0" fontId="0" fillId="4" borderId="4" xfId="0" applyFill="1" applyBorder="1" applyProtection="1"/>
    <xf numFmtId="0" fontId="0" fillId="4" borderId="8" xfId="0" applyFill="1" applyBorder="1" applyProtection="1"/>
    <xf numFmtId="0" fontId="0" fillId="4" borderId="9" xfId="0" applyFill="1" applyBorder="1" applyProtection="1"/>
    <xf numFmtId="0" fontId="58" fillId="4" borderId="0" xfId="0" applyFont="1" applyFill="1" applyBorder="1" applyAlignment="1" applyProtection="1">
      <alignment horizontal="center" vertical="center" wrapText="1"/>
    </xf>
    <xf numFmtId="168" fontId="0" fillId="12" borderId="0" xfId="2" applyNumberFormat="1" applyFont="1" applyFill="1" applyBorder="1" applyProtection="1"/>
    <xf numFmtId="168" fontId="0" fillId="12" borderId="0" xfId="2" applyNumberFormat="1" applyFont="1" applyFill="1" applyBorder="1" applyAlignment="1" applyProtection="1">
      <alignment horizontal="right"/>
    </xf>
    <xf numFmtId="168" fontId="0" fillId="4" borderId="0" xfId="2" applyNumberFormat="1" applyFont="1" applyFill="1" applyBorder="1" applyAlignment="1" applyProtection="1">
      <alignment horizontal="right"/>
    </xf>
    <xf numFmtId="0" fontId="13" fillId="3" borderId="0" xfId="0" applyFont="1" applyFill="1" applyBorder="1" applyAlignment="1" applyProtection="1">
      <alignment horizontal="right"/>
    </xf>
    <xf numFmtId="0" fontId="0" fillId="12" borderId="0" xfId="0" applyFill="1" applyBorder="1" applyAlignment="1" applyProtection="1">
      <alignment horizontal="center" vertical="top" wrapText="1"/>
    </xf>
    <xf numFmtId="0" fontId="0" fillId="12" borderId="6" xfId="0" applyFill="1" applyBorder="1" applyAlignment="1" applyProtection="1">
      <alignment horizontal="center" vertical="top" wrapText="1"/>
    </xf>
    <xf numFmtId="0" fontId="0" fillId="14" borderId="0" xfId="0" applyFill="1"/>
    <xf numFmtId="0" fontId="0" fillId="14" borderId="0" xfId="0" applyFill="1" applyBorder="1" applyProtection="1"/>
    <xf numFmtId="0" fontId="4" fillId="4" borderId="0" xfId="0" applyNumberFormat="1" applyFont="1" applyFill="1" applyBorder="1" applyAlignment="1" applyProtection="1">
      <alignment vertical="center"/>
    </xf>
    <xf numFmtId="0" fontId="70" fillId="4" borderId="0" xfId="0" applyNumberFormat="1" applyFont="1" applyFill="1" applyBorder="1" applyAlignment="1" applyProtection="1"/>
    <xf numFmtId="0" fontId="50" fillId="4" borderId="0" xfId="0" applyFont="1" applyFill="1" applyBorder="1" applyAlignment="1" applyProtection="1">
      <alignment vertical="center" wrapText="1"/>
    </xf>
    <xf numFmtId="0" fontId="40" fillId="4" borderId="0" xfId="0" applyFont="1" applyFill="1" applyBorder="1" applyAlignment="1" applyProtection="1">
      <alignment horizontal="center" vertical="center"/>
    </xf>
    <xf numFmtId="0" fontId="57" fillId="4" borderId="0" xfId="0" applyFont="1" applyFill="1" applyBorder="1" applyProtection="1"/>
    <xf numFmtId="0" fontId="57" fillId="5" borderId="0" xfId="0" applyFont="1" applyFill="1" applyBorder="1" applyProtection="1"/>
    <xf numFmtId="0" fontId="4" fillId="5" borderId="0" xfId="0" applyNumberFormat="1" applyFont="1" applyFill="1" applyBorder="1" applyAlignment="1" applyProtection="1">
      <alignment vertical="center"/>
    </xf>
    <xf numFmtId="0" fontId="70" fillId="5" borderId="0" xfId="0" applyNumberFormat="1" applyFont="1" applyFill="1" applyBorder="1" applyAlignment="1" applyProtection="1"/>
    <xf numFmtId="0" fontId="0" fillId="5" borderId="0" xfId="0" applyFill="1"/>
    <xf numFmtId="0" fontId="1" fillId="5" borderId="0" xfId="0" applyFont="1" applyFill="1" applyBorder="1" applyProtection="1"/>
    <xf numFmtId="0" fontId="2" fillId="4" borderId="0" xfId="0" applyFont="1" applyFill="1" applyBorder="1" applyAlignment="1" applyProtection="1">
      <alignment horizontal="center" vertical="center"/>
    </xf>
    <xf numFmtId="0" fontId="57" fillId="4" borderId="0" xfId="0" applyFont="1" applyFill="1" applyBorder="1" applyAlignment="1" applyProtection="1">
      <alignment vertical="center"/>
    </xf>
    <xf numFmtId="0" fontId="68" fillId="5" borderId="0" xfId="4" applyFont="1" applyFill="1" applyBorder="1" applyAlignment="1" applyProtection="1">
      <alignment horizontal="center" vertical="center"/>
    </xf>
    <xf numFmtId="0" fontId="0" fillId="5" borderId="0" xfId="0" applyFont="1" applyFill="1" applyBorder="1" applyAlignment="1" applyProtection="1">
      <alignment vertical="center"/>
    </xf>
    <xf numFmtId="0" fontId="1" fillId="4" borderId="5" xfId="0" applyFont="1" applyFill="1" applyBorder="1" applyProtection="1"/>
    <xf numFmtId="0" fontId="1" fillId="4" borderId="0" xfId="0" applyFont="1" applyFill="1" applyBorder="1" applyAlignment="1" applyProtection="1">
      <alignment horizontal="center" vertical="center"/>
    </xf>
    <xf numFmtId="0" fontId="63" fillId="9" borderId="0" xfId="0" applyFont="1" applyFill="1" applyBorder="1" applyAlignment="1" applyProtection="1">
      <alignment vertical="center"/>
    </xf>
    <xf numFmtId="0" fontId="58" fillId="9" borderId="0" xfId="0" applyFont="1" applyFill="1" applyBorder="1" applyAlignment="1" applyProtection="1">
      <alignment horizontal="left" vertical="center"/>
    </xf>
    <xf numFmtId="0" fontId="57" fillId="9" borderId="0" xfId="0" applyFont="1" applyFill="1" applyProtection="1"/>
    <xf numFmtId="0" fontId="57" fillId="9" borderId="0" xfId="0" applyFont="1" applyFill="1" applyBorder="1" applyProtection="1"/>
    <xf numFmtId="0" fontId="0" fillId="5" borderId="0" xfId="0" applyFont="1" applyFill="1" applyBorder="1" applyProtection="1"/>
    <xf numFmtId="0" fontId="4" fillId="5" borderId="0" xfId="0" applyFont="1" applyFill="1" applyBorder="1" applyAlignment="1" applyProtection="1">
      <alignment vertical="center"/>
    </xf>
    <xf numFmtId="0" fontId="0" fillId="5" borderId="0" xfId="0" applyFont="1" applyFill="1" applyBorder="1" applyAlignment="1" applyProtection="1">
      <alignment vertical="center" wrapText="1"/>
    </xf>
    <xf numFmtId="6" fontId="69" fillId="4" borderId="0" xfId="0" applyNumberFormat="1" applyFont="1" applyFill="1" applyBorder="1" applyAlignment="1" applyProtection="1">
      <alignment horizontal="center" vertical="center"/>
    </xf>
    <xf numFmtId="6" fontId="13" fillId="4" borderId="0" xfId="0" applyNumberFormat="1" applyFont="1" applyFill="1" applyBorder="1" applyAlignment="1" applyProtection="1">
      <alignment horizontal="center" vertical="center"/>
    </xf>
    <xf numFmtId="0" fontId="61" fillId="3" borderId="69" xfId="0" applyFont="1" applyFill="1" applyBorder="1" applyAlignment="1" applyProtection="1">
      <alignment horizontal="center" vertical="center" wrapText="1"/>
    </xf>
    <xf numFmtId="0" fontId="2" fillId="3" borderId="70" xfId="0" applyFont="1" applyFill="1" applyBorder="1" applyAlignment="1" applyProtection="1">
      <alignment horizontal="center" vertical="center"/>
    </xf>
    <xf numFmtId="0" fontId="66" fillId="3" borderId="24" xfId="0" applyFont="1" applyFill="1" applyBorder="1" applyAlignment="1" applyProtection="1">
      <alignment horizontal="center" vertical="center"/>
    </xf>
    <xf numFmtId="0" fontId="31" fillId="3" borderId="69" xfId="0" applyFont="1" applyFill="1" applyBorder="1" applyAlignment="1" applyProtection="1">
      <alignment horizontal="center" vertical="center" wrapText="1"/>
    </xf>
    <xf numFmtId="0" fontId="1" fillId="4" borderId="0" xfId="0" applyFont="1" applyFill="1" applyBorder="1" applyAlignment="1" applyProtection="1">
      <alignment vertical="center"/>
    </xf>
    <xf numFmtId="6" fontId="1" fillId="4" borderId="0" xfId="0" applyNumberFormat="1" applyFont="1" applyFill="1" applyBorder="1" applyAlignment="1" applyProtection="1">
      <alignment horizontal="center" vertical="center"/>
    </xf>
    <xf numFmtId="6" fontId="69" fillId="4" borderId="0" xfId="3" applyNumberFormat="1" applyFont="1" applyFill="1" applyBorder="1" applyAlignment="1" applyProtection="1">
      <alignment horizontal="center" vertical="center"/>
    </xf>
    <xf numFmtId="165" fontId="37" fillId="4" borderId="0" xfId="3" applyNumberFormat="1" applyFont="1" applyFill="1" applyBorder="1" applyAlignment="1" applyProtection="1">
      <alignment horizontal="center"/>
    </xf>
    <xf numFmtId="0" fontId="0" fillId="9" borderId="0" xfId="0" applyFont="1" applyFill="1" applyBorder="1" applyAlignment="1" applyProtection="1">
      <alignment vertical="center" wrapText="1"/>
    </xf>
    <xf numFmtId="0" fontId="70" fillId="14" borderId="0" xfId="0" applyNumberFormat="1" applyFont="1" applyFill="1" applyBorder="1" applyAlignment="1" applyProtection="1"/>
    <xf numFmtId="0" fontId="1" fillId="14" borderId="0" xfId="0" applyFont="1" applyFill="1" applyProtection="1"/>
    <xf numFmtId="0" fontId="57" fillId="14" borderId="0" xfId="0" applyFont="1" applyFill="1" applyProtection="1"/>
    <xf numFmtId="0" fontId="57" fillId="14" borderId="0" xfId="0" applyFont="1" applyFill="1" applyBorder="1" applyProtection="1"/>
    <xf numFmtId="0" fontId="0" fillId="5" borderId="0" xfId="0" applyFont="1" applyFill="1" applyBorder="1" applyAlignment="1" applyProtection="1">
      <alignment horizontal="center" vertical="center" wrapText="1"/>
    </xf>
    <xf numFmtId="0" fontId="0" fillId="5" borderId="0" xfId="0" applyFont="1" applyFill="1" applyBorder="1" applyAlignment="1" applyProtection="1">
      <alignment horizontal="center" vertical="center"/>
    </xf>
    <xf numFmtId="0" fontId="6" fillId="5" borderId="0" xfId="0" applyFont="1" applyFill="1" applyBorder="1" applyAlignment="1" applyProtection="1">
      <alignment horizontal="center" vertical="center" wrapText="1"/>
    </xf>
    <xf numFmtId="1" fontId="0" fillId="5" borderId="0" xfId="0" applyNumberFormat="1" applyFont="1" applyFill="1" applyBorder="1" applyAlignment="1" applyProtection="1">
      <alignment horizontal="center" vertical="center"/>
    </xf>
    <xf numFmtId="6" fontId="0" fillId="5" borderId="0" xfId="0" applyNumberFormat="1" applyFont="1" applyFill="1" applyBorder="1" applyAlignment="1" applyProtection="1">
      <alignment horizontal="center" vertical="center"/>
    </xf>
    <xf numFmtId="0" fontId="66" fillId="5" borderId="0" xfId="0" applyFont="1" applyFill="1" applyBorder="1" applyAlignment="1" applyProtection="1">
      <alignment horizontal="center"/>
    </xf>
    <xf numFmtId="0" fontId="1" fillId="5" borderId="0" xfId="0" applyFont="1" applyFill="1" applyBorder="1" applyAlignment="1" applyProtection="1">
      <alignment horizontal="center" vertical="center" wrapText="1"/>
    </xf>
    <xf numFmtId="0" fontId="5" fillId="5" borderId="0" xfId="0" applyFont="1" applyFill="1" applyBorder="1" applyAlignment="1" applyProtection="1">
      <alignment horizontal="center" vertical="center" wrapText="1"/>
    </xf>
    <xf numFmtId="0" fontId="1" fillId="5" borderId="0" xfId="0" applyFont="1" applyFill="1" applyBorder="1" applyAlignment="1" applyProtection="1">
      <alignment horizontal="center" vertical="center"/>
    </xf>
    <xf numFmtId="0" fontId="1" fillId="5" borderId="0" xfId="0" applyFont="1" applyFill="1" applyBorder="1" applyAlignment="1" applyProtection="1">
      <alignment horizontal="center" wrapText="1"/>
    </xf>
    <xf numFmtId="1" fontId="1" fillId="5" borderId="0" xfId="0" applyNumberFormat="1" applyFont="1" applyFill="1" applyBorder="1" applyAlignment="1" applyProtection="1">
      <alignment horizontal="center" vertical="center"/>
    </xf>
    <xf numFmtId="0" fontId="1" fillId="5" borderId="0" xfId="0" applyFont="1" applyFill="1" applyBorder="1" applyAlignment="1" applyProtection="1">
      <alignment vertical="center"/>
    </xf>
    <xf numFmtId="6" fontId="1" fillId="5" borderId="0" xfId="0" applyNumberFormat="1" applyFont="1" applyFill="1" applyBorder="1" applyAlignment="1" applyProtection="1">
      <alignment horizontal="center" vertical="center"/>
    </xf>
    <xf numFmtId="0" fontId="6" fillId="5" borderId="0" xfId="0" applyFont="1" applyFill="1" applyBorder="1" applyAlignment="1" applyProtection="1">
      <alignment wrapText="1"/>
    </xf>
    <xf numFmtId="0" fontId="69" fillId="5" borderId="0" xfId="0" applyFont="1" applyFill="1" applyBorder="1" applyAlignment="1" applyProtection="1">
      <alignment vertical="center"/>
    </xf>
    <xf numFmtId="165" fontId="37" fillId="5" borderId="0" xfId="3" applyNumberFormat="1" applyFont="1" applyFill="1" applyBorder="1" applyAlignment="1" applyProtection="1">
      <alignment horizontal="center"/>
    </xf>
    <xf numFmtId="0" fontId="31" fillId="5" borderId="0" xfId="0" applyFont="1" applyFill="1" applyBorder="1" applyAlignment="1" applyProtection="1">
      <alignment vertical="top"/>
    </xf>
    <xf numFmtId="0" fontId="31" fillId="5" borderId="0" xfId="0" applyFont="1" applyFill="1" applyBorder="1" applyAlignment="1" applyProtection="1">
      <alignment vertical="top" wrapText="1"/>
    </xf>
    <xf numFmtId="0" fontId="63" fillId="14" borderId="0" xfId="0" applyFont="1" applyFill="1" applyBorder="1" applyAlignment="1" applyProtection="1">
      <alignment vertical="center"/>
    </xf>
    <xf numFmtId="0" fontId="58" fillId="14" borderId="0" xfId="0" applyFont="1" applyFill="1" applyBorder="1" applyAlignment="1" applyProtection="1">
      <alignment horizontal="left" vertical="center"/>
    </xf>
    <xf numFmtId="0" fontId="58" fillId="14" borderId="0" xfId="0" applyFont="1" applyFill="1" applyBorder="1" applyAlignment="1" applyProtection="1">
      <alignment vertical="center"/>
    </xf>
    <xf numFmtId="0" fontId="68" fillId="14" borderId="0" xfId="4" applyFont="1" applyFill="1" applyBorder="1" applyAlignment="1" applyProtection="1">
      <alignment horizontal="center" vertical="center"/>
    </xf>
    <xf numFmtId="0" fontId="39" fillId="3" borderId="2" xfId="0" applyFont="1" applyFill="1" applyBorder="1"/>
    <xf numFmtId="0" fontId="39" fillId="3" borderId="3" xfId="0" applyFont="1" applyFill="1" applyBorder="1"/>
    <xf numFmtId="0" fontId="67" fillId="3" borderId="3" xfId="0" applyFont="1" applyFill="1" applyBorder="1" applyAlignment="1">
      <alignment wrapText="1"/>
    </xf>
    <xf numFmtId="0" fontId="39" fillId="3" borderId="5" xfId="0" applyFont="1" applyFill="1" applyBorder="1"/>
    <xf numFmtId="0" fontId="39" fillId="3" borderId="0" xfId="0" applyFont="1" applyFill="1" applyBorder="1"/>
    <xf numFmtId="0" fontId="67" fillId="3" borderId="0" xfId="0" applyFont="1" applyFill="1" applyBorder="1" applyAlignment="1">
      <alignment wrapText="1"/>
    </xf>
    <xf numFmtId="14" fontId="35" fillId="3" borderId="5" xfId="0" applyNumberFormat="1" applyFont="1" applyFill="1" applyBorder="1" applyAlignment="1">
      <alignment horizontal="center"/>
    </xf>
    <xf numFmtId="0" fontId="40" fillId="3" borderId="0" xfId="0" applyFont="1" applyFill="1" applyBorder="1" applyAlignment="1"/>
    <xf numFmtId="0" fontId="1" fillId="3" borderId="0" xfId="0" applyFont="1" applyFill="1" applyBorder="1" applyAlignment="1" applyProtection="1">
      <alignment horizontal="center" wrapText="1"/>
    </xf>
    <xf numFmtId="0" fontId="58" fillId="3" borderId="0" xfId="0" applyFont="1" applyFill="1" applyBorder="1" applyAlignment="1" applyProtection="1">
      <alignment horizontal="center" vertical="center" wrapText="1"/>
    </xf>
    <xf numFmtId="0" fontId="60" fillId="4" borderId="0" xfId="0" applyFont="1" applyFill="1" applyBorder="1" applyAlignment="1" applyProtection="1">
      <alignment horizontal="center" vertical="center"/>
    </xf>
    <xf numFmtId="0" fontId="2" fillId="3" borderId="0" xfId="0" applyFont="1" applyFill="1" applyBorder="1" applyAlignment="1" applyProtection="1">
      <alignment horizontal="left"/>
    </xf>
    <xf numFmtId="0" fontId="0" fillId="4" borderId="0" xfId="0" applyFont="1" applyFill="1" applyBorder="1" applyAlignment="1" applyProtection="1">
      <alignment horizontal="left"/>
    </xf>
    <xf numFmtId="0" fontId="2" fillId="4" borderId="0" xfId="0" applyFont="1" applyFill="1" applyBorder="1" applyAlignment="1" applyProtection="1">
      <alignment horizontal="center" vertical="center" wrapText="1"/>
    </xf>
    <xf numFmtId="0" fontId="2" fillId="3" borderId="0" xfId="0" applyFont="1" applyFill="1" applyBorder="1" applyAlignment="1" applyProtection="1">
      <alignment vertical="center" wrapText="1"/>
    </xf>
    <xf numFmtId="0" fontId="49" fillId="3" borderId="25" xfId="0" applyFont="1" applyFill="1" applyBorder="1" applyAlignment="1" applyProtection="1">
      <alignment horizontal="center" wrapText="1"/>
    </xf>
    <xf numFmtId="0" fontId="10" fillId="3" borderId="26" xfId="0" applyFont="1" applyFill="1" applyBorder="1" applyAlignment="1" applyProtection="1"/>
    <xf numFmtId="0" fontId="49" fillId="3" borderId="26" xfId="0" applyFont="1" applyFill="1" applyBorder="1" applyAlignment="1" applyProtection="1">
      <alignment horizontal="center" wrapText="1"/>
    </xf>
    <xf numFmtId="0" fontId="49" fillId="3" borderId="26" xfId="0" applyFont="1" applyFill="1" applyBorder="1" applyAlignment="1" applyProtection="1"/>
    <xf numFmtId="0" fontId="49" fillId="3" borderId="27" xfId="0" applyFont="1" applyFill="1" applyBorder="1" applyAlignment="1" applyProtection="1">
      <alignment horizontal="center" wrapText="1"/>
    </xf>
    <xf numFmtId="0" fontId="13" fillId="3" borderId="31" xfId="0" applyFont="1" applyFill="1" applyBorder="1" applyAlignment="1" applyProtection="1">
      <alignment vertical="center"/>
    </xf>
    <xf numFmtId="0" fontId="49" fillId="3" borderId="25" xfId="0" applyFont="1" applyFill="1" applyBorder="1" applyAlignment="1" applyProtection="1">
      <alignment horizontal="center" vertical="center" wrapText="1"/>
    </xf>
    <xf numFmtId="0" fontId="5" fillId="3" borderId="26" xfId="0" applyFont="1" applyFill="1" applyBorder="1" applyAlignment="1" applyProtection="1"/>
    <xf numFmtId="0" fontId="49" fillId="3" borderId="27" xfId="0" applyFont="1" applyFill="1" applyBorder="1" applyAlignment="1" applyProtection="1">
      <alignment horizontal="center" vertical="center" wrapText="1"/>
    </xf>
    <xf numFmtId="0" fontId="6" fillId="4" borderId="0" xfId="0" applyFont="1" applyFill="1" applyBorder="1" applyAlignment="1" applyProtection="1">
      <alignment vertical="center" wrapText="1"/>
    </xf>
    <xf numFmtId="0" fontId="88" fillId="3" borderId="0" xfId="0" applyFont="1" applyFill="1" applyBorder="1" applyAlignment="1" applyProtection="1">
      <alignment vertical="center"/>
    </xf>
    <xf numFmtId="0" fontId="90" fillId="3" borderId="0" xfId="0" applyFont="1" applyFill="1" applyBorder="1" applyAlignment="1" applyProtection="1">
      <alignment vertical="center"/>
    </xf>
    <xf numFmtId="0" fontId="88" fillId="3" borderId="0" xfId="0" applyFont="1" applyFill="1" applyBorder="1" applyAlignment="1" applyProtection="1">
      <alignment horizontal="center" vertical="center" wrapText="1"/>
    </xf>
    <xf numFmtId="164" fontId="88" fillId="3" borderId="28" xfId="1" applyNumberFormat="1" applyFont="1" applyFill="1" applyBorder="1" applyAlignment="1" applyProtection="1">
      <alignment horizontal="center"/>
    </xf>
    <xf numFmtId="165" fontId="88" fillId="3" borderId="29" xfId="1" applyNumberFormat="1" applyFont="1" applyFill="1" applyBorder="1" applyAlignment="1" applyProtection="1">
      <alignment horizontal="center"/>
    </xf>
    <xf numFmtId="0" fontId="91" fillId="3" borderId="30" xfId="0" applyFont="1" applyFill="1" applyBorder="1" applyAlignment="1" applyProtection="1">
      <alignment horizontal="center" vertical="top"/>
    </xf>
    <xf numFmtId="0" fontId="91" fillId="3" borderId="31" xfId="0" applyFont="1" applyFill="1" applyBorder="1" applyAlignment="1" applyProtection="1">
      <alignment vertical="top"/>
    </xf>
    <xf numFmtId="0" fontId="91" fillId="3" borderId="32" xfId="0" applyFont="1" applyFill="1" applyBorder="1" applyAlignment="1" applyProtection="1">
      <alignment horizontal="center" vertical="top"/>
    </xf>
    <xf numFmtId="0" fontId="57" fillId="3" borderId="0" xfId="0" applyFont="1" applyFill="1" applyBorder="1" applyProtection="1"/>
    <xf numFmtId="0" fontId="86" fillId="3" borderId="0" xfId="0" applyFont="1" applyFill="1" applyBorder="1" applyAlignment="1" applyProtection="1">
      <alignment vertical="center" wrapText="1"/>
    </xf>
    <xf numFmtId="0" fontId="88" fillId="3" borderId="0" xfId="0" applyFont="1" applyFill="1" applyBorder="1" applyProtection="1"/>
    <xf numFmtId="0" fontId="90" fillId="3" borderId="0" xfId="0" applyFont="1" applyFill="1" applyBorder="1" applyProtection="1"/>
    <xf numFmtId="0" fontId="86" fillId="4" borderId="24" xfId="0" applyFont="1" applyFill="1" applyBorder="1" applyAlignment="1" applyProtection="1">
      <alignment horizontal="center" vertical="center" wrapText="1"/>
    </xf>
    <xf numFmtId="0" fontId="87" fillId="4" borderId="57" xfId="0" applyFont="1" applyFill="1" applyBorder="1" applyAlignment="1" applyProtection="1">
      <alignment horizontal="center" wrapText="1"/>
    </xf>
    <xf numFmtId="0" fontId="89" fillId="4" borderId="57" xfId="0" applyFont="1" applyFill="1" applyBorder="1" applyAlignment="1" applyProtection="1">
      <alignment horizontal="center" wrapText="1"/>
    </xf>
    <xf numFmtId="0" fontId="61" fillId="3" borderId="0" xfId="0" applyFont="1" applyFill="1" applyBorder="1" applyAlignment="1" applyProtection="1">
      <alignment horizontal="left" vertical="center"/>
    </xf>
    <xf numFmtId="0" fontId="49" fillId="4" borderId="0" xfId="0" applyFont="1" applyFill="1" applyBorder="1" applyAlignment="1" applyProtection="1">
      <alignment horizontal="center" vertical="center" wrapText="1"/>
    </xf>
    <xf numFmtId="0" fontId="38" fillId="4" borderId="0" xfId="0" applyFont="1" applyFill="1" applyBorder="1" applyAlignment="1" applyProtection="1">
      <alignment vertical="center" wrapText="1"/>
    </xf>
    <xf numFmtId="0" fontId="0" fillId="3" borderId="0" xfId="0" applyFont="1" applyFill="1" applyBorder="1" applyAlignment="1" applyProtection="1">
      <alignment horizontal="center" wrapText="1"/>
    </xf>
    <xf numFmtId="0" fontId="61" fillId="3" borderId="0" xfId="2" applyNumberFormat="1" applyFont="1" applyFill="1" applyBorder="1" applyAlignment="1" applyProtection="1">
      <alignment horizontal="right" vertical="center"/>
    </xf>
    <xf numFmtId="0" fontId="13" fillId="4" borderId="0" xfId="0" applyFont="1" applyFill="1" applyBorder="1" applyAlignment="1" applyProtection="1">
      <alignment horizontal="left" indent="1"/>
    </xf>
    <xf numFmtId="0" fontId="34" fillId="4" borderId="0" xfId="4" applyFont="1" applyFill="1" applyBorder="1" applyAlignment="1" applyProtection="1">
      <alignment horizontal="center" vertical="top"/>
    </xf>
    <xf numFmtId="0" fontId="38" fillId="4" borderId="0" xfId="0" applyFont="1" applyFill="1" applyBorder="1" applyAlignment="1" applyProtection="1">
      <alignment horizontal="center" vertical="center" wrapText="1"/>
    </xf>
    <xf numFmtId="0" fontId="31" fillId="3" borderId="0" xfId="0" applyFont="1" applyFill="1" applyBorder="1" applyAlignment="1" applyProtection="1">
      <alignment horizontal="center" vertical="top" wrapText="1"/>
    </xf>
    <xf numFmtId="0" fontId="61" fillId="4" borderId="0" xfId="0" applyFont="1" applyFill="1" applyBorder="1" applyAlignment="1" applyProtection="1">
      <alignment horizontal="center" wrapText="1"/>
    </xf>
    <xf numFmtId="165" fontId="1" fillId="14" borderId="0" xfId="0" applyNumberFormat="1" applyFont="1" applyFill="1" applyBorder="1" applyAlignment="1" applyProtection="1">
      <alignment horizontal="center"/>
    </xf>
    <xf numFmtId="0" fontId="61" fillId="14" borderId="0" xfId="0" applyFont="1" applyFill="1" applyBorder="1" applyAlignment="1" applyProtection="1">
      <alignment horizontal="left" vertical="top" wrapText="1"/>
    </xf>
    <xf numFmtId="0" fontId="1" fillId="14" borderId="0" xfId="0" applyFont="1" applyFill="1" applyBorder="1" applyAlignment="1" applyProtection="1">
      <alignment horizontal="center" vertical="center"/>
    </xf>
    <xf numFmtId="0" fontId="13" fillId="4" borderId="0" xfId="0" applyFont="1" applyFill="1" applyBorder="1" applyAlignment="1" applyProtection="1">
      <alignment horizontal="center" vertical="center"/>
    </xf>
    <xf numFmtId="0" fontId="1" fillId="4" borderId="8" xfId="0" applyFont="1" applyFill="1" applyBorder="1" applyAlignment="1" applyProtection="1">
      <alignment horizontal="center" vertical="center"/>
    </xf>
    <xf numFmtId="0" fontId="1" fillId="5" borderId="3" xfId="0" applyFont="1" applyFill="1" applyBorder="1" applyProtection="1"/>
    <xf numFmtId="0" fontId="1" fillId="5" borderId="5" xfId="0" applyFont="1" applyFill="1" applyBorder="1" applyProtection="1"/>
    <xf numFmtId="0" fontId="1" fillId="5" borderId="6" xfId="0" applyFont="1" applyFill="1" applyBorder="1" applyProtection="1"/>
    <xf numFmtId="0" fontId="1" fillId="5" borderId="8" xfId="0" applyFont="1" applyFill="1" applyBorder="1" applyProtection="1"/>
    <xf numFmtId="0" fontId="1" fillId="5" borderId="9" xfId="0" applyFont="1" applyFill="1" applyBorder="1" applyProtection="1"/>
    <xf numFmtId="6" fontId="50" fillId="4" borderId="0" xfId="0" applyNumberFormat="1" applyFont="1" applyFill="1" applyBorder="1" applyAlignment="1" applyProtection="1">
      <alignment horizontal="center" vertical="center"/>
    </xf>
    <xf numFmtId="6" fontId="50" fillId="4" borderId="0" xfId="3" applyNumberFormat="1" applyFont="1" applyFill="1" applyBorder="1" applyAlignment="1" applyProtection="1">
      <alignment horizontal="center" vertical="center"/>
    </xf>
    <xf numFmtId="0" fontId="2" fillId="4" borderId="0" xfId="0" applyFont="1" applyFill="1" applyBorder="1" applyAlignment="1" applyProtection="1">
      <alignment vertical="center"/>
    </xf>
    <xf numFmtId="0" fontId="4" fillId="4" borderId="0" xfId="0" applyNumberFormat="1" applyFont="1" applyFill="1" applyBorder="1" applyAlignment="1" applyProtection="1">
      <alignment horizontal="center" vertical="center" wrapText="1"/>
    </xf>
    <xf numFmtId="0" fontId="4" fillId="4" borderId="0" xfId="0" applyNumberFormat="1" applyFont="1" applyFill="1" applyBorder="1" applyAlignment="1" applyProtection="1">
      <alignment horizontal="right" vertical="center"/>
    </xf>
    <xf numFmtId="0" fontId="58" fillId="4" borderId="0" xfId="0" applyFont="1" applyFill="1" applyBorder="1" applyAlignment="1" applyProtection="1">
      <alignment horizontal="left" vertical="center"/>
    </xf>
    <xf numFmtId="0" fontId="4" fillId="4" borderId="0" xfId="0" applyFont="1" applyFill="1" applyBorder="1" applyAlignment="1" applyProtection="1">
      <alignment horizontal="center" vertical="center" wrapText="1"/>
    </xf>
    <xf numFmtId="0" fontId="5" fillId="4" borderId="0" xfId="0" applyFont="1" applyFill="1" applyBorder="1" applyProtection="1"/>
    <xf numFmtId="0" fontId="58" fillId="4" borderId="0" xfId="0" applyFont="1" applyFill="1" applyBorder="1" applyAlignment="1" applyProtection="1">
      <alignment horizontal="right"/>
    </xf>
    <xf numFmtId="0" fontId="5" fillId="4" borderId="0" xfId="0" applyFont="1" applyFill="1" applyBorder="1" applyAlignment="1" applyProtection="1">
      <alignment horizontal="center"/>
    </xf>
    <xf numFmtId="0" fontId="31" fillId="4" borderId="0" xfId="0" applyFont="1" applyFill="1" applyBorder="1" applyAlignment="1" applyProtection="1"/>
    <xf numFmtId="0" fontId="2" fillId="4" borderId="0" xfId="0" applyFont="1" applyFill="1" applyBorder="1" applyAlignment="1" applyProtection="1">
      <alignment horizontal="center"/>
    </xf>
    <xf numFmtId="0" fontId="2" fillId="4" borderId="0" xfId="0" applyFont="1" applyFill="1" applyBorder="1" applyAlignment="1" applyProtection="1">
      <alignment horizontal="center" vertical="top"/>
    </xf>
    <xf numFmtId="0" fontId="65" fillId="4" borderId="0" xfId="0" applyFont="1" applyFill="1" applyBorder="1" applyAlignment="1" applyProtection="1">
      <alignment vertical="top"/>
    </xf>
    <xf numFmtId="0" fontId="68" fillId="4" borderId="0" xfId="4" applyFont="1" applyFill="1" applyBorder="1" applyAlignment="1">
      <alignment horizontal="center"/>
    </xf>
    <xf numFmtId="0" fontId="31" fillId="4" borderId="0" xfId="0" applyFont="1" applyFill="1" applyBorder="1" applyAlignment="1" applyProtection="1">
      <alignment vertical="center"/>
    </xf>
    <xf numFmtId="0" fontId="60" fillId="5" borderId="0" xfId="0" applyFont="1" applyFill="1" applyBorder="1" applyAlignment="1" applyProtection="1">
      <alignment horizontal="center" vertical="center"/>
    </xf>
    <xf numFmtId="0" fontId="71" fillId="5" borderId="0" xfId="0" applyNumberFormat="1" applyFont="1" applyFill="1" applyBorder="1" applyAlignment="1" applyProtection="1">
      <alignment vertical="center"/>
    </xf>
    <xf numFmtId="0" fontId="50" fillId="5" borderId="0" xfId="0" applyFont="1" applyFill="1" applyBorder="1" applyAlignment="1" applyProtection="1">
      <alignment vertical="center" wrapText="1"/>
    </xf>
    <xf numFmtId="0" fontId="4" fillId="14" borderId="0" xfId="0" applyNumberFormat="1" applyFont="1" applyFill="1" applyBorder="1" applyAlignment="1" applyProtection="1">
      <alignment vertical="center"/>
    </xf>
    <xf numFmtId="0" fontId="5" fillId="14" borderId="0" xfId="0" applyFont="1" applyFill="1" applyBorder="1" applyAlignment="1" applyProtection="1">
      <alignment horizontal="center" vertical="center" wrapText="1"/>
    </xf>
    <xf numFmtId="0" fontId="2" fillId="14" borderId="0" xfId="0" applyFont="1" applyFill="1" applyBorder="1" applyAlignment="1" applyProtection="1">
      <alignment horizontal="center" vertical="center"/>
    </xf>
    <xf numFmtId="0" fontId="70" fillId="9" borderId="0" xfId="0" applyNumberFormat="1" applyFont="1" applyFill="1" applyBorder="1" applyAlignment="1" applyProtection="1"/>
    <xf numFmtId="0" fontId="5" fillId="9" borderId="0" xfId="0" applyFont="1" applyFill="1" applyProtection="1"/>
    <xf numFmtId="0" fontId="5" fillId="9" borderId="0" xfId="0" applyFont="1" applyFill="1" applyAlignment="1" applyProtection="1">
      <alignment horizontal="right" wrapText="1"/>
    </xf>
    <xf numFmtId="0" fontId="5" fillId="14" borderId="0" xfId="0" applyFont="1" applyFill="1" applyBorder="1" applyProtection="1"/>
    <xf numFmtId="0" fontId="58" fillId="14" borderId="0" xfId="0" applyFont="1" applyFill="1" applyBorder="1" applyAlignment="1" applyProtection="1">
      <alignment horizontal="right"/>
    </xf>
    <xf numFmtId="0" fontId="31" fillId="14" borderId="0" xfId="0" applyFont="1" applyFill="1" applyBorder="1" applyAlignment="1" applyProtection="1"/>
    <xf numFmtId="0" fontId="50" fillId="4" borderId="0" xfId="0" applyFont="1" applyFill="1" applyBorder="1" applyAlignment="1" applyProtection="1">
      <alignment horizontal="center" vertical="center"/>
    </xf>
    <xf numFmtId="0" fontId="31" fillId="3" borderId="0" xfId="0" applyFont="1" applyFill="1" applyBorder="1" applyAlignment="1" applyProtection="1">
      <alignment vertical="center" wrapText="1"/>
    </xf>
    <xf numFmtId="0" fontId="31" fillId="3" borderId="6" xfId="0" applyFont="1" applyFill="1" applyBorder="1" applyAlignment="1" applyProtection="1">
      <alignment vertical="center" wrapText="1"/>
    </xf>
    <xf numFmtId="0" fontId="10" fillId="4" borderId="0" xfId="0" applyFont="1" applyFill="1" applyBorder="1" applyAlignment="1" applyProtection="1">
      <alignment horizontal="center" vertical="center" wrapText="1"/>
    </xf>
    <xf numFmtId="0" fontId="1" fillId="5" borderId="2" xfId="0" applyFont="1" applyFill="1" applyBorder="1" applyProtection="1"/>
    <xf numFmtId="6" fontId="50" fillId="5" borderId="0" xfId="0" applyNumberFormat="1" applyFont="1" applyFill="1" applyBorder="1" applyAlignment="1" applyProtection="1">
      <alignment horizontal="center" vertical="center"/>
    </xf>
    <xf numFmtId="6" fontId="31" fillId="4" borderId="0" xfId="0" applyNumberFormat="1" applyFont="1" applyFill="1" applyBorder="1" applyAlignment="1" applyProtection="1">
      <alignment horizontal="center" vertical="center"/>
    </xf>
    <xf numFmtId="0" fontId="65" fillId="4" borderId="0" xfId="0" applyFont="1" applyFill="1" applyBorder="1" applyAlignment="1" applyProtection="1">
      <alignment horizontal="center" vertical="center" wrapText="1"/>
    </xf>
    <xf numFmtId="6" fontId="66" fillId="3" borderId="0" xfId="0" applyNumberFormat="1" applyFont="1" applyFill="1" applyBorder="1" applyAlignment="1" applyProtection="1">
      <alignment horizontal="center"/>
    </xf>
    <xf numFmtId="0" fontId="2" fillId="3" borderId="0" xfId="0" applyFont="1" applyFill="1" applyBorder="1" applyAlignment="1" applyProtection="1">
      <alignment horizontal="right"/>
    </xf>
    <xf numFmtId="0" fontId="66" fillId="3" borderId="0" xfId="0" applyFont="1" applyFill="1" applyBorder="1" applyAlignment="1" applyProtection="1">
      <alignment horizontal="right"/>
    </xf>
    <xf numFmtId="0" fontId="5" fillId="14" borderId="0" xfId="0" applyFont="1" applyFill="1" applyProtection="1"/>
    <xf numFmtId="0" fontId="5" fillId="14" borderId="0" xfId="0" applyFont="1" applyFill="1" applyAlignment="1" applyProtection="1">
      <alignment horizontal="right" wrapText="1"/>
    </xf>
    <xf numFmtId="0" fontId="1" fillId="4" borderId="0" xfId="0" applyFont="1" applyFill="1" applyBorder="1" applyAlignment="1" applyProtection="1">
      <alignment horizontal="center" vertical="center" wrapText="1"/>
    </xf>
    <xf numFmtId="1" fontId="1" fillId="4" borderId="0" xfId="0" applyNumberFormat="1" applyFont="1" applyFill="1" applyBorder="1" applyAlignment="1" applyProtection="1">
      <alignment horizontal="center" vertical="center"/>
    </xf>
    <xf numFmtId="0" fontId="6" fillId="4" borderId="0" xfId="0" applyFont="1" applyFill="1" applyBorder="1" applyAlignment="1" applyProtection="1">
      <alignment wrapText="1"/>
    </xf>
    <xf numFmtId="0" fontId="2" fillId="4" borderId="0" xfId="0" applyFont="1" applyFill="1" applyBorder="1" applyProtection="1"/>
    <xf numFmtId="0" fontId="58" fillId="4" borderId="24" xfId="0" applyFont="1" applyFill="1" applyBorder="1" applyAlignment="1" applyProtection="1">
      <alignment horizontal="center" vertical="center" wrapText="1"/>
    </xf>
    <xf numFmtId="0" fontId="58" fillId="4" borderId="50" xfId="0" applyFont="1" applyFill="1" applyBorder="1" applyAlignment="1" applyProtection="1">
      <alignment horizontal="center" vertical="center" wrapText="1"/>
    </xf>
    <xf numFmtId="0" fontId="95" fillId="4" borderId="0" xfId="0" applyFont="1" applyFill="1" applyBorder="1" applyAlignment="1" applyProtection="1">
      <alignment horizontal="center" vertical="center" wrapText="1"/>
    </xf>
    <xf numFmtId="0" fontId="10" fillId="3" borderId="5" xfId="0" applyFont="1" applyFill="1" applyBorder="1" applyAlignment="1">
      <alignment horizontal="center"/>
    </xf>
    <xf numFmtId="0" fontId="10" fillId="3" borderId="0" xfId="0" applyFont="1" applyFill="1" applyBorder="1" applyAlignment="1">
      <alignment horizontal="center"/>
    </xf>
    <xf numFmtId="0" fontId="10" fillId="3" borderId="0" xfId="0" applyFont="1" applyFill="1" applyBorder="1"/>
    <xf numFmtId="0" fontId="0" fillId="3" borderId="8" xfId="0" applyFill="1" applyBorder="1" applyAlignment="1">
      <alignment horizontal="center" vertical="top"/>
    </xf>
    <xf numFmtId="0" fontId="0" fillId="14" borderId="0" xfId="0" applyFill="1" applyBorder="1"/>
    <xf numFmtId="14" fontId="0" fillId="3" borderId="43" xfId="0" applyNumberFormat="1" applyFill="1" applyBorder="1" applyAlignment="1">
      <alignment horizontal="center" vertical="top"/>
    </xf>
    <xf numFmtId="0" fontId="0" fillId="3" borderId="31" xfId="0" applyFill="1" applyBorder="1" applyAlignment="1">
      <alignment horizontal="center" vertical="top"/>
    </xf>
    <xf numFmtId="0" fontId="0" fillId="3" borderId="31" xfId="0" applyFill="1" applyBorder="1" applyAlignment="1">
      <alignment vertical="top" wrapText="1"/>
    </xf>
    <xf numFmtId="0" fontId="0" fillId="3" borderId="44" xfId="0" applyFill="1" applyBorder="1"/>
    <xf numFmtId="14" fontId="0" fillId="3" borderId="83" xfId="0" applyNumberFormat="1" applyFill="1" applyBorder="1" applyAlignment="1">
      <alignment horizontal="center" vertical="top"/>
    </xf>
    <xf numFmtId="0" fontId="0" fillId="3" borderId="41" xfId="0" applyFill="1" applyBorder="1" applyAlignment="1">
      <alignment horizontal="center" vertical="top"/>
    </xf>
    <xf numFmtId="0" fontId="0" fillId="3" borderId="41" xfId="0" applyFill="1" applyBorder="1" applyAlignment="1">
      <alignment vertical="top" wrapText="1"/>
    </xf>
    <xf numFmtId="0" fontId="0" fillId="3" borderId="84" xfId="0" applyFill="1" applyBorder="1"/>
    <xf numFmtId="0" fontId="0" fillId="3" borderId="41" xfId="0" applyFill="1" applyBorder="1"/>
    <xf numFmtId="0" fontId="0" fillId="3" borderId="41" xfId="0" applyFill="1" applyBorder="1" applyAlignment="1">
      <alignment horizontal="center" vertical="top" wrapText="1"/>
    </xf>
    <xf numFmtId="0" fontId="0" fillId="48" borderId="0" xfId="0" applyFill="1"/>
    <xf numFmtId="0" fontId="2" fillId="14" borderId="0" xfId="0" applyFont="1" applyFill="1" applyBorder="1" applyProtection="1"/>
    <xf numFmtId="6" fontId="0" fillId="14" borderId="0" xfId="0" applyNumberFormat="1" applyFill="1" applyBorder="1" applyProtection="1"/>
    <xf numFmtId="10" fontId="0" fillId="14" borderId="0" xfId="0" applyNumberFormat="1" applyFill="1" applyBorder="1" applyProtection="1"/>
    <xf numFmtId="0" fontId="0" fillId="14" borderId="0" xfId="0" applyFill="1" applyProtection="1"/>
    <xf numFmtId="6" fontId="5" fillId="14" borderId="0" xfId="0" applyNumberFormat="1" applyFont="1" applyFill="1" applyBorder="1" applyProtection="1"/>
    <xf numFmtId="0" fontId="2" fillId="3" borderId="0" xfId="0" applyFont="1" applyFill="1" applyBorder="1" applyAlignment="1">
      <alignment horizontal="center"/>
    </xf>
    <xf numFmtId="168" fontId="1" fillId="3" borderId="24" xfId="2" applyNumberFormat="1" applyFont="1" applyFill="1" applyBorder="1" applyAlignment="1" applyProtection="1">
      <alignment horizontal="center" vertical="center"/>
      <protection locked="0"/>
    </xf>
    <xf numFmtId="0" fontId="13" fillId="3" borderId="0" xfId="0" applyFont="1" applyFill="1" applyBorder="1" applyAlignment="1">
      <alignment horizontal="right"/>
    </xf>
    <xf numFmtId="0" fontId="0" fillId="3" borderId="0" xfId="0" applyFill="1" applyBorder="1" applyAlignment="1">
      <alignment horizontal="left" indent="1"/>
    </xf>
    <xf numFmtId="0" fontId="2" fillId="3" borderId="0" xfId="0" applyFont="1" applyFill="1" applyBorder="1" applyAlignment="1">
      <alignment horizontal="left" indent="1"/>
    </xf>
    <xf numFmtId="0" fontId="13" fillId="3" borderId="0" xfId="0" applyFont="1" applyFill="1" applyBorder="1" applyAlignment="1">
      <alignment horizontal="right" wrapText="1" indent="1"/>
    </xf>
    <xf numFmtId="0" fontId="57" fillId="14" borderId="0" xfId="0" applyFont="1" applyFill="1" applyAlignment="1" applyProtection="1"/>
    <xf numFmtId="0" fontId="0" fillId="14" borderId="0" xfId="0" applyFont="1" applyFill="1" applyBorder="1" applyAlignment="1" applyProtection="1">
      <alignment vertical="center"/>
    </xf>
    <xf numFmtId="0" fontId="0" fillId="14" borderId="0" xfId="0" applyFont="1" applyFill="1" applyBorder="1" applyAlignment="1" applyProtection="1">
      <alignment horizontal="center" vertical="center" wrapText="1"/>
    </xf>
    <xf numFmtId="0" fontId="0" fillId="14" borderId="0" xfId="0" applyFont="1" applyFill="1" applyBorder="1" applyProtection="1"/>
    <xf numFmtId="0" fontId="0" fillId="14" borderId="0" xfId="0" applyFont="1" applyFill="1" applyBorder="1" applyAlignment="1" applyProtection="1">
      <alignment horizontal="center" wrapText="1"/>
    </xf>
    <xf numFmtId="0" fontId="61" fillId="14" borderId="0" xfId="0" applyFont="1" applyFill="1" applyBorder="1" applyAlignment="1" applyProtection="1">
      <alignment horizontal="center" vertical="center" wrapText="1"/>
    </xf>
    <xf numFmtId="0" fontId="0" fillId="14" borderId="0" xfId="0" applyFont="1" applyFill="1" applyBorder="1" applyAlignment="1" applyProtection="1">
      <alignment horizontal="center" vertical="center"/>
    </xf>
    <xf numFmtId="0" fontId="6" fillId="14" borderId="0" xfId="0" applyFont="1" applyFill="1" applyBorder="1" applyAlignment="1" applyProtection="1">
      <alignment horizontal="center" vertical="center" wrapText="1"/>
    </xf>
    <xf numFmtId="0" fontId="10" fillId="14" borderId="0" xfId="0" applyFont="1" applyFill="1" applyBorder="1" applyAlignment="1" applyProtection="1">
      <alignment horizontal="center" vertical="center" wrapText="1"/>
    </xf>
    <xf numFmtId="1" fontId="0" fillId="14" borderId="0" xfId="0" applyNumberFormat="1" applyFont="1" applyFill="1" applyBorder="1" applyAlignment="1" applyProtection="1">
      <alignment horizontal="center" vertical="center"/>
    </xf>
    <xf numFmtId="6" fontId="69" fillId="14" borderId="0" xfId="0" applyNumberFormat="1" applyFont="1" applyFill="1" applyBorder="1" applyAlignment="1" applyProtection="1">
      <alignment horizontal="center" vertical="center"/>
    </xf>
    <xf numFmtId="6" fontId="13" fillId="14" borderId="0" xfId="0" applyNumberFormat="1" applyFont="1" applyFill="1" applyBorder="1" applyAlignment="1" applyProtection="1">
      <alignment horizontal="center" vertical="center"/>
    </xf>
    <xf numFmtId="6" fontId="0" fillId="14" borderId="0" xfId="0" applyNumberFormat="1" applyFont="1" applyFill="1" applyBorder="1" applyAlignment="1" applyProtection="1">
      <alignment horizontal="center" vertical="center"/>
    </xf>
    <xf numFmtId="0" fontId="66" fillId="14" borderId="0" xfId="0" applyFont="1" applyFill="1" applyBorder="1" applyAlignment="1" applyProtection="1">
      <alignment horizontal="center" vertical="center"/>
    </xf>
    <xf numFmtId="0" fontId="59" fillId="14" borderId="0" xfId="0" applyFont="1" applyFill="1" applyBorder="1" applyAlignment="1" applyProtection="1">
      <alignment horizontal="center" vertical="center"/>
    </xf>
    <xf numFmtId="0" fontId="39" fillId="14" borderId="0" xfId="0" applyFont="1" applyFill="1" applyBorder="1" applyAlignment="1" applyProtection="1">
      <alignment vertical="center" wrapText="1"/>
    </xf>
    <xf numFmtId="0" fontId="4" fillId="14" borderId="0" xfId="0" applyFont="1" applyFill="1" applyBorder="1" applyAlignment="1" applyProtection="1">
      <alignment vertical="center"/>
    </xf>
    <xf numFmtId="0" fontId="13" fillId="14" borderId="0" xfId="0" applyFont="1" applyFill="1" applyBorder="1" applyAlignment="1" applyProtection="1"/>
    <xf numFmtId="0" fontId="66" fillId="14" borderId="0" xfId="0" applyFont="1" applyFill="1" applyBorder="1" applyAlignment="1" applyProtection="1">
      <alignment horizontal="center"/>
    </xf>
    <xf numFmtId="0" fontId="13" fillId="14" borderId="0" xfId="0" applyFont="1" applyFill="1" applyBorder="1" applyAlignment="1" applyProtection="1">
      <alignment horizontal="right" vertical="center"/>
    </xf>
    <xf numFmtId="0" fontId="13" fillId="14" borderId="0" xfId="0" applyFont="1" applyFill="1" applyBorder="1" applyAlignment="1" applyProtection="1">
      <alignment horizontal="right" vertical="top"/>
    </xf>
    <xf numFmtId="0" fontId="58" fillId="14" borderId="0" xfId="0" applyFont="1" applyFill="1" applyBorder="1" applyAlignment="1" applyProtection="1">
      <alignment horizontal="right" vertical="top"/>
    </xf>
    <xf numFmtId="0" fontId="31" fillId="14" borderId="0" xfId="0" applyFont="1" applyFill="1" applyBorder="1" applyProtection="1"/>
    <xf numFmtId="0" fontId="65" fillId="14" borderId="0" xfId="0" applyFont="1" applyFill="1" applyBorder="1" applyAlignment="1" applyProtection="1">
      <alignment horizontal="right" vertical="center"/>
    </xf>
    <xf numFmtId="0" fontId="1" fillId="14" borderId="0" xfId="0" applyFont="1" applyFill="1" applyBorder="1" applyAlignment="1" applyProtection="1">
      <alignment horizontal="center" vertical="center" wrapText="1"/>
    </xf>
    <xf numFmtId="0" fontId="40" fillId="14" borderId="0" xfId="0" applyFont="1" applyFill="1" applyBorder="1" applyAlignment="1" applyProtection="1">
      <alignment vertical="center"/>
    </xf>
    <xf numFmtId="0" fontId="31" fillId="14" borderId="0" xfId="0" applyFont="1" applyFill="1" applyBorder="1" applyAlignment="1" applyProtection="1">
      <alignment horizontal="center" vertical="center" wrapText="1"/>
    </xf>
    <xf numFmtId="0" fontId="0" fillId="14" borderId="0" xfId="0" applyFont="1" applyFill="1" applyBorder="1" applyAlignment="1" applyProtection="1">
      <alignment vertical="center" wrapText="1"/>
    </xf>
    <xf numFmtId="0" fontId="26" fillId="14" borderId="0" xfId="4" applyFill="1" applyBorder="1" applyAlignment="1" applyProtection="1">
      <alignment horizontal="center" vertical="center" wrapText="1"/>
    </xf>
    <xf numFmtId="0" fontId="4" fillId="14" borderId="0" xfId="0" applyFont="1" applyFill="1" applyBorder="1" applyAlignment="1" applyProtection="1">
      <alignment horizontal="center" vertical="top"/>
    </xf>
    <xf numFmtId="0" fontId="1" fillId="14" borderId="0" xfId="0" applyFont="1" applyFill="1" applyBorder="1" applyAlignment="1" applyProtection="1">
      <alignment horizontal="center" wrapText="1"/>
    </xf>
    <xf numFmtId="0" fontId="10" fillId="14" borderId="0" xfId="0" applyFont="1" applyFill="1" applyBorder="1" applyAlignment="1" applyProtection="1">
      <alignment vertical="center" wrapText="1"/>
    </xf>
    <xf numFmtId="0" fontId="5" fillId="14" borderId="0" xfId="0" applyFont="1" applyFill="1" applyBorder="1" applyAlignment="1" applyProtection="1">
      <alignment vertical="center" wrapText="1"/>
    </xf>
    <xf numFmtId="0" fontId="26" fillId="14" borderId="0" xfId="4" applyFill="1" applyBorder="1" applyAlignment="1" applyProtection="1">
      <alignment horizontal="center" wrapText="1"/>
    </xf>
    <xf numFmtId="0" fontId="6" fillId="14" borderId="0" xfId="0" applyFont="1" applyFill="1" applyBorder="1" applyProtection="1"/>
    <xf numFmtId="0" fontId="0" fillId="14" borderId="0" xfId="0" applyFont="1" applyFill="1" applyBorder="1" applyAlignment="1" applyProtection="1">
      <alignment wrapText="1"/>
    </xf>
    <xf numFmtId="0" fontId="1" fillId="14" borderId="0" xfId="0" applyFont="1" applyFill="1" applyBorder="1" applyAlignment="1" applyProtection="1">
      <alignment wrapText="1"/>
    </xf>
    <xf numFmtId="0" fontId="26" fillId="14" borderId="0" xfId="4" applyFill="1" applyBorder="1" applyAlignment="1" applyProtection="1">
      <alignment horizontal="center" vertical="center"/>
    </xf>
    <xf numFmtId="1" fontId="1" fillId="14" borderId="0" xfId="0" applyNumberFormat="1" applyFont="1" applyFill="1" applyBorder="1" applyAlignment="1" applyProtection="1">
      <alignment horizontal="center" vertical="center"/>
    </xf>
    <xf numFmtId="0" fontId="13" fillId="14" borderId="0" xfId="0" applyFont="1" applyFill="1" applyBorder="1" applyAlignment="1" applyProtection="1">
      <alignment vertical="center"/>
    </xf>
    <xf numFmtId="0" fontId="1" fillId="14" borderId="0" xfId="0" applyFont="1" applyFill="1" applyBorder="1" applyAlignment="1" applyProtection="1">
      <alignment vertical="center"/>
    </xf>
    <xf numFmtId="6" fontId="1" fillId="14" borderId="0" xfId="0" applyNumberFormat="1" applyFont="1" applyFill="1" applyBorder="1" applyAlignment="1" applyProtection="1">
      <alignment horizontal="center" vertical="center"/>
    </xf>
    <xf numFmtId="0" fontId="6" fillId="14" borderId="0" xfId="0" applyFont="1" applyFill="1" applyBorder="1" applyAlignment="1" applyProtection="1">
      <alignment wrapText="1"/>
    </xf>
    <xf numFmtId="0" fontId="4" fillId="14" borderId="0" xfId="0" applyFont="1" applyFill="1" applyBorder="1" applyAlignment="1" applyProtection="1">
      <alignment horizontal="center" vertical="center"/>
    </xf>
    <xf numFmtId="0" fontId="69" fillId="14" borderId="0" xfId="0" applyFont="1" applyFill="1" applyBorder="1" applyAlignment="1" applyProtection="1">
      <alignment vertical="center"/>
    </xf>
    <xf numFmtId="6" fontId="69" fillId="14" borderId="0" xfId="3" applyNumberFormat="1" applyFont="1" applyFill="1" applyBorder="1" applyAlignment="1" applyProtection="1">
      <alignment horizontal="center" vertical="center"/>
    </xf>
    <xf numFmtId="165" fontId="37" fillId="14" borderId="0" xfId="3" applyNumberFormat="1" applyFont="1" applyFill="1" applyBorder="1" applyAlignment="1" applyProtection="1">
      <alignment horizontal="center"/>
    </xf>
    <xf numFmtId="0" fontId="31" fillId="14" borderId="0" xfId="0" applyFont="1" applyFill="1" applyBorder="1" applyAlignment="1" applyProtection="1">
      <alignment vertical="top"/>
    </xf>
    <xf numFmtId="0" fontId="31" fillId="14" borderId="0" xfId="0" applyFont="1" applyFill="1" applyBorder="1" applyAlignment="1" applyProtection="1">
      <alignment vertical="top" wrapText="1"/>
    </xf>
    <xf numFmtId="0" fontId="10" fillId="14" borderId="0" xfId="0" applyFont="1" applyFill="1" applyBorder="1" applyAlignment="1" applyProtection="1">
      <alignment wrapText="1"/>
    </xf>
    <xf numFmtId="0" fontId="2" fillId="14" borderId="0" xfId="0" applyFont="1" applyFill="1" applyBorder="1" applyAlignment="1" applyProtection="1">
      <alignment vertical="center"/>
    </xf>
    <xf numFmtId="0" fontId="6" fillId="14" borderId="0" xfId="0" applyFont="1" applyFill="1" applyBorder="1" applyAlignment="1" applyProtection="1">
      <alignment vertical="center" wrapText="1"/>
    </xf>
    <xf numFmtId="0" fontId="1" fillId="14" borderId="0" xfId="0" applyFont="1" applyFill="1" applyBorder="1" applyAlignment="1" applyProtection="1">
      <alignment horizontal="left" vertical="center"/>
    </xf>
    <xf numFmtId="0" fontId="5" fillId="14" borderId="0" xfId="0" applyFont="1" applyFill="1" applyBorder="1" applyAlignment="1" applyProtection="1">
      <alignment horizontal="right" vertical="center"/>
    </xf>
    <xf numFmtId="0" fontId="1" fillId="14" borderId="0" xfId="0" applyFont="1" applyFill="1" applyBorder="1" applyAlignment="1" applyProtection="1">
      <alignment vertical="center" wrapText="1"/>
    </xf>
    <xf numFmtId="6" fontId="1" fillId="14" borderId="0" xfId="0" applyNumberFormat="1" applyFont="1" applyFill="1" applyBorder="1" applyAlignment="1" applyProtection="1">
      <alignment horizontal="center" vertical="center" wrapText="1"/>
    </xf>
    <xf numFmtId="0" fontId="0" fillId="14" borderId="0" xfId="0" applyFont="1" applyFill="1" applyBorder="1" applyAlignment="1" applyProtection="1">
      <alignment vertical="top" wrapText="1"/>
    </xf>
    <xf numFmtId="0" fontId="1" fillId="14" borderId="0" xfId="0" applyFont="1" applyFill="1" applyBorder="1" applyAlignment="1" applyProtection="1">
      <alignment vertical="top" wrapText="1"/>
    </xf>
    <xf numFmtId="0" fontId="1" fillId="14" borderId="0" xfId="0" applyFont="1" applyFill="1" applyBorder="1" applyAlignment="1" applyProtection="1">
      <alignment vertical="top"/>
    </xf>
    <xf numFmtId="0" fontId="0" fillId="4" borderId="0" xfId="0" applyFill="1" applyBorder="1" applyAlignment="1" applyProtection="1">
      <alignment horizontal="left" indent="1"/>
    </xf>
    <xf numFmtId="0" fontId="31" fillId="4" borderId="0" xfId="0" applyFont="1" applyFill="1" applyBorder="1" applyProtection="1"/>
    <xf numFmtId="10" fontId="36" fillId="4" borderId="0" xfId="0" applyNumberFormat="1" applyFont="1" applyFill="1" applyBorder="1" applyProtection="1"/>
    <xf numFmtId="6" fontId="5" fillId="4" borderId="0" xfId="0" applyNumberFormat="1" applyFont="1" applyFill="1" applyBorder="1" applyProtection="1"/>
    <xf numFmtId="0" fontId="31" fillId="4" borderId="0" xfId="0" applyFont="1" applyFill="1" applyBorder="1" applyAlignment="1" applyProtection="1">
      <alignment horizontal="left" indent="2"/>
    </xf>
    <xf numFmtId="170" fontId="36" fillId="4" borderId="0" xfId="2" applyNumberFormat="1" applyFont="1" applyFill="1" applyBorder="1" applyProtection="1"/>
    <xf numFmtId="0" fontId="0" fillId="4" borderId="0" xfId="0" applyFill="1" applyBorder="1" applyAlignment="1" applyProtection="1">
      <alignment wrapText="1"/>
    </xf>
    <xf numFmtId="0" fontId="58" fillId="4" borderId="3" xfId="0" applyFont="1" applyFill="1" applyBorder="1" applyAlignment="1">
      <alignment horizontal="center" vertical="center" wrapText="1"/>
    </xf>
    <xf numFmtId="6" fontId="5" fillId="4" borderId="6" xfId="0" applyNumberFormat="1" applyFont="1" applyFill="1" applyBorder="1" applyProtection="1"/>
    <xf numFmtId="0" fontId="0" fillId="4" borderId="8" xfId="0" applyFill="1" applyBorder="1" applyAlignment="1" applyProtection="1">
      <alignment wrapText="1"/>
    </xf>
    <xf numFmtId="0" fontId="71" fillId="9" borderId="0" xfId="0" applyFont="1" applyFill="1" applyBorder="1" applyAlignment="1">
      <alignment horizontal="right"/>
    </xf>
    <xf numFmtId="0" fontId="0" fillId="9" borderId="0" xfId="0" applyFill="1" applyBorder="1"/>
    <xf numFmtId="0" fontId="5" fillId="9" borderId="0" xfId="0" applyFont="1" applyFill="1" applyBorder="1" applyAlignment="1">
      <alignment horizontal="right"/>
    </xf>
    <xf numFmtId="0" fontId="0" fillId="9" borderId="0" xfId="0" applyFill="1" applyBorder="1" applyAlignment="1">
      <alignment horizontal="right"/>
    </xf>
    <xf numFmtId="0" fontId="0" fillId="9" borderId="0" xfId="0" applyFill="1" applyBorder="1" applyAlignment="1">
      <alignment horizontal="left" indent="1"/>
    </xf>
    <xf numFmtId="6" fontId="0" fillId="9" borderId="0" xfId="0" applyNumberFormat="1" applyFill="1" applyBorder="1"/>
    <xf numFmtId="168" fontId="0" fillId="9" borderId="0" xfId="2" applyNumberFormat="1" applyFont="1" applyFill="1" applyBorder="1"/>
    <xf numFmtId="0" fontId="0" fillId="9" borderId="0" xfId="0" applyFill="1" applyBorder="1" applyAlignment="1">
      <alignment horizontal="right" indent="1"/>
    </xf>
    <xf numFmtId="0" fontId="0" fillId="9" borderId="0" xfId="0" applyFont="1" applyFill="1" applyBorder="1" applyAlignment="1" applyProtection="1">
      <alignment vertical="top" wrapText="1"/>
    </xf>
    <xf numFmtId="0" fontId="1" fillId="9" borderId="0" xfId="0" applyFont="1" applyFill="1" applyBorder="1" applyAlignment="1" applyProtection="1">
      <alignment vertical="top" wrapText="1"/>
    </xf>
    <xf numFmtId="0" fontId="1" fillId="9" borderId="0" xfId="0" applyFont="1" applyFill="1" applyBorder="1" applyAlignment="1" applyProtection="1">
      <alignment vertical="top"/>
    </xf>
    <xf numFmtId="0" fontId="29" fillId="5" borderId="0" xfId="0" applyFont="1" applyFill="1" applyBorder="1" applyAlignment="1" applyProtection="1">
      <alignment horizontal="center" vertical="center" wrapText="1"/>
    </xf>
    <xf numFmtId="0" fontId="10" fillId="5" borderId="29" xfId="0" applyFont="1" applyFill="1" applyBorder="1" applyAlignment="1" applyProtection="1">
      <alignment horizontal="center" vertical="center" wrapText="1"/>
    </xf>
    <xf numFmtId="0" fontId="29" fillId="5" borderId="50" xfId="0" applyFont="1" applyFill="1" applyBorder="1" applyAlignment="1" applyProtection="1">
      <alignment horizontal="center" vertical="center" wrapText="1"/>
    </xf>
    <xf numFmtId="0" fontId="37" fillId="5" borderId="0" xfId="0" applyFont="1" applyFill="1" applyBorder="1" applyAlignment="1" applyProtection="1">
      <alignment vertical="center"/>
    </xf>
    <xf numFmtId="0" fontId="29" fillId="5" borderId="0" xfId="0" applyFont="1" applyFill="1" applyBorder="1" applyProtection="1"/>
    <xf numFmtId="0" fontId="50" fillId="5" borderId="0" xfId="0" applyFont="1" applyFill="1" applyBorder="1" applyAlignment="1" applyProtection="1">
      <alignment vertical="center"/>
    </xf>
    <xf numFmtId="6" fontId="50" fillId="5" borderId="0" xfId="3" applyNumberFormat="1" applyFont="1" applyFill="1" applyBorder="1" applyAlignment="1" applyProtection="1">
      <alignment horizontal="center" vertical="center"/>
    </xf>
    <xf numFmtId="0" fontId="29" fillId="5" borderId="0" xfId="0" applyFont="1" applyFill="1" applyBorder="1" applyAlignment="1" applyProtection="1">
      <alignment vertical="center" wrapText="1"/>
    </xf>
    <xf numFmtId="0" fontId="37" fillId="5" borderId="0" xfId="0" applyFont="1" applyFill="1" applyBorder="1" applyAlignment="1" applyProtection="1">
      <alignment horizontal="center" vertical="center"/>
    </xf>
    <xf numFmtId="0" fontId="37" fillId="5" borderId="0" xfId="0" applyFont="1" applyFill="1" applyBorder="1" applyAlignment="1" applyProtection="1">
      <alignment horizontal="left" vertical="center"/>
    </xf>
    <xf numFmtId="6" fontId="5" fillId="3" borderId="3" xfId="0" applyNumberFormat="1" applyFont="1" applyFill="1" applyBorder="1" applyAlignment="1">
      <alignment vertical="center"/>
    </xf>
    <xf numFmtId="6" fontId="5" fillId="3" borderId="69" xfId="0" applyNumberFormat="1" applyFont="1" applyFill="1" applyBorder="1" applyAlignment="1">
      <alignment horizontal="center" vertical="center"/>
    </xf>
    <xf numFmtId="6" fontId="5" fillId="3" borderId="8" xfId="0" applyNumberFormat="1" applyFont="1" applyFill="1" applyBorder="1" applyAlignment="1">
      <alignment vertical="center"/>
    </xf>
    <xf numFmtId="168" fontId="5" fillId="3" borderId="9" xfId="2" applyNumberFormat="1" applyFont="1" applyFill="1" applyBorder="1" applyAlignment="1">
      <alignment horizontal="center" vertical="center"/>
    </xf>
    <xf numFmtId="6" fontId="5" fillId="3" borderId="70" xfId="0" applyNumberFormat="1" applyFont="1" applyFill="1" applyBorder="1" applyAlignment="1">
      <alignment horizontal="center" vertical="center"/>
    </xf>
    <xf numFmtId="0" fontId="57" fillId="3" borderId="2" xfId="0" applyFont="1" applyFill="1" applyBorder="1" applyAlignment="1" applyProtection="1">
      <alignment vertical="center"/>
    </xf>
    <xf numFmtId="6" fontId="49" fillId="3" borderId="69" xfId="0" applyNumberFormat="1" applyFont="1" applyFill="1" applyBorder="1" applyAlignment="1">
      <alignment horizontal="center" vertical="center"/>
    </xf>
    <xf numFmtId="6" fontId="5" fillId="3" borderId="0" xfId="0" applyNumberFormat="1" applyFont="1" applyFill="1" applyBorder="1" applyAlignment="1">
      <alignment vertical="center"/>
    </xf>
    <xf numFmtId="6" fontId="5" fillId="3" borderId="71" xfId="0" applyNumberFormat="1" applyFont="1" applyFill="1" applyBorder="1" applyAlignment="1">
      <alignment horizontal="center" vertical="center"/>
    </xf>
    <xf numFmtId="0" fontId="58" fillId="4" borderId="0" xfId="0" applyFont="1" applyFill="1" applyBorder="1" applyAlignment="1" applyProtection="1">
      <alignment horizontal="right" vertical="center"/>
    </xf>
    <xf numFmtId="6" fontId="2" fillId="4" borderId="0" xfId="0" applyNumberFormat="1" applyFont="1" applyFill="1" applyBorder="1" applyAlignment="1" applyProtection="1">
      <alignment horizontal="center" vertical="center"/>
    </xf>
    <xf numFmtId="0" fontId="2" fillId="4" borderId="8" xfId="0" applyFont="1" applyFill="1" applyBorder="1" applyAlignment="1" applyProtection="1">
      <alignment vertical="center" wrapText="1"/>
    </xf>
    <xf numFmtId="6" fontId="2" fillId="4" borderId="8" xfId="0" applyNumberFormat="1" applyFont="1" applyFill="1" applyBorder="1" applyAlignment="1" applyProtection="1">
      <alignment horizontal="center" vertical="center" wrapText="1"/>
    </xf>
    <xf numFmtId="0" fontId="0" fillId="5" borderId="6" xfId="0" applyFont="1" applyFill="1" applyBorder="1" applyAlignment="1" applyProtection="1">
      <alignment horizontal="center" wrapText="1"/>
    </xf>
    <xf numFmtId="0" fontId="0" fillId="5" borderId="6" xfId="0" applyFont="1" applyFill="1" applyBorder="1" applyProtection="1"/>
    <xf numFmtId="0" fontId="0" fillId="5" borderId="8" xfId="0" applyFont="1" applyFill="1" applyBorder="1" applyProtection="1"/>
    <xf numFmtId="0" fontId="66" fillId="5" borderId="8" xfId="0" applyFont="1" applyFill="1" applyBorder="1" applyAlignment="1" applyProtection="1">
      <alignment horizontal="center"/>
    </xf>
    <xf numFmtId="0" fontId="0" fillId="5" borderId="9" xfId="0" applyFont="1" applyFill="1" applyBorder="1" applyProtection="1"/>
    <xf numFmtId="0" fontId="1" fillId="5" borderId="6" xfId="0" applyFont="1" applyFill="1" applyBorder="1" applyAlignment="1" applyProtection="1">
      <alignment horizontal="center" wrapText="1"/>
    </xf>
    <xf numFmtId="0" fontId="10" fillId="5" borderId="6" xfId="0" applyFont="1" applyFill="1" applyBorder="1" applyAlignment="1" applyProtection="1">
      <alignment wrapText="1"/>
    </xf>
    <xf numFmtId="165" fontId="1" fillId="5" borderId="6" xfId="0" applyNumberFormat="1" applyFont="1" applyFill="1" applyBorder="1" applyAlignment="1" applyProtection="1">
      <alignment horizontal="center"/>
    </xf>
    <xf numFmtId="6" fontId="37" fillId="3" borderId="24" xfId="3" applyNumberFormat="1" applyFont="1" applyFill="1" applyBorder="1" applyAlignment="1" applyProtection="1">
      <alignment horizontal="center"/>
    </xf>
    <xf numFmtId="10" fontId="1" fillId="3" borderId="24" xfId="2" applyNumberFormat="1" applyFont="1" applyFill="1" applyBorder="1" applyAlignment="1" applyProtection="1">
      <alignment horizontal="center"/>
    </xf>
    <xf numFmtId="1" fontId="1" fillId="3" borderId="24" xfId="2" applyNumberFormat="1" applyFont="1" applyFill="1" applyBorder="1" applyAlignment="1" applyProtection="1">
      <alignment horizontal="center"/>
    </xf>
    <xf numFmtId="0" fontId="1" fillId="3" borderId="24" xfId="2" applyNumberFormat="1" applyFont="1" applyFill="1" applyBorder="1" applyAlignment="1" applyProtection="1">
      <alignment horizontal="center"/>
    </xf>
    <xf numFmtId="165" fontId="0" fillId="14" borderId="0" xfId="0" applyNumberFormat="1" applyFill="1" applyAlignment="1" applyProtection="1">
      <alignment horizontal="left"/>
    </xf>
    <xf numFmtId="0" fontId="31" fillId="14" borderId="0" xfId="0" applyFont="1" applyFill="1" applyAlignment="1" applyProtection="1">
      <alignment horizontal="right"/>
    </xf>
    <xf numFmtId="0" fontId="2" fillId="14" borderId="0" xfId="0" applyFont="1" applyFill="1" applyBorder="1" applyAlignment="1" applyProtection="1">
      <alignment horizontal="left"/>
    </xf>
    <xf numFmtId="0" fontId="0" fillId="14" borderId="0" xfId="0" applyFont="1" applyFill="1" applyBorder="1" applyAlignment="1" applyProtection="1">
      <alignment horizontal="left"/>
    </xf>
    <xf numFmtId="0" fontId="5" fillId="14" borderId="0" xfId="0" applyFont="1" applyFill="1" applyBorder="1" applyAlignment="1" applyProtection="1">
      <alignment horizontal="right"/>
    </xf>
    <xf numFmtId="0" fontId="0" fillId="14" borderId="0" xfId="0" applyFont="1" applyFill="1" applyProtection="1"/>
    <xf numFmtId="0" fontId="13" fillId="14" borderId="0" xfId="0" applyFont="1" applyFill="1" applyBorder="1" applyProtection="1"/>
    <xf numFmtId="6" fontId="1" fillId="14" borderId="0" xfId="0" applyNumberFormat="1" applyFont="1" applyFill="1" applyProtection="1"/>
    <xf numFmtId="0" fontId="58" fillId="5" borderId="0" xfId="0" applyFont="1" applyFill="1" applyBorder="1" applyAlignment="1" applyProtection="1">
      <alignment horizontal="center" vertical="center" wrapText="1"/>
    </xf>
    <xf numFmtId="0" fontId="2" fillId="5" borderId="0" xfId="0" applyFont="1" applyFill="1" applyBorder="1" applyAlignment="1" applyProtection="1">
      <alignment horizontal="center" vertical="center" wrapText="1"/>
    </xf>
    <xf numFmtId="0" fontId="61" fillId="5" borderId="0" xfId="0" applyFont="1" applyFill="1" applyBorder="1" applyAlignment="1" applyProtection="1">
      <alignment horizontal="right" vertical="center" wrapText="1"/>
    </xf>
    <xf numFmtId="0" fontId="4" fillId="5" borderId="68" xfId="0" applyFont="1" applyFill="1" applyBorder="1" applyAlignment="1" applyProtection="1">
      <alignment horizontal="center" vertical="center" wrapText="1"/>
    </xf>
    <xf numFmtId="0" fontId="6" fillId="5" borderId="0" xfId="0" applyFont="1" applyFill="1" applyBorder="1" applyAlignment="1" applyProtection="1">
      <alignment horizontal="center" vertical="center"/>
    </xf>
    <xf numFmtId="0" fontId="40" fillId="5" borderId="0" xfId="0" applyFont="1" applyFill="1" applyBorder="1" applyAlignment="1" applyProtection="1">
      <alignment horizontal="center" vertical="center" wrapText="1"/>
    </xf>
    <xf numFmtId="0" fontId="58" fillId="5" borderId="0" xfId="0" applyNumberFormat="1" applyFont="1" applyFill="1" applyBorder="1" applyAlignment="1" applyProtection="1">
      <alignment horizontal="center" vertical="center"/>
    </xf>
    <xf numFmtId="0" fontId="0" fillId="5" borderId="0" xfId="0" applyFont="1" applyFill="1" applyBorder="1" applyAlignment="1" applyProtection="1">
      <alignment horizontal="left"/>
    </xf>
    <xf numFmtId="0" fontId="34" fillId="5" borderId="0" xfId="4" applyFont="1" applyFill="1" applyBorder="1" applyAlignment="1" applyProtection="1">
      <alignment horizontal="center" vertical="center"/>
    </xf>
    <xf numFmtId="0" fontId="2" fillId="3" borderId="6" xfId="0" applyFont="1" applyFill="1" applyBorder="1" applyAlignment="1" applyProtection="1">
      <alignment horizontal="left"/>
    </xf>
    <xf numFmtId="0" fontId="10" fillId="3" borderId="6" xfId="0" applyFont="1" applyFill="1" applyBorder="1" applyAlignment="1" applyProtection="1">
      <alignment horizontal="center" vertical="center" wrapText="1"/>
    </xf>
    <xf numFmtId="0" fontId="6" fillId="3" borderId="6" xfId="0" applyFont="1" applyFill="1" applyBorder="1" applyAlignment="1" applyProtection="1">
      <alignment vertical="top" wrapText="1"/>
    </xf>
    <xf numFmtId="0" fontId="2" fillId="4" borderId="6" xfId="0" applyFont="1" applyFill="1" applyBorder="1" applyAlignment="1" applyProtection="1">
      <alignment horizontal="left"/>
    </xf>
    <xf numFmtId="0" fontId="57" fillId="4" borderId="6" xfId="0" applyFont="1" applyFill="1" applyBorder="1" applyProtection="1"/>
    <xf numFmtId="0" fontId="57" fillId="4" borderId="8" xfId="0" applyFont="1" applyFill="1" applyBorder="1" applyProtection="1"/>
    <xf numFmtId="0" fontId="57" fillId="4" borderId="9" xfId="0" applyFont="1" applyFill="1" applyBorder="1" applyProtection="1"/>
    <xf numFmtId="0" fontId="6" fillId="4" borderId="8" xfId="0" applyFont="1" applyFill="1" applyBorder="1" applyAlignment="1" applyProtection="1">
      <alignment vertical="center"/>
    </xf>
    <xf numFmtId="0" fontId="62" fillId="4" borderId="8" xfId="3" applyNumberFormat="1" applyFont="1" applyFill="1" applyBorder="1" applyAlignment="1" applyProtection="1">
      <alignment horizontal="center" vertical="center"/>
    </xf>
    <xf numFmtId="0" fontId="2" fillId="5" borderId="6" xfId="0" applyFont="1" applyFill="1" applyBorder="1" applyAlignment="1" applyProtection="1">
      <alignment horizontal="left"/>
    </xf>
    <xf numFmtId="0" fontId="1" fillId="3" borderId="0" xfId="0" applyFont="1" applyFill="1" applyBorder="1" applyAlignment="1" applyProtection="1">
      <alignment horizontal="left" vertical="top" wrapText="1"/>
    </xf>
    <xf numFmtId="0" fontId="0" fillId="14" borderId="28" xfId="0" applyFill="1" applyBorder="1"/>
    <xf numFmtId="0" fontId="0" fillId="14" borderId="29" xfId="0" applyFill="1" applyBorder="1"/>
    <xf numFmtId="0" fontId="0" fillId="14" borderId="30" xfId="0" applyFill="1" applyBorder="1"/>
    <xf numFmtId="0" fontId="0" fillId="14" borderId="31" xfId="0" applyFill="1" applyBorder="1"/>
    <xf numFmtId="0" fontId="0" fillId="14" borderId="32" xfId="0" applyFill="1" applyBorder="1"/>
    <xf numFmtId="0" fontId="0" fillId="14" borderId="0" xfId="0" applyFill="1" applyAlignment="1">
      <alignment horizontal="center" vertical="top"/>
    </xf>
    <xf numFmtId="9" fontId="0" fillId="14" borderId="0" xfId="0" applyNumberFormat="1" applyFill="1" applyBorder="1" applyProtection="1"/>
    <xf numFmtId="2" fontId="0" fillId="14" borderId="0" xfId="0" applyNumberFormat="1" applyFill="1" applyBorder="1" applyProtection="1"/>
    <xf numFmtId="173" fontId="0" fillId="14" borderId="0" xfId="1" applyNumberFormat="1" applyFont="1" applyFill="1" applyBorder="1" applyProtection="1"/>
    <xf numFmtId="10" fontId="69" fillId="3" borderId="28" xfId="0" applyNumberFormat="1" applyFont="1" applyFill="1" applyBorder="1" applyAlignment="1" applyProtection="1">
      <alignment horizontal="center" vertical="center"/>
    </xf>
    <xf numFmtId="0" fontId="69" fillId="3" borderId="0" xfId="0" applyNumberFormat="1" applyFont="1" applyFill="1" applyBorder="1" applyAlignment="1" applyProtection="1">
      <alignment horizontal="center" vertical="center" wrapText="1"/>
    </xf>
    <xf numFmtId="10" fontId="69" fillId="3" borderId="29" xfId="0" applyNumberFormat="1" applyFont="1" applyFill="1" applyBorder="1" applyAlignment="1" applyProtection="1">
      <alignment horizontal="center" vertical="center"/>
    </xf>
    <xf numFmtId="6" fontId="69" fillId="3" borderId="28" xfId="0" applyNumberFormat="1" applyFont="1" applyFill="1" applyBorder="1" applyAlignment="1" applyProtection="1">
      <alignment horizontal="center" vertical="center" wrapText="1"/>
    </xf>
    <xf numFmtId="8" fontId="69" fillId="3" borderId="29" xfId="0" applyNumberFormat="1" applyFont="1" applyFill="1" applyBorder="1" applyAlignment="1" applyProtection="1">
      <alignment horizontal="center" vertical="center" wrapText="1"/>
    </xf>
    <xf numFmtId="0" fontId="96" fillId="3" borderId="0" xfId="0" applyFont="1" applyFill="1" applyBorder="1" applyAlignment="1" applyProtection="1">
      <alignment horizontal="center" vertical="center" wrapText="1"/>
    </xf>
    <xf numFmtId="0" fontId="5" fillId="3" borderId="2" xfId="0" applyFont="1" applyFill="1" applyBorder="1" applyAlignment="1">
      <alignment horizontal="left" vertical="center" indent="1"/>
    </xf>
    <xf numFmtId="0" fontId="5" fillId="3" borderId="5" xfId="0" applyFont="1" applyFill="1" applyBorder="1" applyAlignment="1">
      <alignment horizontal="left" vertical="center" indent="1"/>
    </xf>
    <xf numFmtId="0" fontId="5" fillId="3" borderId="7" xfId="0" applyFont="1" applyFill="1" applyBorder="1" applyAlignment="1">
      <alignment horizontal="left" vertical="center" indent="1"/>
    </xf>
    <xf numFmtId="0" fontId="0" fillId="5" borderId="5" xfId="0" applyFill="1" applyBorder="1"/>
    <xf numFmtId="0" fontId="0" fillId="5" borderId="0" xfId="0" applyFill="1" applyBorder="1"/>
    <xf numFmtId="0" fontId="0" fillId="5" borderId="6" xfId="0" applyFill="1" applyBorder="1"/>
    <xf numFmtId="6" fontId="5" fillId="3" borderId="0" xfId="0" applyNumberFormat="1" applyFont="1" applyFill="1" applyBorder="1" applyAlignment="1">
      <alignment horizontal="left" vertical="center" indent="4"/>
    </xf>
    <xf numFmtId="6" fontId="5" fillId="3" borderId="8" xfId="0" applyNumberFormat="1" applyFont="1" applyFill="1" applyBorder="1" applyAlignment="1">
      <alignment horizontal="left" vertical="center" indent="4"/>
    </xf>
    <xf numFmtId="6" fontId="5" fillId="3" borderId="0" xfId="0" applyNumberFormat="1" applyFont="1" applyFill="1" applyBorder="1" applyAlignment="1">
      <alignment horizontal="left" vertical="center" indent="6"/>
    </xf>
    <xf numFmtId="6" fontId="5" fillId="3" borderId="8" xfId="0" applyNumberFormat="1" applyFont="1" applyFill="1" applyBorder="1" applyAlignment="1">
      <alignment horizontal="left" vertical="center" indent="6"/>
    </xf>
    <xf numFmtId="0" fontId="5" fillId="3" borderId="0" xfId="0" applyFont="1" applyFill="1" applyBorder="1" applyAlignment="1">
      <alignment horizontal="left" vertical="center" indent="1"/>
    </xf>
    <xf numFmtId="0" fontId="57" fillId="3" borderId="3" xfId="0" applyFont="1" applyFill="1" applyBorder="1" applyAlignment="1" applyProtection="1">
      <alignment vertical="center"/>
    </xf>
    <xf numFmtId="0" fontId="5" fillId="3" borderId="8" xfId="0" applyFont="1" applyFill="1" applyBorder="1" applyAlignment="1">
      <alignment horizontal="left" vertical="center" indent="1"/>
    </xf>
    <xf numFmtId="168" fontId="2" fillId="3" borderId="6" xfId="2" applyNumberFormat="1" applyFont="1" applyFill="1" applyBorder="1" applyAlignment="1">
      <alignment horizontal="center" vertical="center"/>
    </xf>
    <xf numFmtId="168" fontId="0" fillId="14" borderId="0" xfId="0" applyNumberFormat="1" applyFill="1"/>
    <xf numFmtId="8" fontId="86" fillId="4" borderId="50" xfId="0" applyNumberFormat="1" applyFont="1" applyFill="1" applyBorder="1" applyAlignment="1" applyProtection="1">
      <alignment horizontal="center" vertical="center"/>
    </xf>
    <xf numFmtId="0" fontId="97" fillId="3" borderId="0" xfId="0" applyFont="1" applyFill="1" applyBorder="1" applyAlignment="1" applyProtection="1">
      <alignment horizontal="center" vertical="center" wrapText="1"/>
    </xf>
    <xf numFmtId="0" fontId="2" fillId="5" borderId="57" xfId="0" applyFont="1" applyFill="1" applyBorder="1" applyAlignment="1" applyProtection="1">
      <alignment horizontal="center" vertical="center" wrapText="1"/>
    </xf>
    <xf numFmtId="6" fontId="37" fillId="3" borderId="0" xfId="0" applyNumberFormat="1" applyFont="1" applyFill="1" applyBorder="1" applyAlignment="1" applyProtection="1">
      <alignment horizontal="right" vertical="center"/>
    </xf>
    <xf numFmtId="6" fontId="37" fillId="3" borderId="0" xfId="0" applyNumberFormat="1" applyFont="1" applyFill="1" applyBorder="1" applyAlignment="1" applyProtection="1">
      <alignment horizontal="center" vertical="center"/>
    </xf>
    <xf numFmtId="6" fontId="98" fillId="3" borderId="0" xfId="0" applyNumberFormat="1" applyFont="1" applyFill="1" applyBorder="1" applyAlignment="1" applyProtection="1">
      <alignment horizontal="center" vertical="center"/>
    </xf>
    <xf numFmtId="0" fontId="98" fillId="3" borderId="0" xfId="0" applyFont="1" applyFill="1" applyBorder="1" applyAlignment="1" applyProtection="1">
      <alignment horizontal="center" vertical="center" wrapText="1"/>
    </xf>
    <xf numFmtId="0" fontId="37" fillId="3" borderId="0" xfId="0" applyFont="1" applyFill="1" applyBorder="1" applyAlignment="1" applyProtection="1">
      <alignment vertical="center"/>
    </xf>
    <xf numFmtId="0" fontId="98" fillId="3" borderId="0" xfId="0" applyFont="1" applyFill="1" applyBorder="1" applyAlignment="1" applyProtection="1">
      <alignment horizontal="right" vertical="center"/>
    </xf>
    <xf numFmtId="0" fontId="98" fillId="3" borderId="0" xfId="0" applyFont="1" applyFill="1" applyBorder="1" applyAlignment="1" applyProtection="1">
      <alignment vertical="center"/>
    </xf>
    <xf numFmtId="0" fontId="58" fillId="3" borderId="0" xfId="0" applyFont="1" applyFill="1" applyBorder="1" applyAlignment="1" applyProtection="1">
      <alignment horizontal="left" wrapText="1"/>
    </xf>
    <xf numFmtId="0" fontId="31" fillId="4" borderId="0" xfId="0" applyFont="1" applyFill="1" applyBorder="1" applyAlignment="1" applyProtection="1">
      <alignment horizontal="center" wrapText="1"/>
    </xf>
    <xf numFmtId="0" fontId="100" fillId="4" borderId="50" xfId="0" applyFont="1" applyFill="1" applyBorder="1" applyAlignment="1" applyProtection="1">
      <alignment horizontal="center" vertical="center"/>
    </xf>
    <xf numFmtId="6" fontId="86" fillId="4" borderId="50" xfId="0" applyNumberFormat="1" applyFont="1" applyFill="1" applyBorder="1" applyAlignment="1" applyProtection="1">
      <alignment horizontal="center" vertical="center"/>
    </xf>
    <xf numFmtId="6" fontId="86" fillId="4" borderId="47" xfId="0" applyNumberFormat="1" applyFont="1" applyFill="1" applyBorder="1" applyAlignment="1" applyProtection="1">
      <alignment horizontal="center" vertical="center"/>
    </xf>
    <xf numFmtId="0" fontId="2" fillId="3" borderId="0" xfId="0" applyFont="1" applyFill="1" applyBorder="1" applyAlignment="1" applyProtection="1">
      <alignment horizontal="right" vertical="center"/>
    </xf>
    <xf numFmtId="0" fontId="2" fillId="3" borderId="0" xfId="0" applyFont="1" applyFill="1" applyBorder="1" applyAlignment="1" applyProtection="1">
      <alignment vertical="center"/>
    </xf>
    <xf numFmtId="8" fontId="2" fillId="3" borderId="0" xfId="0" applyNumberFormat="1" applyFont="1" applyFill="1" applyBorder="1" applyAlignment="1" applyProtection="1">
      <alignment horizontal="center" vertical="center"/>
    </xf>
    <xf numFmtId="0" fontId="0" fillId="14" borderId="2" xfId="0" applyFill="1" applyBorder="1"/>
    <xf numFmtId="0" fontId="0" fillId="14" borderId="5" xfId="0" applyFill="1" applyBorder="1"/>
    <xf numFmtId="0" fontId="0" fillId="14" borderId="5" xfId="0" applyFont="1" applyFill="1" applyBorder="1"/>
    <xf numFmtId="0" fontId="0" fillId="14" borderId="0" xfId="0" applyFont="1" applyFill="1"/>
    <xf numFmtId="168" fontId="0" fillId="12" borderId="0" xfId="2" applyNumberFormat="1" applyFont="1" applyFill="1" applyBorder="1"/>
    <xf numFmtId="0" fontId="0" fillId="12" borderId="0" xfId="0" applyFill="1"/>
    <xf numFmtId="0" fontId="10" fillId="12" borderId="0" xfId="0" applyFont="1" applyFill="1" applyBorder="1" applyAlignment="1">
      <alignment horizontal="center" vertical="center" wrapText="1"/>
    </xf>
    <xf numFmtId="8" fontId="0" fillId="12" borderId="0" xfId="0" applyNumberFormat="1" applyFill="1" applyBorder="1" applyAlignment="1">
      <alignment horizontal="center"/>
    </xf>
    <xf numFmtId="0" fontId="0" fillId="12" borderId="31" xfId="0" applyFill="1" applyBorder="1" applyAlignment="1">
      <alignment horizontal="right"/>
    </xf>
    <xf numFmtId="0" fontId="0" fillId="12" borderId="31" xfId="0" applyFill="1" applyBorder="1"/>
    <xf numFmtId="6" fontId="0" fillId="12" borderId="31" xfId="0" applyNumberFormat="1" applyFill="1" applyBorder="1"/>
    <xf numFmtId="8" fontId="0" fillId="7" borderId="24" xfId="0" applyNumberFormat="1" applyFill="1" applyBorder="1" applyAlignment="1" applyProtection="1">
      <alignment horizontal="center"/>
      <protection locked="0"/>
    </xf>
    <xf numFmtId="0" fontId="10" fillId="12" borderId="0" xfId="0" applyFont="1" applyFill="1" applyBorder="1" applyAlignment="1">
      <alignment horizontal="right" vertical="center"/>
    </xf>
    <xf numFmtId="0" fontId="10" fillId="12" borderId="0" xfId="0" applyFont="1" applyFill="1" applyBorder="1" applyAlignment="1">
      <alignment horizontal="right" vertical="center" wrapText="1"/>
    </xf>
    <xf numFmtId="0" fontId="10" fillId="12" borderId="31" xfId="0" applyFont="1" applyFill="1" applyBorder="1" applyAlignment="1">
      <alignment horizontal="right" vertical="top" wrapText="1"/>
    </xf>
    <xf numFmtId="0" fontId="31" fillId="12" borderId="0" xfId="0" applyFont="1" applyFill="1" applyBorder="1" applyAlignment="1">
      <alignment horizontal="right" wrapText="1"/>
    </xf>
    <xf numFmtId="169" fontId="0" fillId="12" borderId="0" xfId="0" applyNumberFormat="1" applyFont="1" applyFill="1" applyBorder="1" applyAlignment="1">
      <alignment horizontal="right" vertical="center"/>
    </xf>
    <xf numFmtId="8" fontId="0" fillId="12" borderId="0" xfId="0" applyNumberFormat="1" applyFont="1" applyFill="1" applyBorder="1" applyAlignment="1">
      <alignment horizontal="right" vertical="center"/>
    </xf>
    <xf numFmtId="1" fontId="0" fillId="12" borderId="0" xfId="0" applyNumberFormat="1" applyFont="1" applyFill="1" applyBorder="1" applyAlignment="1">
      <alignment horizontal="right" vertical="center"/>
    </xf>
    <xf numFmtId="6" fontId="0" fillId="12" borderId="0" xfId="0" applyNumberFormat="1" applyFill="1" applyBorder="1" applyAlignment="1">
      <alignment horizontal="center" vertical="center"/>
    </xf>
    <xf numFmtId="0" fontId="5" fillId="12" borderId="0" xfId="0" applyFont="1" applyFill="1" applyBorder="1" applyAlignment="1">
      <alignment horizontal="right" vertical="center" wrapText="1"/>
    </xf>
    <xf numFmtId="0" fontId="37" fillId="12" borderId="0" xfId="0" applyFont="1" applyFill="1" applyProtection="1"/>
    <xf numFmtId="0" fontId="37" fillId="12" borderId="0" xfId="0" applyFont="1" applyFill="1" applyBorder="1" applyProtection="1"/>
    <xf numFmtId="0" fontId="52" fillId="12" borderId="0" xfId="0" applyFont="1" applyFill="1" applyAlignment="1" applyProtection="1">
      <alignment horizontal="center" vertical="center" wrapText="1"/>
    </xf>
    <xf numFmtId="0" fontId="103" fillId="12" borderId="0" xfId="0" applyFont="1" applyFill="1" applyAlignment="1" applyProtection="1">
      <alignment horizontal="right"/>
    </xf>
    <xf numFmtId="165" fontId="103" fillId="12" borderId="0" xfId="0" applyNumberFormat="1" applyFont="1" applyFill="1" applyBorder="1" applyProtection="1"/>
    <xf numFmtId="0" fontId="103" fillId="12" borderId="0" xfId="0" applyFont="1" applyFill="1" applyBorder="1" applyProtection="1"/>
    <xf numFmtId="0" fontId="102" fillId="12" borderId="0" xfId="0" applyFont="1" applyFill="1" applyProtection="1"/>
    <xf numFmtId="6" fontId="37" fillId="12" borderId="0" xfId="0" applyNumberFormat="1" applyFont="1" applyFill="1" applyBorder="1" applyProtection="1"/>
    <xf numFmtId="0" fontId="37" fillId="14" borderId="0" xfId="0" applyFont="1" applyFill="1" applyProtection="1"/>
    <xf numFmtId="0" fontId="46" fillId="12" borderId="0" xfId="0" applyFont="1" applyFill="1" applyProtection="1"/>
    <xf numFmtId="0" fontId="103" fillId="12" borderId="0" xfId="0" applyFont="1" applyFill="1" applyBorder="1" applyAlignment="1" applyProtection="1">
      <alignment horizontal="right"/>
    </xf>
    <xf numFmtId="0" fontId="103" fillId="12" borderId="0" xfId="0" applyFont="1" applyFill="1" applyBorder="1" applyAlignment="1" applyProtection="1">
      <alignment horizontal="center"/>
    </xf>
    <xf numFmtId="0" fontId="19" fillId="12" borderId="0" xfId="0" applyFont="1" applyFill="1" applyBorder="1" applyProtection="1"/>
    <xf numFmtId="6" fontId="19" fillId="12" borderId="0" xfId="0" applyNumberFormat="1" applyFont="1" applyFill="1" applyBorder="1" applyAlignment="1" applyProtection="1">
      <alignment horizontal="center"/>
    </xf>
    <xf numFmtId="0" fontId="19" fillId="12" borderId="0" xfId="0" applyFont="1" applyFill="1" applyBorder="1" applyAlignment="1" applyProtection="1">
      <alignment horizontal="center"/>
    </xf>
    <xf numFmtId="168" fontId="19" fillId="8" borderId="0" xfId="2" applyNumberFormat="1" applyFont="1" applyFill="1" applyBorder="1" applyProtection="1"/>
    <xf numFmtId="0" fontId="103" fillId="12" borderId="31" xfId="0" applyFont="1" applyFill="1" applyBorder="1" applyAlignment="1" applyProtection="1">
      <alignment horizontal="right"/>
    </xf>
    <xf numFmtId="0" fontId="103" fillId="12" borderId="31" xfId="0" applyFont="1" applyFill="1" applyBorder="1" applyAlignment="1" applyProtection="1">
      <alignment horizontal="center"/>
    </xf>
    <xf numFmtId="0" fontId="103" fillId="12" borderId="31" xfId="0" quotePrefix="1" applyFont="1" applyFill="1" applyBorder="1" applyAlignment="1" applyProtection="1">
      <alignment horizontal="center"/>
    </xf>
    <xf numFmtId="0" fontId="102" fillId="12" borderId="41" xfId="0" applyFont="1" applyFill="1" applyBorder="1" applyAlignment="1" applyProtection="1">
      <alignment horizontal="center" wrapText="1"/>
    </xf>
    <xf numFmtId="0" fontId="19" fillId="12" borderId="41" xfId="0" applyFont="1" applyFill="1" applyBorder="1" applyProtection="1"/>
    <xf numFmtId="6" fontId="19" fillId="12" borderId="41" xfId="0" applyNumberFormat="1" applyFont="1" applyFill="1" applyBorder="1" applyAlignment="1" applyProtection="1">
      <alignment horizontal="center"/>
    </xf>
    <xf numFmtId="0" fontId="19" fillId="12" borderId="41" xfId="0" applyFont="1" applyFill="1" applyBorder="1" applyAlignment="1" applyProtection="1">
      <alignment horizontal="center"/>
    </xf>
    <xf numFmtId="168" fontId="19" fillId="8" borderId="41" xfId="2" applyNumberFormat="1" applyFont="1" applyFill="1" applyBorder="1" applyProtection="1"/>
    <xf numFmtId="0" fontId="19" fillId="12" borderId="41" xfId="0" applyFont="1" applyFill="1" applyBorder="1" applyAlignment="1" applyProtection="1">
      <alignment horizontal="center" wrapText="1"/>
    </xf>
    <xf numFmtId="0" fontId="19" fillId="12" borderId="26" xfId="0" applyFont="1" applyFill="1" applyBorder="1" applyProtection="1"/>
    <xf numFmtId="0" fontId="19" fillId="12" borderId="26" xfId="0" applyFont="1" applyFill="1" applyBorder="1" applyAlignment="1" applyProtection="1">
      <alignment horizontal="center"/>
    </xf>
    <xf numFmtId="168" fontId="19" fillId="8" borderId="26" xfId="2" applyNumberFormat="1" applyFont="1" applyFill="1" applyBorder="1" applyProtection="1"/>
    <xf numFmtId="6" fontId="95" fillId="12" borderId="41" xfId="0" applyNumberFormat="1" applyFont="1" applyFill="1" applyBorder="1" applyAlignment="1" applyProtection="1">
      <alignment horizontal="center"/>
    </xf>
    <xf numFmtId="6" fontId="95" fillId="12" borderId="0" xfId="0" applyNumberFormat="1" applyFont="1" applyFill="1" applyBorder="1" applyAlignment="1" applyProtection="1">
      <alignment horizontal="center"/>
    </xf>
    <xf numFmtId="0" fontId="102" fillId="12" borderId="31" xfId="0" applyFont="1" applyFill="1" applyBorder="1" applyAlignment="1" applyProtection="1">
      <alignment horizontal="center" wrapText="1"/>
    </xf>
    <xf numFmtId="0" fontId="19" fillId="12" borderId="31" xfId="0" applyFont="1" applyFill="1" applyBorder="1" applyAlignment="1" applyProtection="1">
      <alignment horizontal="center" wrapText="1"/>
    </xf>
    <xf numFmtId="165" fontId="19" fillId="12" borderId="0" xfId="1" applyNumberFormat="1" applyFont="1" applyFill="1" applyBorder="1" applyAlignment="1" applyProtection="1">
      <alignment horizontal="center"/>
    </xf>
    <xf numFmtId="165" fontId="19" fillId="12" borderId="41" xfId="1" applyNumberFormat="1" applyFont="1" applyFill="1" applyBorder="1" applyAlignment="1" applyProtection="1">
      <alignment horizontal="center"/>
    </xf>
    <xf numFmtId="165" fontId="19" fillId="7" borderId="68" xfId="0" applyNumberFormat="1" applyFont="1" applyFill="1" applyBorder="1" applyAlignment="1" applyProtection="1">
      <alignment horizontal="center"/>
      <protection locked="0"/>
    </xf>
    <xf numFmtId="0" fontId="102" fillId="12" borderId="0" xfId="0" applyFont="1" applyFill="1" applyBorder="1" applyProtection="1"/>
    <xf numFmtId="0" fontId="37" fillId="12" borderId="31" xfId="0" applyFont="1" applyFill="1" applyBorder="1" applyProtection="1"/>
    <xf numFmtId="0" fontId="106" fillId="12" borderId="0" xfId="0" applyFont="1" applyFill="1" applyAlignment="1" applyProtection="1">
      <alignment horizontal="right"/>
    </xf>
    <xf numFmtId="165" fontId="19" fillId="12" borderId="26" xfId="1" applyNumberFormat="1" applyFont="1" applyFill="1" applyBorder="1" applyAlignment="1" applyProtection="1">
      <alignment horizontal="center"/>
    </xf>
    <xf numFmtId="0" fontId="106" fillId="12" borderId="0" xfId="0" applyFont="1" applyFill="1" applyBorder="1" applyAlignment="1" applyProtection="1">
      <alignment horizontal="right" vertical="center"/>
    </xf>
    <xf numFmtId="0" fontId="105" fillId="12" borderId="0" xfId="0" applyFont="1" applyFill="1" applyBorder="1" applyProtection="1"/>
    <xf numFmtId="6" fontId="107" fillId="3" borderId="67" xfId="0" applyNumberFormat="1" applyFont="1" applyFill="1" applyBorder="1" applyAlignment="1" applyProtection="1">
      <alignment horizontal="center"/>
    </xf>
    <xf numFmtId="0" fontId="63" fillId="5" borderId="0" xfId="0" applyFont="1" applyFill="1" applyBorder="1" applyAlignment="1" applyProtection="1">
      <alignment vertical="center"/>
    </xf>
    <xf numFmtId="0" fontId="58" fillId="4" borderId="0" xfId="0" applyFont="1" applyFill="1" applyBorder="1" applyAlignment="1" applyProtection="1">
      <alignment vertical="center"/>
    </xf>
    <xf numFmtId="0" fontId="103" fillId="49" borderId="0" xfId="0" applyFont="1" applyFill="1" applyBorder="1" applyAlignment="1" applyProtection="1">
      <alignment horizontal="center"/>
    </xf>
    <xf numFmtId="0" fontId="103" fillId="49" borderId="31" xfId="0" quotePrefix="1" applyFont="1" applyFill="1" applyBorder="1" applyAlignment="1" applyProtection="1">
      <alignment horizontal="center"/>
    </xf>
    <xf numFmtId="0" fontId="102" fillId="49" borderId="41" xfId="0" applyFont="1" applyFill="1" applyBorder="1" applyAlignment="1" applyProtection="1">
      <alignment horizontal="center" wrapText="1"/>
    </xf>
    <xf numFmtId="6" fontId="19" fillId="49" borderId="41" xfId="0" applyNumberFormat="1" applyFont="1" applyFill="1" applyBorder="1" applyAlignment="1" applyProtection="1">
      <alignment horizontal="center"/>
    </xf>
    <xf numFmtId="6" fontId="19" fillId="49" borderId="26" xfId="0" applyNumberFormat="1" applyFont="1" applyFill="1" applyBorder="1" applyAlignment="1" applyProtection="1">
      <alignment horizontal="center"/>
    </xf>
    <xf numFmtId="6" fontId="95" fillId="49" borderId="41" xfId="0" applyNumberFormat="1" applyFont="1" applyFill="1" applyBorder="1" applyAlignment="1" applyProtection="1">
      <alignment horizontal="center"/>
    </xf>
    <xf numFmtId="6" fontId="95" fillId="49" borderId="26" xfId="0" applyNumberFormat="1" applyFont="1" applyFill="1" applyBorder="1" applyAlignment="1" applyProtection="1">
      <alignment horizontal="center"/>
    </xf>
    <xf numFmtId="0" fontId="103" fillId="49" borderId="31" xfId="0" applyFont="1" applyFill="1" applyBorder="1" applyAlignment="1" applyProtection="1">
      <alignment horizontal="center"/>
    </xf>
    <xf numFmtId="6" fontId="19" fillId="49" borderId="0" xfId="0" applyNumberFormat="1" applyFont="1" applyFill="1" applyBorder="1" applyAlignment="1" applyProtection="1">
      <alignment horizontal="center"/>
    </xf>
    <xf numFmtId="165" fontId="19" fillId="49" borderId="41" xfId="1" applyNumberFormat="1" applyFont="1" applyFill="1" applyBorder="1" applyAlignment="1" applyProtection="1">
      <alignment horizontal="center"/>
    </xf>
    <xf numFmtId="165" fontId="19" fillId="49" borderId="26" xfId="1" applyNumberFormat="1" applyFont="1" applyFill="1" applyBorder="1" applyAlignment="1" applyProtection="1">
      <alignment horizontal="center"/>
    </xf>
    <xf numFmtId="0" fontId="50" fillId="49" borderId="0" xfId="0" applyFont="1" applyFill="1" applyBorder="1" applyProtection="1"/>
    <xf numFmtId="0" fontId="37" fillId="49" borderId="0" xfId="0" applyFont="1" applyFill="1" applyProtection="1"/>
    <xf numFmtId="0" fontId="52" fillId="49" borderId="0" xfId="0" applyFont="1" applyFill="1" applyAlignment="1" applyProtection="1">
      <alignment horizontal="center" vertical="center" wrapText="1"/>
    </xf>
    <xf numFmtId="165" fontId="19" fillId="49" borderId="0" xfId="1" applyNumberFormat="1" applyFont="1" applyFill="1" applyBorder="1" applyAlignment="1" applyProtection="1">
      <alignment horizontal="center"/>
    </xf>
    <xf numFmtId="0" fontId="102" fillId="49" borderId="31" xfId="0" applyFont="1" applyFill="1" applyBorder="1" applyAlignment="1" applyProtection="1">
      <alignment horizontal="center" wrapText="1"/>
    </xf>
    <xf numFmtId="6" fontId="95" fillId="49" borderId="0" xfId="0" applyNumberFormat="1" applyFont="1" applyFill="1" applyBorder="1" applyAlignment="1" applyProtection="1">
      <alignment horizontal="center"/>
    </xf>
    <xf numFmtId="0" fontId="37" fillId="49" borderId="0" xfId="0" applyFont="1" applyFill="1" applyBorder="1" applyProtection="1"/>
    <xf numFmtId="0" fontId="103" fillId="49" borderId="31" xfId="0" applyFont="1" applyFill="1" applyBorder="1" applyAlignment="1" applyProtection="1">
      <alignment horizontal="right"/>
    </xf>
    <xf numFmtId="9" fontId="19" fillId="49" borderId="41" xfId="2" applyFont="1" applyFill="1" applyBorder="1" applyAlignment="1" applyProtection="1">
      <alignment horizontal="center"/>
    </xf>
    <xf numFmtId="9" fontId="19" fillId="49" borderId="26" xfId="2" applyFont="1" applyFill="1" applyBorder="1" applyAlignment="1" applyProtection="1">
      <alignment horizontal="center"/>
    </xf>
    <xf numFmtId="9" fontId="19" fillId="49" borderId="0" xfId="2" applyFont="1" applyFill="1" applyBorder="1" applyAlignment="1" applyProtection="1">
      <alignment horizontal="center"/>
    </xf>
    <xf numFmtId="0" fontId="18" fillId="12" borderId="31" xfId="0" applyFont="1" applyFill="1" applyBorder="1" applyAlignment="1" applyProtection="1"/>
    <xf numFmtId="0" fontId="103" fillId="12" borderId="31" xfId="0" applyFont="1" applyFill="1" applyBorder="1" applyProtection="1"/>
    <xf numFmtId="0" fontId="5" fillId="49" borderId="0" xfId="0" applyFont="1" applyFill="1" applyBorder="1" applyAlignment="1">
      <alignment horizontal="right" vertical="center" wrapText="1"/>
    </xf>
    <xf numFmtId="6" fontId="0" fillId="49" borderId="0" xfId="0" applyNumberFormat="1" applyFill="1" applyBorder="1" applyAlignment="1">
      <alignment horizontal="center" vertical="center"/>
    </xf>
    <xf numFmtId="0" fontId="0" fillId="49" borderId="0" xfId="0" applyFill="1" applyBorder="1" applyAlignment="1">
      <alignment horizontal="center" vertical="center"/>
    </xf>
    <xf numFmtId="9" fontId="0" fillId="49" borderId="0" xfId="2" applyFont="1" applyFill="1" applyBorder="1" applyAlignment="1">
      <alignment horizontal="center" vertical="center"/>
    </xf>
    <xf numFmtId="9" fontId="0" fillId="49" borderId="0" xfId="2" applyFont="1" applyFill="1" applyBorder="1"/>
    <xf numFmtId="8" fontId="0" fillId="49" borderId="0" xfId="0" applyNumberFormat="1" applyFill="1" applyBorder="1"/>
    <xf numFmtId="164" fontId="0" fillId="49" borderId="0" xfId="0" applyNumberFormat="1" applyFill="1" applyBorder="1" applyAlignment="1">
      <alignment horizontal="center"/>
    </xf>
    <xf numFmtId="168" fontId="0" fillId="49" borderId="0" xfId="2" applyNumberFormat="1" applyFont="1" applyFill="1" applyBorder="1"/>
    <xf numFmtId="0" fontId="31" fillId="49" borderId="0" xfId="0" applyFont="1" applyFill="1" applyBorder="1" applyAlignment="1">
      <alignment horizontal="right" wrapText="1"/>
    </xf>
    <xf numFmtId="6" fontId="0" fillId="49" borderId="0" xfId="0" applyNumberFormat="1" applyFont="1" applyFill="1" applyBorder="1" applyAlignment="1">
      <alignment horizontal="right" vertical="center"/>
    </xf>
    <xf numFmtId="0" fontId="0" fillId="49" borderId="0" xfId="0" applyFont="1" applyFill="1" applyBorder="1" applyAlignment="1">
      <alignment horizontal="right" vertical="center"/>
    </xf>
    <xf numFmtId="8" fontId="0" fillId="49" borderId="0" xfId="0" applyNumberFormat="1" applyFont="1" applyFill="1" applyBorder="1" applyAlignment="1">
      <alignment horizontal="right" vertical="center"/>
    </xf>
    <xf numFmtId="0" fontId="65" fillId="49" borderId="0" xfId="0" applyFont="1" applyFill="1" applyBorder="1" applyAlignment="1">
      <alignment horizontal="right" wrapText="1"/>
    </xf>
    <xf numFmtId="1" fontId="0" fillId="49" borderId="0" xfId="0" applyNumberFormat="1" applyFont="1" applyFill="1" applyBorder="1" applyAlignment="1">
      <alignment horizontal="right" vertical="center"/>
    </xf>
    <xf numFmtId="14" fontId="0" fillId="3" borderId="7" xfId="0" applyNumberFormat="1" applyFill="1" applyBorder="1" applyAlignment="1">
      <alignment horizontal="center"/>
    </xf>
    <xf numFmtId="0" fontId="42" fillId="0" borderId="5" xfId="0" applyFont="1" applyFill="1" applyBorder="1" applyAlignment="1" applyProtection="1">
      <alignment wrapText="1"/>
    </xf>
    <xf numFmtId="0" fontId="42" fillId="12" borderId="0" xfId="0" applyFont="1" applyFill="1" applyBorder="1" applyAlignment="1" applyProtection="1">
      <alignment wrapText="1"/>
    </xf>
    <xf numFmtId="0" fontId="42" fillId="0" borderId="7" xfId="0" applyFont="1" applyFill="1" applyBorder="1" applyAlignment="1" applyProtection="1">
      <alignment wrapText="1"/>
    </xf>
    <xf numFmtId="0" fontId="0" fillId="0" borderId="0" xfId="0" applyFill="1" applyBorder="1" applyProtection="1"/>
    <xf numFmtId="6" fontId="42" fillId="0" borderId="0" xfId="0" applyNumberFormat="1" applyFont="1" applyFill="1" applyBorder="1" applyProtection="1"/>
    <xf numFmtId="168" fontId="6" fillId="3" borderId="4" xfId="2" applyNumberFormat="1" applyFont="1" applyFill="1" applyBorder="1" applyAlignment="1">
      <alignment horizontal="center" vertical="center"/>
    </xf>
    <xf numFmtId="168" fontId="6" fillId="3" borderId="6" xfId="2" applyNumberFormat="1" applyFont="1" applyFill="1" applyBorder="1" applyAlignment="1">
      <alignment horizontal="center" vertical="center"/>
    </xf>
    <xf numFmtId="168" fontId="6" fillId="3" borderId="9" xfId="2" applyNumberFormat="1" applyFont="1" applyFill="1" applyBorder="1" applyAlignment="1">
      <alignment horizontal="center" vertical="center"/>
    </xf>
    <xf numFmtId="0" fontId="49" fillId="4" borderId="68" xfId="0" applyFont="1" applyFill="1" applyBorder="1" applyAlignment="1">
      <alignment horizontal="center" wrapText="1"/>
    </xf>
    <xf numFmtId="0" fontId="57" fillId="14" borderId="5" xfId="0" applyFont="1" applyFill="1" applyBorder="1" applyProtection="1"/>
    <xf numFmtId="6" fontId="57" fillId="9" borderId="0" xfId="0" applyNumberFormat="1" applyFont="1" applyFill="1" applyProtection="1"/>
    <xf numFmtId="44" fontId="57" fillId="9" borderId="0" xfId="1" applyFont="1" applyFill="1" applyProtection="1"/>
    <xf numFmtId="44" fontId="57" fillId="9" borderId="0" xfId="0" applyNumberFormat="1" applyFont="1" applyFill="1" applyProtection="1"/>
    <xf numFmtId="0" fontId="2" fillId="7" borderId="24" xfId="2" applyNumberFormat="1" applyFont="1" applyFill="1" applyBorder="1" applyAlignment="1" applyProtection="1">
      <alignment horizontal="center" vertical="center"/>
      <protection locked="0"/>
    </xf>
    <xf numFmtId="172" fontId="2" fillId="7" borderId="24" xfId="2" applyNumberFormat="1" applyFont="1" applyFill="1" applyBorder="1" applyAlignment="1" applyProtection="1">
      <alignment horizontal="center" vertical="center"/>
      <protection locked="0"/>
    </xf>
    <xf numFmtId="6" fontId="62" fillId="7" borderId="24" xfId="3" applyNumberFormat="1" applyFont="1" applyFill="1" applyBorder="1" applyAlignment="1" applyProtection="1">
      <alignment horizontal="center" vertical="center"/>
      <protection locked="0"/>
    </xf>
    <xf numFmtId="169" fontId="2" fillId="7" borderId="24" xfId="2" applyNumberFormat="1" applyFont="1" applyFill="1" applyBorder="1" applyAlignment="1" applyProtection="1">
      <alignment horizontal="center" vertical="center"/>
      <protection locked="0"/>
    </xf>
    <xf numFmtId="14" fontId="2" fillId="7" borderId="24" xfId="2" applyNumberFormat="1" applyFont="1" applyFill="1" applyBorder="1" applyAlignment="1" applyProtection="1">
      <alignment horizontal="center" vertical="center"/>
      <protection locked="0"/>
    </xf>
    <xf numFmtId="10" fontId="64" fillId="7" borderId="30" xfId="2" applyNumberFormat="1" applyFont="1" applyFill="1" applyBorder="1" applyAlignment="1" applyProtection="1">
      <alignment horizontal="center" vertical="center"/>
      <protection locked="0"/>
    </xf>
    <xf numFmtId="0" fontId="64" fillId="7" borderId="31" xfId="3" applyNumberFormat="1" applyFont="1" applyFill="1" applyBorder="1" applyAlignment="1" applyProtection="1">
      <alignment horizontal="center" vertical="center"/>
      <protection locked="0"/>
    </xf>
    <xf numFmtId="10" fontId="64" fillId="7" borderId="32" xfId="2" applyNumberFormat="1" applyFont="1" applyFill="1" applyBorder="1" applyAlignment="1" applyProtection="1">
      <alignment horizontal="center" vertical="center"/>
      <protection locked="0"/>
    </xf>
    <xf numFmtId="6" fontId="64" fillId="7" borderId="28" xfId="3" applyNumberFormat="1" applyFont="1" applyFill="1" applyBorder="1" applyAlignment="1" applyProtection="1">
      <alignment horizontal="center" vertical="center"/>
      <protection locked="0"/>
    </xf>
    <xf numFmtId="8" fontId="64" fillId="7" borderId="29" xfId="3" applyNumberFormat="1" applyFont="1" applyFill="1" applyBorder="1" applyAlignment="1" applyProtection="1">
      <alignment horizontal="center" vertical="center"/>
      <protection locked="0"/>
    </xf>
    <xf numFmtId="14" fontId="5" fillId="7" borderId="24" xfId="2" applyNumberFormat="1" applyFont="1" applyFill="1" applyBorder="1" applyAlignment="1" applyProtection="1">
      <protection locked="0"/>
    </xf>
    <xf numFmtId="8" fontId="13" fillId="4" borderId="0" xfId="0" applyNumberFormat="1" applyFont="1" applyFill="1" applyBorder="1" applyAlignment="1" applyProtection="1">
      <alignment horizontal="center" vertical="center"/>
    </xf>
    <xf numFmtId="8" fontId="69" fillId="4" borderId="0" xfId="0" applyNumberFormat="1" applyFont="1" applyFill="1" applyBorder="1" applyAlignment="1" applyProtection="1">
      <alignment horizontal="center" vertical="center"/>
    </xf>
    <xf numFmtId="8" fontId="50" fillId="4" borderId="0" xfId="3" applyNumberFormat="1" applyFont="1" applyFill="1" applyBorder="1" applyAlignment="1" applyProtection="1">
      <alignment horizontal="center" vertical="center"/>
    </xf>
    <xf numFmtId="8" fontId="66" fillId="3" borderId="0" xfId="0" applyNumberFormat="1" applyFont="1" applyFill="1" applyBorder="1" applyAlignment="1" applyProtection="1">
      <alignment horizontal="center"/>
    </xf>
    <xf numFmtId="0" fontId="6" fillId="4" borderId="0" xfId="0" applyFont="1" applyFill="1" applyBorder="1" applyAlignment="1" applyProtection="1">
      <alignment horizontal="center" vertical="center" wrapText="1"/>
    </xf>
    <xf numFmtId="0" fontId="110" fillId="4" borderId="0" xfId="4" applyFont="1" applyFill="1" applyBorder="1" applyAlignment="1" applyProtection="1">
      <alignment horizontal="center" vertical="center" wrapText="1"/>
    </xf>
    <xf numFmtId="0" fontId="2" fillId="4" borderId="0" xfId="0" applyFont="1" applyFill="1" applyBorder="1" applyAlignment="1" applyProtection="1">
      <alignment horizontal="left" vertical="center"/>
    </xf>
    <xf numFmtId="0" fontId="61" fillId="4" borderId="0" xfId="0" applyFont="1" applyFill="1" applyBorder="1" applyAlignment="1" applyProtection="1">
      <alignment horizontal="center" vertical="top"/>
    </xf>
    <xf numFmtId="0" fontId="29" fillId="4" borderId="0" xfId="0" applyFont="1" applyFill="1" applyBorder="1" applyAlignment="1" applyProtection="1">
      <alignment horizontal="left" vertical="top"/>
    </xf>
    <xf numFmtId="0" fontId="0" fillId="3" borderId="0" xfId="0" applyFill="1" applyBorder="1" applyAlignment="1" applyProtection="1">
      <alignment horizontal="center" wrapText="1"/>
    </xf>
    <xf numFmtId="170" fontId="0" fillId="14" borderId="0" xfId="0" applyNumberFormat="1" applyFill="1" applyBorder="1" applyProtection="1"/>
    <xf numFmtId="44" fontId="0" fillId="14" borderId="0" xfId="1" applyFont="1" applyFill="1" applyBorder="1" applyProtection="1"/>
    <xf numFmtId="9" fontId="0" fillId="14" borderId="0" xfId="2" applyFont="1" applyFill="1" applyBorder="1" applyProtection="1"/>
    <xf numFmtId="6" fontId="0" fillId="14" borderId="0" xfId="0" applyNumberFormat="1" applyFill="1" applyBorder="1" applyAlignment="1" applyProtection="1">
      <alignment horizontal="right"/>
    </xf>
    <xf numFmtId="0" fontId="1" fillId="5" borderId="5" xfId="0" applyFont="1" applyFill="1" applyBorder="1" applyAlignment="1" applyProtection="1">
      <alignment horizontal="center"/>
    </xf>
    <xf numFmtId="0" fontId="57" fillId="5" borderId="0" xfId="0" applyFont="1" applyFill="1" applyBorder="1" applyAlignment="1" applyProtection="1">
      <alignment horizontal="center"/>
    </xf>
    <xf numFmtId="0" fontId="70" fillId="5" borderId="0" xfId="0" applyNumberFormat="1" applyFont="1" applyFill="1" applyBorder="1" applyAlignment="1" applyProtection="1">
      <alignment horizontal="center"/>
    </xf>
    <xf numFmtId="0" fontId="70" fillId="14" borderId="0" xfId="0" applyNumberFormat="1" applyFont="1" applyFill="1" applyBorder="1" applyAlignment="1" applyProtection="1">
      <alignment horizontal="center"/>
    </xf>
    <xf numFmtId="0" fontId="57" fillId="14" borderId="0" xfId="0" applyFont="1" applyFill="1" applyAlignment="1" applyProtection="1">
      <alignment horizontal="center"/>
    </xf>
    <xf numFmtId="0" fontId="34" fillId="4" borderId="0" xfId="4" applyFont="1" applyFill="1" applyBorder="1" applyAlignment="1" applyProtection="1">
      <alignment horizontal="center" vertical="top" wrapText="1"/>
    </xf>
    <xf numFmtId="0" fontId="57" fillId="4" borderId="0" xfId="0" applyFont="1" applyFill="1" applyBorder="1" applyAlignment="1" applyProtection="1">
      <alignment horizontal="center" vertical="top"/>
    </xf>
    <xf numFmtId="0" fontId="2" fillId="7" borderId="24" xfId="0" applyFont="1" applyFill="1" applyBorder="1" applyAlignment="1" applyProtection="1">
      <alignment horizontal="center"/>
      <protection locked="0"/>
    </xf>
    <xf numFmtId="169" fontId="2" fillId="7" borderId="24" xfId="0" applyNumberFormat="1" applyFont="1" applyFill="1" applyBorder="1" applyAlignment="1" applyProtection="1">
      <alignment horizontal="right" vertical="center"/>
      <protection locked="0"/>
    </xf>
    <xf numFmtId="0" fontId="0" fillId="6" borderId="25" xfId="0" applyFill="1" applyBorder="1" applyProtection="1"/>
    <xf numFmtId="0" fontId="0" fillId="6" borderId="26" xfId="0" applyFill="1" applyBorder="1" applyProtection="1"/>
    <xf numFmtId="0" fontId="30" fillId="6" borderId="26" xfId="0" applyFont="1" applyFill="1" applyBorder="1" applyAlignment="1" applyProtection="1">
      <alignment horizontal="center"/>
    </xf>
    <xf numFmtId="0" fontId="0" fillId="6" borderId="0" xfId="0" applyFill="1" applyProtection="1"/>
    <xf numFmtId="0" fontId="0" fillId="6" borderId="28" xfId="0" applyFill="1" applyBorder="1" applyProtection="1"/>
    <xf numFmtId="0" fontId="0" fillId="3" borderId="2" xfId="0" applyFill="1" applyBorder="1" applyProtection="1"/>
    <xf numFmtId="0" fontId="0" fillId="6" borderId="0" xfId="0" applyFill="1" applyBorder="1" applyProtection="1"/>
    <xf numFmtId="0" fontId="0" fillId="3" borderId="0" xfId="0" applyFill="1" applyBorder="1" applyAlignment="1" applyProtection="1">
      <alignment wrapText="1"/>
    </xf>
    <xf numFmtId="0" fontId="0" fillId="3" borderId="5" xfId="0" applyFill="1" applyBorder="1" applyProtection="1"/>
    <xf numFmtId="0" fontId="6" fillId="3" borderId="0" xfId="0" applyFont="1" applyFill="1" applyBorder="1" applyAlignment="1" applyProtection="1">
      <alignment horizontal="right"/>
    </xf>
    <xf numFmtId="0" fontId="0" fillId="2" borderId="57" xfId="0" applyFill="1" applyBorder="1" applyProtection="1"/>
    <xf numFmtId="0" fontId="6" fillId="3" borderId="0" xfId="0" applyFont="1" applyFill="1" applyBorder="1" applyProtection="1"/>
    <xf numFmtId="0" fontId="0" fillId="2" borderId="50" xfId="0" applyFill="1" applyBorder="1" applyProtection="1"/>
    <xf numFmtId="0" fontId="10" fillId="3" borderId="6" xfId="0" applyFont="1" applyFill="1" applyBorder="1" applyAlignment="1" applyProtection="1">
      <alignment horizontal="center"/>
    </xf>
    <xf numFmtId="0" fontId="0" fillId="3" borderId="1" xfId="0" applyFill="1" applyBorder="1" applyProtection="1"/>
    <xf numFmtId="0" fontId="4" fillId="3" borderId="0" xfId="0" applyFont="1" applyFill="1" applyBorder="1" applyProtection="1"/>
    <xf numFmtId="14" fontId="0" fillId="7" borderId="10" xfId="0" applyNumberFormat="1" applyFill="1" applyBorder="1" applyProtection="1"/>
    <xf numFmtId="0" fontId="0" fillId="3" borderId="17" xfId="0" applyFill="1" applyBorder="1" applyProtection="1"/>
    <xf numFmtId="0" fontId="2" fillId="3" borderId="18" xfId="0" applyFont="1" applyFill="1" applyBorder="1" applyProtection="1"/>
    <xf numFmtId="0" fontId="0" fillId="3" borderId="18" xfId="0" applyFill="1" applyBorder="1" applyProtection="1"/>
    <xf numFmtId="0" fontId="0" fillId="3" borderId="19" xfId="0" applyFill="1" applyBorder="1" applyProtection="1"/>
    <xf numFmtId="0" fontId="0" fillId="3" borderId="0" xfId="0" applyFill="1" applyBorder="1" applyAlignment="1" applyProtection="1">
      <alignment horizontal="right"/>
    </xf>
    <xf numFmtId="0" fontId="21" fillId="4" borderId="10" xfId="0" applyFont="1" applyFill="1" applyBorder="1" applyProtection="1"/>
    <xf numFmtId="164" fontId="0" fillId="7" borderId="10" xfId="0" applyNumberFormat="1" applyFill="1" applyBorder="1" applyProtection="1"/>
    <xf numFmtId="0" fontId="16" fillId="3" borderId="0" xfId="0" applyFont="1" applyFill="1" applyBorder="1" applyAlignment="1" applyProtection="1">
      <alignment horizontal="center"/>
    </xf>
    <xf numFmtId="0" fontId="2" fillId="3" borderId="1" xfId="0" applyFont="1" applyFill="1" applyBorder="1" applyProtection="1"/>
    <xf numFmtId="164" fontId="0" fillId="8" borderId="10" xfId="0" applyNumberFormat="1" applyFill="1" applyBorder="1" applyProtection="1"/>
    <xf numFmtId="165" fontId="0" fillId="8" borderId="10" xfId="0" applyNumberFormat="1" applyFill="1" applyBorder="1" applyProtection="1"/>
    <xf numFmtId="0" fontId="0" fillId="5" borderId="10" xfId="0" applyFill="1" applyBorder="1" applyAlignment="1" applyProtection="1">
      <alignment horizontal="center"/>
    </xf>
    <xf numFmtId="10" fontId="0" fillId="8" borderId="10" xfId="2" applyNumberFormat="1" applyFont="1" applyFill="1" applyBorder="1" applyProtection="1"/>
    <xf numFmtId="164" fontId="0" fillId="4" borderId="10" xfId="0" applyNumberFormat="1" applyFill="1" applyBorder="1" applyProtection="1"/>
    <xf numFmtId="14" fontId="0" fillId="8" borderId="10" xfId="0" applyNumberFormat="1" applyFill="1" applyBorder="1" applyProtection="1"/>
    <xf numFmtId="0" fontId="0" fillId="4" borderId="33" xfId="0" applyFill="1" applyBorder="1" applyAlignment="1" applyProtection="1">
      <alignment horizontal="center"/>
    </xf>
    <xf numFmtId="0" fontId="0" fillId="4" borderId="34" xfId="0" applyFill="1" applyBorder="1" applyAlignment="1" applyProtection="1">
      <alignment horizontal="center"/>
    </xf>
    <xf numFmtId="0" fontId="16" fillId="3" borderId="6" xfId="0" applyFont="1" applyFill="1" applyBorder="1" applyAlignment="1" applyProtection="1">
      <alignment horizontal="right"/>
    </xf>
    <xf numFmtId="0" fontId="0" fillId="8" borderId="10" xfId="2" applyNumberFormat="1" applyFont="1" applyFill="1" applyBorder="1" applyProtection="1"/>
    <xf numFmtId="14" fontId="0" fillId="4" borderId="35" xfId="0" applyNumberFormat="1" applyFill="1" applyBorder="1" applyAlignment="1" applyProtection="1">
      <alignment horizontal="center"/>
    </xf>
    <xf numFmtId="0" fontId="17" fillId="3" borderId="0" xfId="0" applyFont="1" applyFill="1" applyBorder="1" applyAlignment="1" applyProtection="1">
      <alignment horizontal="center"/>
    </xf>
    <xf numFmtId="0" fontId="0" fillId="3" borderId="0" xfId="0" applyFill="1" applyBorder="1" applyAlignment="1" applyProtection="1">
      <alignment horizontal="left"/>
    </xf>
    <xf numFmtId="10" fontId="0" fillId="8" borderId="10" xfId="2" applyNumberFormat="1" applyFont="1" applyFill="1" applyBorder="1" applyAlignment="1" applyProtection="1">
      <alignment horizontal="center"/>
    </xf>
    <xf numFmtId="0" fontId="0" fillId="8" borderId="10" xfId="0" applyFill="1" applyBorder="1" applyAlignment="1" applyProtection="1">
      <alignment horizontal="center"/>
    </xf>
    <xf numFmtId="0" fontId="17" fillId="3" borderId="6" xfId="0" applyFont="1" applyFill="1" applyBorder="1" applyAlignment="1" applyProtection="1">
      <alignment horizontal="center"/>
    </xf>
    <xf numFmtId="165" fontId="0" fillId="4" borderId="0" xfId="0" applyNumberFormat="1" applyFill="1" applyBorder="1" applyProtection="1"/>
    <xf numFmtId="0" fontId="0" fillId="7" borderId="28" xfId="0" applyFill="1" applyBorder="1" applyProtection="1"/>
    <xf numFmtId="0" fontId="0" fillId="7" borderId="5" xfId="0" applyFill="1" applyBorder="1" applyProtection="1"/>
    <xf numFmtId="0" fontId="0" fillId="7" borderId="1" xfId="0" applyFill="1" applyBorder="1" applyProtection="1"/>
    <xf numFmtId="0" fontId="0" fillId="7" borderId="0" xfId="0" applyFill="1" applyBorder="1" applyProtection="1"/>
    <xf numFmtId="0" fontId="0" fillId="7" borderId="19" xfId="0" applyFill="1" applyBorder="1" applyProtection="1"/>
    <xf numFmtId="0" fontId="16" fillId="7" borderId="0" xfId="0" applyFont="1" applyFill="1" applyBorder="1" applyAlignment="1" applyProtection="1">
      <alignment horizontal="right"/>
    </xf>
    <xf numFmtId="0" fontId="2" fillId="7" borderId="0" xfId="0" applyFont="1" applyFill="1" applyBorder="1" applyAlignment="1" applyProtection="1">
      <alignment horizontal="right"/>
    </xf>
    <xf numFmtId="10" fontId="0" fillId="7" borderId="10" xfId="2" applyNumberFormat="1" applyFont="1" applyFill="1" applyBorder="1" applyAlignment="1" applyProtection="1">
      <alignment horizontal="center"/>
    </xf>
    <xf numFmtId="0" fontId="0" fillId="7" borderId="10" xfId="0" applyFill="1" applyBorder="1" applyAlignment="1" applyProtection="1">
      <alignment horizontal="center"/>
    </xf>
    <xf numFmtId="0" fontId="17" fillId="7" borderId="6" xfId="0" applyFont="1" applyFill="1" applyBorder="1" applyAlignment="1" applyProtection="1">
      <alignment horizontal="center"/>
    </xf>
    <xf numFmtId="0" fontId="2" fillId="7" borderId="1" xfId="0" applyFont="1" applyFill="1" applyBorder="1" applyProtection="1"/>
    <xf numFmtId="0" fontId="0" fillId="7" borderId="38" xfId="0" applyFill="1" applyBorder="1" applyAlignment="1" applyProtection="1">
      <alignment horizontal="right"/>
    </xf>
    <xf numFmtId="0" fontId="0" fillId="7" borderId="37" xfId="0" applyFill="1" applyBorder="1" applyAlignment="1" applyProtection="1">
      <alignment horizontal="right"/>
    </xf>
    <xf numFmtId="0" fontId="0" fillId="0" borderId="0" xfId="0" applyFill="1" applyProtection="1"/>
    <xf numFmtId="0" fontId="0" fillId="7" borderId="0" xfId="0" applyFill="1" applyBorder="1" applyAlignment="1" applyProtection="1">
      <alignment horizontal="center"/>
    </xf>
    <xf numFmtId="0" fontId="0" fillId="7" borderId="6" xfId="0" applyFill="1" applyBorder="1" applyProtection="1"/>
    <xf numFmtId="165" fontId="0" fillId="7" borderId="0" xfId="0" applyNumberFormat="1" applyFill="1" applyBorder="1" applyProtection="1"/>
    <xf numFmtId="165" fontId="0" fillId="7" borderId="6" xfId="2" applyNumberFormat="1" applyFont="1" applyFill="1" applyBorder="1" applyAlignment="1" applyProtection="1">
      <alignment horizontal="center"/>
    </xf>
    <xf numFmtId="0" fontId="35" fillId="7" borderId="0" xfId="0" applyFont="1" applyFill="1" applyBorder="1" applyAlignment="1" applyProtection="1">
      <alignment horizontal="right"/>
    </xf>
    <xf numFmtId="0" fontId="6" fillId="7" borderId="24" xfId="0" applyFont="1" applyFill="1" applyBorder="1" applyAlignment="1" applyProtection="1">
      <alignment horizontal="center"/>
    </xf>
    <xf numFmtId="0" fontId="26" fillId="7" borderId="0" xfId="4" applyFill="1" applyBorder="1" applyAlignment="1" applyProtection="1">
      <alignment horizontal="center"/>
    </xf>
    <xf numFmtId="0" fontId="26" fillId="7" borderId="0" xfId="4" applyFont="1" applyFill="1" applyBorder="1" applyAlignment="1" applyProtection="1">
      <alignment horizontal="center"/>
    </xf>
    <xf numFmtId="0" fontId="16" fillId="7" borderId="6" xfId="0" applyFont="1" applyFill="1" applyBorder="1" applyAlignment="1" applyProtection="1">
      <alignment horizontal="right"/>
    </xf>
    <xf numFmtId="165" fontId="0" fillId="8" borderId="6" xfId="2" applyNumberFormat="1" applyFont="1" applyFill="1" applyBorder="1" applyAlignment="1" applyProtection="1">
      <alignment horizontal="center"/>
    </xf>
    <xf numFmtId="0" fontId="0" fillId="3" borderId="28" xfId="0" applyFill="1" applyBorder="1" applyAlignment="1" applyProtection="1">
      <alignment horizontal="center" wrapText="1"/>
    </xf>
    <xf numFmtId="0" fontId="0" fillId="3" borderId="29" xfId="0" applyFill="1" applyBorder="1" applyAlignment="1" applyProtection="1">
      <alignment horizontal="center" wrapText="1"/>
    </xf>
    <xf numFmtId="0" fontId="0" fillId="3" borderId="7" xfId="0" applyFill="1" applyBorder="1" applyProtection="1"/>
    <xf numFmtId="169" fontId="37" fillId="7" borderId="24" xfId="2" applyNumberFormat="1" applyFont="1" applyFill="1" applyBorder="1" applyAlignment="1" applyProtection="1">
      <alignment horizontal="center" vertical="center"/>
    </xf>
    <xf numFmtId="0" fontId="37" fillId="7" borderId="24" xfId="3" applyNumberFormat="1" applyFont="1" applyFill="1" applyBorder="1" applyAlignment="1" applyProtection="1">
      <alignment horizontal="center" vertical="center"/>
    </xf>
    <xf numFmtId="0" fontId="0" fillId="3" borderId="20" xfId="0" applyFill="1" applyBorder="1" applyProtection="1"/>
    <xf numFmtId="0" fontId="0" fillId="3" borderId="21" xfId="0" applyFill="1" applyBorder="1" applyProtection="1"/>
    <xf numFmtId="0" fontId="0" fillId="3" borderId="22" xfId="0" applyFill="1" applyBorder="1" applyProtection="1"/>
    <xf numFmtId="0" fontId="0" fillId="3" borderId="23" xfId="0" applyFill="1" applyBorder="1" applyProtection="1"/>
    <xf numFmtId="0" fontId="0" fillId="2" borderId="25" xfId="0" applyFill="1" applyBorder="1" applyProtection="1"/>
    <xf numFmtId="0" fontId="0" fillId="2" borderId="26" xfId="0" applyFill="1" applyBorder="1" applyProtection="1"/>
    <xf numFmtId="0" fontId="36" fillId="2" borderId="25" xfId="0" applyFont="1" applyFill="1" applyBorder="1" applyAlignment="1" applyProtection="1">
      <alignment horizontal="center" vertical="center" wrapText="1"/>
    </xf>
    <xf numFmtId="0" fontId="0" fillId="2" borderId="27" xfId="0" applyFill="1" applyBorder="1" applyProtection="1"/>
    <xf numFmtId="0" fontId="0" fillId="2" borderId="27" xfId="0" applyFill="1" applyBorder="1" applyAlignment="1" applyProtection="1">
      <alignment horizontal="center"/>
    </xf>
    <xf numFmtId="0" fontId="0" fillId="2" borderId="28" xfId="0" applyFill="1" applyBorder="1" applyProtection="1"/>
    <xf numFmtId="0" fontId="0" fillId="2" borderId="29" xfId="0" applyFill="1" applyBorder="1" applyAlignment="1" applyProtection="1">
      <alignment horizontal="center"/>
    </xf>
    <xf numFmtId="1" fontId="10" fillId="2" borderId="0" xfId="0" applyNumberFormat="1" applyFont="1" applyFill="1" applyBorder="1" applyAlignment="1" applyProtection="1">
      <alignment horizontal="center"/>
    </xf>
    <xf numFmtId="1" fontId="10" fillId="2" borderId="29" xfId="0" applyNumberFormat="1" applyFont="1" applyFill="1" applyBorder="1" applyAlignment="1" applyProtection="1">
      <alignment horizontal="center"/>
    </xf>
    <xf numFmtId="0" fontId="10" fillId="2" borderId="29" xfId="0" applyFont="1" applyFill="1" applyBorder="1" applyAlignment="1" applyProtection="1">
      <alignment horizontal="center"/>
    </xf>
    <xf numFmtId="0" fontId="31" fillId="2" borderId="0" xfId="0" applyFont="1" applyFill="1" applyBorder="1" applyProtection="1"/>
    <xf numFmtId="14" fontId="31" fillId="2" borderId="0" xfId="0" applyNumberFormat="1" applyFont="1" applyFill="1" applyBorder="1" applyAlignment="1" applyProtection="1">
      <alignment horizontal="center"/>
    </xf>
    <xf numFmtId="14" fontId="31" fillId="2" borderId="29" xfId="0" applyNumberFormat="1" applyFont="1" applyFill="1" applyBorder="1" applyAlignment="1" applyProtection="1">
      <alignment horizontal="center"/>
    </xf>
    <xf numFmtId="14" fontId="0" fillId="2" borderId="29" xfId="0" applyNumberFormat="1" applyFill="1" applyBorder="1" applyAlignment="1" applyProtection="1">
      <alignment horizontal="center"/>
    </xf>
    <xf numFmtId="0" fontId="9" fillId="2" borderId="0" xfId="0" applyFont="1" applyFill="1" applyBorder="1" applyAlignment="1" applyProtection="1"/>
    <xf numFmtId="0" fontId="9" fillId="2" borderId="0" xfId="0" applyFont="1" applyFill="1" applyBorder="1" applyProtection="1"/>
    <xf numFmtId="164" fontId="9" fillId="2" borderId="0" xfId="1" applyNumberFormat="1" applyFont="1" applyFill="1" applyBorder="1" applyProtection="1"/>
    <xf numFmtId="0" fontId="0" fillId="2" borderId="29" xfId="0" applyFill="1" applyBorder="1" applyProtection="1"/>
    <xf numFmtId="0" fontId="37" fillId="16" borderId="0" xfId="0" applyFont="1" applyFill="1" applyBorder="1" applyProtection="1"/>
    <xf numFmtId="0" fontId="0" fillId="2" borderId="0" xfId="0" applyFont="1" applyFill="1" applyBorder="1" applyAlignment="1" applyProtection="1"/>
    <xf numFmtId="8" fontId="0" fillId="2" borderId="0" xfId="2" applyNumberFormat="1" applyFont="1" applyFill="1" applyBorder="1" applyProtection="1"/>
    <xf numFmtId="8" fontId="0" fillId="2" borderId="0" xfId="0" applyNumberFormat="1" applyFill="1" applyBorder="1" applyProtection="1"/>
    <xf numFmtId="8" fontId="0" fillId="2" borderId="29" xfId="0" applyNumberFormat="1" applyFill="1" applyBorder="1" applyProtection="1"/>
    <xf numFmtId="8" fontId="37" fillId="16" borderId="0" xfId="0" applyNumberFormat="1" applyFont="1" applyFill="1" applyBorder="1" applyProtection="1"/>
    <xf numFmtId="0" fontId="9" fillId="2" borderId="0" xfId="0" applyFont="1" applyFill="1" applyBorder="1" applyAlignment="1" applyProtection="1">
      <alignment horizontal="left" indent="1"/>
    </xf>
    <xf numFmtId="10" fontId="8" fillId="2" borderId="0" xfId="2" applyNumberFormat="1" applyFont="1" applyFill="1" applyBorder="1" applyProtection="1"/>
    <xf numFmtId="10" fontId="8" fillId="2" borderId="29" xfId="2" applyNumberFormat="1" applyFont="1" applyFill="1" applyBorder="1" applyProtection="1"/>
    <xf numFmtId="0" fontId="0" fillId="2" borderId="0" xfId="0" applyFont="1" applyFill="1" applyBorder="1" applyAlignment="1" applyProtection="1">
      <alignment horizontal="left" indent="1"/>
    </xf>
    <xf numFmtId="8" fontId="12" fillId="2" borderId="0" xfId="1" applyNumberFormat="1" applyFont="1" applyFill="1" applyBorder="1" applyProtection="1"/>
    <xf numFmtId="8" fontId="12" fillId="2" borderId="29" xfId="1" applyNumberFormat="1" applyFont="1" applyFill="1" applyBorder="1" applyProtection="1"/>
    <xf numFmtId="164" fontId="0" fillId="2" borderId="29" xfId="0" applyNumberFormat="1" applyFill="1" applyBorder="1" applyAlignment="1" applyProtection="1">
      <alignment horizontal="center"/>
    </xf>
    <xf numFmtId="164" fontId="0" fillId="2" borderId="0" xfId="1" applyNumberFormat="1" applyFont="1" applyFill="1" applyBorder="1" applyProtection="1"/>
    <xf numFmtId="164" fontId="0" fillId="2" borderId="29" xfId="1" applyNumberFormat="1" applyFont="1" applyFill="1" applyBorder="1" applyProtection="1"/>
    <xf numFmtId="164" fontId="0" fillId="16" borderId="0" xfId="1" applyNumberFormat="1" applyFont="1" applyFill="1" applyBorder="1" applyProtection="1"/>
    <xf numFmtId="0" fontId="9" fillId="2" borderId="0" xfId="0" applyFont="1" applyFill="1" applyBorder="1" applyAlignment="1" applyProtection="1">
      <alignment wrapText="1"/>
    </xf>
    <xf numFmtId="164" fontId="9" fillId="16" borderId="0" xfId="1" applyNumberFormat="1" applyFont="1" applyFill="1" applyBorder="1" applyProtection="1"/>
    <xf numFmtId="164" fontId="9" fillId="2" borderId="0" xfId="0" applyNumberFormat="1" applyFont="1" applyFill="1" applyBorder="1" applyProtection="1"/>
    <xf numFmtId="164" fontId="9" fillId="2" borderId="29" xfId="0" applyNumberFormat="1" applyFont="1" applyFill="1" applyBorder="1" applyProtection="1"/>
    <xf numFmtId="10" fontId="9" fillId="10" borderId="0" xfId="2" applyNumberFormat="1" applyFont="1" applyFill="1" applyBorder="1" applyProtection="1"/>
    <xf numFmtId="10" fontId="9" fillId="10" borderId="29" xfId="2" applyNumberFormat="1" applyFont="1" applyFill="1" applyBorder="1" applyProtection="1"/>
    <xf numFmtId="10" fontId="9" fillId="2" borderId="0" xfId="2" applyNumberFormat="1" applyFont="1" applyFill="1" applyBorder="1" applyProtection="1"/>
    <xf numFmtId="10" fontId="9" fillId="2" borderId="29" xfId="2" applyNumberFormat="1" applyFont="1" applyFill="1" applyBorder="1" applyProtection="1"/>
    <xf numFmtId="164" fontId="9" fillId="2" borderId="0" xfId="2" applyNumberFormat="1" applyFont="1" applyFill="1" applyBorder="1" applyProtection="1"/>
    <xf numFmtId="164" fontId="9" fillId="2" borderId="29" xfId="2" applyNumberFormat="1" applyFont="1" applyFill="1" applyBorder="1" applyProtection="1"/>
    <xf numFmtId="164" fontId="12" fillId="2" borderId="0" xfId="0" applyNumberFormat="1" applyFont="1" applyFill="1" applyBorder="1" applyProtection="1"/>
    <xf numFmtId="164" fontId="12" fillId="2" borderId="29" xfId="0" applyNumberFormat="1" applyFont="1" applyFill="1" applyBorder="1" applyProtection="1"/>
    <xf numFmtId="8" fontId="12" fillId="2" borderId="29" xfId="0" applyNumberFormat="1" applyFont="1" applyFill="1" applyBorder="1" applyAlignment="1" applyProtection="1">
      <alignment horizontal="center"/>
    </xf>
    <xf numFmtId="164" fontId="10" fillId="2" borderId="0" xfId="0" applyNumberFormat="1" applyFont="1" applyFill="1" applyBorder="1" applyProtection="1"/>
    <xf numFmtId="164" fontId="10" fillId="2" borderId="29" xfId="0" applyNumberFormat="1" applyFont="1" applyFill="1" applyBorder="1" applyProtection="1"/>
    <xf numFmtId="0" fontId="20" fillId="2" borderId="0" xfId="0" applyFont="1" applyFill="1" applyBorder="1" applyAlignment="1" applyProtection="1">
      <alignment wrapText="1"/>
    </xf>
    <xf numFmtId="164" fontId="9" fillId="16" borderId="0" xfId="0" applyNumberFormat="1" applyFont="1" applyFill="1" applyBorder="1" applyProtection="1"/>
    <xf numFmtId="6" fontId="48" fillId="2" borderId="39" xfId="3" applyNumberFormat="1" applyFont="1" applyFill="1" applyBorder="1" applyAlignment="1" applyProtection="1">
      <alignment horizontal="center"/>
    </xf>
    <xf numFmtId="0" fontId="9" fillId="7" borderId="0" xfId="0" applyFont="1" applyFill="1" applyBorder="1" applyAlignment="1" applyProtection="1">
      <alignment horizontal="left" indent="1"/>
    </xf>
    <xf numFmtId="0" fontId="9" fillId="7" borderId="0" xfId="0" applyFont="1" applyFill="1" applyBorder="1" applyProtection="1"/>
    <xf numFmtId="164" fontId="24" fillId="2" borderId="0" xfId="2" applyNumberFormat="1" applyFont="1" applyFill="1" applyBorder="1" applyProtection="1"/>
    <xf numFmtId="169" fontId="47" fillId="2" borderId="0" xfId="2" applyNumberFormat="1" applyFont="1" applyFill="1" applyBorder="1" applyProtection="1"/>
    <xf numFmtId="8" fontId="12" fillId="2" borderId="0" xfId="0" applyNumberFormat="1" applyFont="1" applyFill="1" applyBorder="1" applyProtection="1"/>
    <xf numFmtId="8" fontId="11" fillId="2" borderId="0" xfId="0" applyNumberFormat="1" applyFont="1" applyFill="1" applyBorder="1" applyProtection="1"/>
    <xf numFmtId="8" fontId="11" fillId="2" borderId="29" xfId="0" applyNumberFormat="1" applyFont="1" applyFill="1" applyBorder="1" applyProtection="1"/>
    <xf numFmtId="0" fontId="20" fillId="2" borderId="0" xfId="0" applyFont="1" applyFill="1" applyBorder="1" applyAlignment="1" applyProtection="1">
      <alignment horizontal="right" indent="1"/>
    </xf>
    <xf numFmtId="6" fontId="20" fillId="2" borderId="0" xfId="0" applyNumberFormat="1" applyFont="1" applyFill="1" applyBorder="1" applyAlignment="1" applyProtection="1">
      <alignment horizontal="center"/>
    </xf>
    <xf numFmtId="171" fontId="11" fillId="2" borderId="0" xfId="0" applyNumberFormat="1" applyFont="1" applyFill="1" applyBorder="1" applyProtection="1"/>
    <xf numFmtId="0" fontId="0" fillId="0" borderId="24" xfId="0" applyBorder="1" applyProtection="1"/>
    <xf numFmtId="0" fontId="3" fillId="2" borderId="0" xfId="0" applyFont="1" applyFill="1" applyBorder="1" applyProtection="1"/>
    <xf numFmtId="0" fontId="20" fillId="2" borderId="0" xfId="0" applyFont="1" applyFill="1" applyBorder="1" applyProtection="1"/>
    <xf numFmtId="166" fontId="0" fillId="2" borderId="0" xfId="0" applyNumberFormat="1" applyFill="1" applyBorder="1" applyProtection="1"/>
    <xf numFmtId="8" fontId="20" fillId="2" borderId="0" xfId="0" applyNumberFormat="1" applyFont="1" applyFill="1" applyBorder="1" applyProtection="1"/>
    <xf numFmtId="0" fontId="13" fillId="2" borderId="0" xfId="0" applyFont="1" applyFill="1" applyBorder="1" applyProtection="1"/>
    <xf numFmtId="8" fontId="14" fillId="2" borderId="0" xfId="0" applyNumberFormat="1" applyFont="1" applyFill="1" applyBorder="1" applyProtection="1"/>
    <xf numFmtId="8" fontId="14" fillId="2" borderId="29" xfId="0" applyNumberFormat="1" applyFont="1" applyFill="1" applyBorder="1" applyProtection="1"/>
    <xf numFmtId="8" fontId="14" fillId="2" borderId="29" xfId="0" applyNumberFormat="1" applyFont="1" applyFill="1" applyBorder="1" applyAlignment="1" applyProtection="1">
      <alignment horizontal="center"/>
    </xf>
    <xf numFmtId="0" fontId="18" fillId="2" borderId="0" xfId="0" applyFont="1" applyFill="1" applyBorder="1" applyAlignment="1" applyProtection="1">
      <alignment horizontal="left" wrapText="1" indent="1"/>
    </xf>
    <xf numFmtId="0" fontId="9" fillId="2" borderId="29" xfId="0" applyFont="1" applyFill="1" applyBorder="1" applyAlignment="1" applyProtection="1">
      <alignment horizontal="center"/>
    </xf>
    <xf numFmtId="0" fontId="9" fillId="7" borderId="0" xfId="0" applyFont="1" applyFill="1" applyBorder="1" applyAlignment="1" applyProtection="1">
      <alignment horizontal="left" indent="2"/>
    </xf>
    <xf numFmtId="164" fontId="9" fillId="7" borderId="0" xfId="0" applyNumberFormat="1" applyFont="1" applyFill="1" applyBorder="1" applyProtection="1"/>
    <xf numFmtId="164" fontId="9" fillId="7" borderId="29" xfId="0" applyNumberFormat="1" applyFont="1" applyFill="1" applyBorder="1" applyProtection="1"/>
    <xf numFmtId="0" fontId="20" fillId="7" borderId="0" xfId="0" applyFont="1" applyFill="1" applyBorder="1" applyAlignment="1" applyProtection="1">
      <alignment horizontal="center"/>
    </xf>
    <xf numFmtId="0" fontId="20" fillId="7" borderId="29" xfId="0" applyFont="1" applyFill="1" applyBorder="1" applyAlignment="1" applyProtection="1">
      <alignment horizontal="center"/>
    </xf>
    <xf numFmtId="0" fontId="0" fillId="7" borderId="0" xfId="0" applyFill="1" applyProtection="1"/>
    <xf numFmtId="10" fontId="9" fillId="7" borderId="0" xfId="2" applyNumberFormat="1" applyFont="1" applyFill="1" applyBorder="1" applyProtection="1"/>
    <xf numFmtId="10" fontId="9" fillId="7" borderId="29" xfId="2" applyNumberFormat="1" applyFont="1" applyFill="1" applyBorder="1" applyProtection="1"/>
    <xf numFmtId="0" fontId="21" fillId="7" borderId="0" xfId="0" applyFont="1" applyFill="1" applyProtection="1"/>
    <xf numFmtId="0" fontId="41" fillId="7" borderId="0" xfId="0" applyFont="1" applyFill="1" applyBorder="1" applyAlignment="1" applyProtection="1">
      <alignment horizontal="center"/>
    </xf>
    <xf numFmtId="164" fontId="25" fillId="7" borderId="0" xfId="2" applyNumberFormat="1" applyFont="1" applyFill="1" applyBorder="1" applyProtection="1"/>
    <xf numFmtId="164" fontId="25" fillId="7" borderId="29" xfId="2" applyNumberFormat="1" applyFont="1" applyFill="1" applyBorder="1" applyProtection="1"/>
    <xf numFmtId="164" fontId="9" fillId="7" borderId="0" xfId="2" applyNumberFormat="1" applyFont="1" applyFill="1" applyBorder="1" applyProtection="1"/>
    <xf numFmtId="0" fontId="9" fillId="2" borderId="0" xfId="0" applyFont="1" applyFill="1" applyBorder="1" applyAlignment="1" applyProtection="1">
      <alignment horizontal="left" indent="2"/>
    </xf>
    <xf numFmtId="6" fontId="21" fillId="2" borderId="0" xfId="0" applyNumberFormat="1" applyFont="1" applyFill="1" applyBorder="1" applyAlignment="1" applyProtection="1">
      <alignment horizontal="center"/>
    </xf>
    <xf numFmtId="164" fontId="23" fillId="2" borderId="0" xfId="2" applyNumberFormat="1" applyFont="1" applyFill="1" applyBorder="1" applyProtection="1"/>
    <xf numFmtId="0" fontId="20" fillId="2" borderId="0" xfId="0" applyFont="1" applyFill="1" applyBorder="1" applyAlignment="1" applyProtection="1">
      <alignment horizontal="center"/>
    </xf>
    <xf numFmtId="0" fontId="20" fillId="2" borderId="29" xfId="0" applyFont="1" applyFill="1" applyBorder="1" applyAlignment="1" applyProtection="1">
      <alignment horizontal="center"/>
    </xf>
    <xf numFmtId="0" fontId="9" fillId="2" borderId="0" xfId="0" applyFont="1" applyFill="1" applyBorder="1" applyAlignment="1" applyProtection="1">
      <alignment horizontal="left" indent="4"/>
    </xf>
    <xf numFmtId="0" fontId="33" fillId="2" borderId="0" xfId="0" applyFont="1" applyFill="1" applyBorder="1" applyAlignment="1" applyProtection="1">
      <alignment horizontal="right"/>
    </xf>
    <xf numFmtId="0" fontId="18" fillId="2" borderId="0" xfId="0" applyFont="1" applyFill="1" applyBorder="1" applyAlignment="1" applyProtection="1">
      <alignment horizontal="center"/>
    </xf>
    <xf numFmtId="0" fontId="18" fillId="2" borderId="29" xfId="0" applyFont="1" applyFill="1" applyBorder="1" applyAlignment="1" applyProtection="1">
      <alignment horizontal="center"/>
    </xf>
    <xf numFmtId="6" fontId="33" fillId="2" borderId="0" xfId="0" applyNumberFormat="1" applyFont="1" applyFill="1" applyBorder="1" applyProtection="1"/>
    <xf numFmtId="10" fontId="0" fillId="2" borderId="0" xfId="2" applyNumberFormat="1" applyFont="1" applyFill="1" applyBorder="1" applyProtection="1"/>
    <xf numFmtId="10" fontId="0" fillId="2" borderId="29" xfId="2" applyNumberFormat="1" applyFont="1" applyFill="1" applyBorder="1" applyProtection="1"/>
    <xf numFmtId="164" fontId="9" fillId="2" borderId="29" xfId="0" applyNumberFormat="1" applyFont="1" applyFill="1" applyBorder="1" applyAlignment="1" applyProtection="1">
      <alignment horizontal="center"/>
    </xf>
    <xf numFmtId="6" fontId="7" fillId="2" borderId="0" xfId="0" applyNumberFormat="1" applyFont="1" applyFill="1" applyBorder="1" applyProtection="1"/>
    <xf numFmtId="0" fontId="9" fillId="2" borderId="0" xfId="0" applyNumberFormat="1" applyFont="1" applyFill="1" applyBorder="1" applyAlignment="1" applyProtection="1">
      <alignment horizontal="left"/>
    </xf>
    <xf numFmtId="164" fontId="23" fillId="2" borderId="29" xfId="2" applyNumberFormat="1" applyFont="1" applyFill="1" applyBorder="1" applyProtection="1"/>
    <xf numFmtId="0" fontId="18" fillId="2" borderId="0" xfId="0" applyFont="1" applyFill="1" applyBorder="1" applyAlignment="1" applyProtection="1">
      <alignment horizontal="left" indent="3"/>
    </xf>
    <xf numFmtId="0" fontId="7" fillId="2" borderId="0" xfId="0" applyFont="1" applyFill="1" applyBorder="1" applyProtection="1"/>
    <xf numFmtId="0" fontId="18" fillId="4" borderId="0" xfId="0" applyFont="1" applyFill="1" applyBorder="1" applyAlignment="1" applyProtection="1">
      <alignment horizontal="center"/>
    </xf>
    <xf numFmtId="0" fontId="18" fillId="2" borderId="0" xfId="0" applyFont="1" applyFill="1" applyBorder="1" applyAlignment="1" applyProtection="1">
      <alignment horizontal="center" wrapText="1"/>
    </xf>
    <xf numFmtId="0" fontId="18" fillId="2" borderId="0" xfId="0" applyFont="1" applyFill="1" applyBorder="1" applyAlignment="1" applyProtection="1">
      <alignment horizontal="left" indent="1"/>
    </xf>
    <xf numFmtId="0" fontId="9" fillId="2" borderId="0" xfId="0" applyFont="1" applyFill="1" applyBorder="1" applyAlignment="1" applyProtection="1">
      <alignment horizontal="left" indent="3"/>
    </xf>
    <xf numFmtId="0" fontId="9" fillId="2" borderId="0" xfId="0" applyFont="1" applyFill="1" applyBorder="1" applyAlignment="1" applyProtection="1">
      <alignment horizontal="right"/>
    </xf>
    <xf numFmtId="168" fontId="18" fillId="13" borderId="0" xfId="2" applyNumberFormat="1" applyFont="1" applyFill="1" applyBorder="1" applyProtection="1"/>
    <xf numFmtId="1" fontId="9" fillId="2" borderId="0" xfId="0" applyNumberFormat="1" applyFont="1" applyFill="1" applyBorder="1" applyProtection="1"/>
    <xf numFmtId="1" fontId="9" fillId="2" borderId="29" xfId="0" applyNumberFormat="1" applyFont="1" applyFill="1" applyBorder="1" applyProtection="1"/>
    <xf numFmtId="0" fontId="21" fillId="2" borderId="0" xfId="0" applyFont="1" applyFill="1" applyProtection="1"/>
    <xf numFmtId="0" fontId="41" fillId="2" borderId="0" xfId="0" applyFont="1" applyFill="1" applyBorder="1" applyAlignment="1" applyProtection="1">
      <alignment horizontal="center"/>
    </xf>
    <xf numFmtId="9" fontId="6" fillId="2" borderId="28" xfId="2" applyFont="1" applyFill="1" applyBorder="1" applyProtection="1"/>
    <xf numFmtId="0" fontId="19" fillId="2" borderId="0" xfId="0" applyFont="1" applyFill="1" applyBorder="1" applyAlignment="1" applyProtection="1">
      <alignment horizontal="right"/>
    </xf>
    <xf numFmtId="0" fontId="9" fillId="2" borderId="0" xfId="0" applyFont="1" applyFill="1" applyBorder="1" applyAlignment="1" applyProtection="1">
      <alignment horizontal="center"/>
    </xf>
    <xf numFmtId="0" fontId="9" fillId="2" borderId="29" xfId="0" applyFont="1" applyFill="1" applyBorder="1" applyAlignment="1" applyProtection="1">
      <alignment horizontal="right"/>
    </xf>
    <xf numFmtId="164" fontId="9" fillId="2" borderId="0" xfId="0" applyNumberFormat="1" applyFont="1" applyFill="1" applyBorder="1" applyAlignment="1" applyProtection="1">
      <alignment horizontal="center"/>
    </xf>
    <xf numFmtId="0" fontId="16" fillId="2" borderId="0" xfId="0" applyFont="1" applyFill="1" applyBorder="1" applyAlignment="1" applyProtection="1">
      <alignment horizontal="right"/>
    </xf>
    <xf numFmtId="168" fontId="9" fillId="2" borderId="0" xfId="2" applyNumberFormat="1" applyFont="1" applyFill="1" applyBorder="1" applyAlignment="1" applyProtection="1">
      <alignment horizontal="center"/>
    </xf>
    <xf numFmtId="0" fontId="9" fillId="2" borderId="29" xfId="0" applyFont="1" applyFill="1" applyBorder="1" applyProtection="1"/>
    <xf numFmtId="0" fontId="0" fillId="6" borderId="30" xfId="0" applyFill="1" applyBorder="1" applyProtection="1"/>
    <xf numFmtId="0" fontId="0" fillId="2" borderId="30" xfId="0" applyFill="1" applyBorder="1" applyProtection="1"/>
    <xf numFmtId="0" fontId="0" fillId="2" borderId="31" xfId="0" applyFill="1" applyBorder="1" applyProtection="1"/>
    <xf numFmtId="0" fontId="0" fillId="2" borderId="32" xfId="0" applyFill="1" applyBorder="1" applyProtection="1"/>
    <xf numFmtId="0" fontId="0" fillId="2" borderId="32" xfId="0" applyFill="1" applyBorder="1" applyAlignment="1" applyProtection="1">
      <alignment horizontal="center"/>
    </xf>
    <xf numFmtId="0" fontId="0" fillId="4" borderId="25" xfId="0" applyFill="1" applyBorder="1" applyProtection="1"/>
    <xf numFmtId="0" fontId="0" fillId="4" borderId="26" xfId="0" applyFill="1" applyBorder="1" applyProtection="1"/>
    <xf numFmtId="0" fontId="0" fillId="4" borderId="27" xfId="0" applyFill="1" applyBorder="1" applyProtection="1"/>
    <xf numFmtId="0" fontId="0" fillId="4" borderId="28" xfId="0" applyFill="1" applyBorder="1" applyProtection="1"/>
    <xf numFmtId="1" fontId="10" fillId="4" borderId="0" xfId="0" applyNumberFormat="1" applyFont="1" applyFill="1" applyBorder="1" applyAlignment="1" applyProtection="1">
      <alignment horizontal="center"/>
    </xf>
    <xf numFmtId="0" fontId="0" fillId="4" borderId="29" xfId="0" applyFill="1" applyBorder="1" applyProtection="1"/>
    <xf numFmtId="167" fontId="0" fillId="4" borderId="0" xfId="0" applyNumberFormat="1" applyFill="1" applyBorder="1" applyProtection="1"/>
    <xf numFmtId="167" fontId="0" fillId="4" borderId="36" xfId="0" applyNumberFormat="1" applyFill="1" applyBorder="1" applyProtection="1"/>
    <xf numFmtId="0" fontId="10" fillId="4" borderId="0" xfId="0" applyFont="1" applyFill="1" applyBorder="1" applyAlignment="1" applyProtection="1">
      <alignment horizontal="center"/>
    </xf>
    <xf numFmtId="6" fontId="0" fillId="4" borderId="0" xfId="0" applyNumberFormat="1" applyFill="1" applyBorder="1" applyProtection="1"/>
    <xf numFmtId="6" fontId="0" fillId="4" borderId="36" xfId="0" applyNumberFormat="1" applyFill="1" applyBorder="1" applyProtection="1"/>
    <xf numFmtId="8" fontId="0" fillId="4" borderId="36" xfId="0" applyNumberFormat="1" applyFill="1" applyBorder="1" applyProtection="1"/>
    <xf numFmtId="165" fontId="0" fillId="4" borderId="36" xfId="0" applyNumberFormat="1" applyFill="1" applyBorder="1" applyProtection="1"/>
    <xf numFmtId="165" fontId="22" fillId="4" borderId="0" xfId="0" applyNumberFormat="1" applyFont="1" applyFill="1" applyBorder="1" applyProtection="1"/>
    <xf numFmtId="8" fontId="0" fillId="4" borderId="0" xfId="0" applyNumberFormat="1" applyFill="1" applyBorder="1" applyProtection="1"/>
    <xf numFmtId="164" fontId="0" fillId="4" borderId="0" xfId="0" applyNumberFormat="1" applyFill="1" applyBorder="1" applyProtection="1"/>
    <xf numFmtId="0" fontId="0" fillId="4" borderId="30" xfId="0" applyFill="1" applyBorder="1" applyProtection="1"/>
    <xf numFmtId="0" fontId="0" fillId="4" borderId="31" xfId="0" applyFill="1" applyBorder="1" applyProtection="1"/>
    <xf numFmtId="0" fontId="0" fillId="4" borderId="32" xfId="0" applyFill="1" applyBorder="1" applyProtection="1"/>
    <xf numFmtId="0" fontId="0" fillId="2" borderId="27" xfId="0" applyFill="1" applyBorder="1" applyAlignment="1" applyProtection="1">
      <alignment horizontal="right"/>
    </xf>
    <xf numFmtId="0" fontId="0" fillId="2" borderId="26" xfId="0" applyFill="1" applyBorder="1" applyAlignment="1" applyProtection="1">
      <alignment wrapText="1"/>
    </xf>
    <xf numFmtId="172" fontId="5" fillId="3" borderId="24" xfId="2" applyNumberFormat="1" applyFont="1" applyFill="1" applyBorder="1" applyAlignment="1" applyProtection="1">
      <alignment horizontal="center"/>
    </xf>
    <xf numFmtId="0" fontId="34" fillId="2" borderId="0" xfId="4" applyFont="1" applyFill="1" applyBorder="1" applyAlignment="1" applyProtection="1">
      <alignment horizontal="center"/>
    </xf>
    <xf numFmtId="0" fontId="0" fillId="2" borderId="25" xfId="0" applyFill="1" applyBorder="1" applyAlignment="1" applyProtection="1">
      <alignment horizontal="center"/>
    </xf>
    <xf numFmtId="1" fontId="10" fillId="2" borderId="28" xfId="0" applyNumberFormat="1" applyFont="1" applyFill="1" applyBorder="1" applyAlignment="1" applyProtection="1">
      <alignment horizontal="center"/>
    </xf>
    <xf numFmtId="6" fontId="9" fillId="2" borderId="0" xfId="1" applyNumberFormat="1" applyFont="1" applyFill="1" applyBorder="1" applyProtection="1"/>
    <xf numFmtId="6" fontId="0" fillId="2" borderId="0" xfId="0" applyNumberFormat="1" applyFill="1" applyBorder="1" applyProtection="1"/>
    <xf numFmtId="6" fontId="9" fillId="2" borderId="28" xfId="1" applyNumberFormat="1" applyFont="1" applyFill="1" applyBorder="1" applyProtection="1"/>
    <xf numFmtId="6" fontId="12" fillId="2" borderId="29" xfId="1" applyNumberFormat="1" applyFont="1" applyFill="1" applyBorder="1" applyProtection="1"/>
    <xf numFmtId="0" fontId="0" fillId="2" borderId="0" xfId="0" applyFont="1" applyFill="1" applyBorder="1" applyAlignment="1" applyProtection="1">
      <alignment wrapText="1"/>
    </xf>
    <xf numFmtId="6" fontId="0" fillId="2" borderId="0" xfId="2" applyNumberFormat="1" applyFont="1" applyFill="1" applyBorder="1" applyProtection="1"/>
    <xf numFmtId="6" fontId="0" fillId="2" borderId="28" xfId="0" applyNumberFormat="1" applyFill="1" applyBorder="1" applyProtection="1"/>
    <xf numFmtId="6" fontId="0" fillId="2" borderId="29" xfId="0" applyNumberFormat="1" applyFill="1" applyBorder="1" applyProtection="1"/>
    <xf numFmtId="6" fontId="12" fillId="2" borderId="0" xfId="1" applyNumberFormat="1" applyFont="1" applyFill="1" applyBorder="1" applyProtection="1"/>
    <xf numFmtId="6" fontId="12" fillId="2" borderId="28" xfId="1" applyNumberFormat="1" applyFont="1" applyFill="1" applyBorder="1" applyProtection="1"/>
    <xf numFmtId="6" fontId="0" fillId="2" borderId="0" xfId="1" applyNumberFormat="1" applyFont="1" applyFill="1" applyBorder="1" applyProtection="1"/>
    <xf numFmtId="6" fontId="0" fillId="2" borderId="28" xfId="1" applyNumberFormat="1" applyFont="1" applyFill="1" applyBorder="1" applyProtection="1"/>
    <xf numFmtId="6" fontId="12" fillId="2" borderId="0" xfId="0" applyNumberFormat="1" applyFont="1" applyFill="1" applyBorder="1" applyProtection="1"/>
    <xf numFmtId="6" fontId="12" fillId="2" borderId="28" xfId="0" applyNumberFormat="1" applyFont="1" applyFill="1" applyBorder="1" applyProtection="1"/>
    <xf numFmtId="6" fontId="12" fillId="2" borderId="29" xfId="0" applyNumberFormat="1" applyFont="1" applyFill="1" applyBorder="1" applyProtection="1"/>
    <xf numFmtId="6" fontId="10" fillId="2" borderId="0" xfId="0" applyNumberFormat="1" applyFont="1" applyFill="1" applyBorder="1" applyProtection="1"/>
    <xf numFmtId="6" fontId="10" fillId="2" borderId="28" xfId="0" applyNumberFormat="1" applyFont="1" applyFill="1" applyBorder="1" applyProtection="1"/>
    <xf numFmtId="6" fontId="11" fillId="2" borderId="0" xfId="0" applyNumberFormat="1" applyFont="1" applyFill="1" applyBorder="1" applyProtection="1"/>
    <xf numFmtId="6" fontId="11" fillId="2" borderId="28" xfId="0" applyNumberFormat="1" applyFont="1" applyFill="1" applyBorder="1" applyProtection="1"/>
    <xf numFmtId="0" fontId="10" fillId="2" borderId="26" xfId="0" applyFont="1" applyFill="1" applyBorder="1" applyProtection="1"/>
    <xf numFmtId="0" fontId="0" fillId="0" borderId="26" xfId="0" applyBorder="1" applyProtection="1"/>
    <xf numFmtId="0" fontId="7" fillId="2" borderId="26" xfId="0" applyFont="1" applyFill="1" applyBorder="1" applyProtection="1"/>
    <xf numFmtId="0" fontId="18" fillId="2" borderId="26" xfId="0" applyFont="1" applyFill="1" applyBorder="1" applyAlignment="1" applyProtection="1">
      <alignment horizontal="center"/>
    </xf>
    <xf numFmtId="0" fontId="18" fillId="2" borderId="25" xfId="0" applyFont="1" applyFill="1" applyBorder="1" applyAlignment="1" applyProtection="1">
      <alignment horizontal="center"/>
    </xf>
    <xf numFmtId="0" fontId="9" fillId="2" borderId="27" xfId="0" applyFont="1" applyFill="1" applyBorder="1" applyProtection="1"/>
    <xf numFmtId="0" fontId="50" fillId="2" borderId="0" xfId="0" applyFont="1" applyFill="1" applyBorder="1" applyAlignment="1" applyProtection="1">
      <alignment horizontal="left" indent="4"/>
    </xf>
    <xf numFmtId="0" fontId="37" fillId="2" borderId="0" xfId="0" applyFont="1" applyFill="1" applyBorder="1" applyProtection="1"/>
    <xf numFmtId="0" fontId="50" fillId="2" borderId="0" xfId="0" applyFont="1" applyFill="1" applyBorder="1" applyAlignment="1" applyProtection="1">
      <alignment horizontal="right" indent="1"/>
    </xf>
    <xf numFmtId="6" fontId="50" fillId="2" borderId="0" xfId="0" applyNumberFormat="1" applyFont="1" applyFill="1" applyBorder="1" applyProtection="1"/>
    <xf numFmtId="6" fontId="0" fillId="2" borderId="0" xfId="0" applyNumberFormat="1" applyFont="1" applyFill="1" applyBorder="1" applyProtection="1"/>
    <xf numFmtId="6" fontId="0" fillId="2" borderId="28" xfId="0" applyNumberFormat="1" applyFont="1" applyFill="1" applyBorder="1" applyProtection="1"/>
    <xf numFmtId="0" fontId="0" fillId="2" borderId="28" xfId="0" applyFill="1" applyBorder="1" applyAlignment="1" applyProtection="1">
      <alignment horizontal="right"/>
    </xf>
    <xf numFmtId="6" fontId="0" fillId="2" borderId="26" xfId="0" applyNumberFormat="1" applyFont="1" applyFill="1" applyBorder="1" applyProtection="1"/>
    <xf numFmtId="6" fontId="0" fillId="2" borderId="85" xfId="0" applyNumberFormat="1" applyFont="1" applyFill="1" applyBorder="1" applyProtection="1"/>
    <xf numFmtId="6" fontId="0" fillId="2" borderId="36" xfId="0" applyNumberFormat="1" applyFont="1" applyFill="1" applyBorder="1" applyProtection="1"/>
    <xf numFmtId="0" fontId="39" fillId="0" borderId="24" xfId="0" applyFont="1" applyBorder="1" applyAlignment="1" applyProtection="1">
      <alignment horizontal="center" vertical="center"/>
    </xf>
    <xf numFmtId="6" fontId="53" fillId="2" borderId="63" xfId="0" applyNumberFormat="1" applyFont="1" applyFill="1" applyBorder="1" applyAlignment="1" applyProtection="1">
      <alignment horizontal="center" vertical="center"/>
    </xf>
    <xf numFmtId="6" fontId="53" fillId="2" borderId="55" xfId="0" applyNumberFormat="1" applyFont="1" applyFill="1" applyBorder="1" applyAlignment="1" applyProtection="1">
      <alignment horizontal="center" vertical="center"/>
    </xf>
    <xf numFmtId="0" fontId="55" fillId="2" borderId="55" xfId="0" applyFont="1" applyFill="1" applyBorder="1" applyAlignment="1" applyProtection="1">
      <alignment horizontal="right" vertical="center"/>
    </xf>
    <xf numFmtId="0" fontId="40" fillId="0" borderId="46" xfId="0" applyFont="1" applyBorder="1" applyAlignment="1" applyProtection="1">
      <alignment horizontal="center" vertical="center"/>
    </xf>
    <xf numFmtId="0" fontId="54" fillId="2" borderId="54" xfId="0" applyFont="1" applyFill="1" applyBorder="1" applyAlignment="1" applyProtection="1">
      <alignment horizontal="center" vertical="center"/>
    </xf>
    <xf numFmtId="0" fontId="54" fillId="2" borderId="56" xfId="0" applyFont="1" applyFill="1" applyBorder="1" applyAlignment="1" applyProtection="1">
      <alignment horizontal="center" vertical="center"/>
    </xf>
    <xf numFmtId="6" fontId="53" fillId="2" borderId="54" xfId="0" applyNumberFormat="1" applyFont="1" applyFill="1" applyBorder="1" applyAlignment="1" applyProtection="1">
      <alignment horizontal="center" vertical="center"/>
    </xf>
    <xf numFmtId="0" fontId="54" fillId="2" borderId="55" xfId="0" applyFont="1" applyFill="1" applyBorder="1" applyAlignment="1" applyProtection="1">
      <alignment horizontal="right" vertical="center"/>
    </xf>
    <xf numFmtId="0" fontId="4" fillId="0" borderId="46" xfId="0" applyFont="1" applyBorder="1" applyAlignment="1" applyProtection="1">
      <alignment horizontal="right" vertical="center"/>
    </xf>
    <xf numFmtId="0" fontId="54" fillId="2" borderId="65" xfId="0" applyFont="1" applyFill="1" applyBorder="1" applyAlignment="1" applyProtection="1">
      <alignment horizontal="center" vertical="center"/>
    </xf>
    <xf numFmtId="0" fontId="54" fillId="2" borderId="66" xfId="0" applyFont="1" applyFill="1" applyBorder="1" applyAlignment="1" applyProtection="1">
      <alignment horizontal="center" vertical="center"/>
    </xf>
    <xf numFmtId="6" fontId="53" fillId="2" borderId="64" xfId="0" applyNumberFormat="1" applyFont="1" applyFill="1" applyBorder="1" applyAlignment="1" applyProtection="1">
      <alignment horizontal="center" vertical="center"/>
    </xf>
    <xf numFmtId="0" fontId="18" fillId="2" borderId="0" xfId="0" applyFont="1" applyFill="1" applyBorder="1" applyAlignment="1" applyProtection="1">
      <alignment wrapText="1"/>
    </xf>
    <xf numFmtId="0" fontId="18" fillId="2" borderId="26" xfId="0" applyFont="1" applyFill="1" applyBorder="1" applyAlignment="1" applyProtection="1">
      <alignment horizontal="right" vertical="center"/>
    </xf>
    <xf numFmtId="0" fontId="50" fillId="2" borderId="7" xfId="0" applyFont="1" applyFill="1" applyBorder="1" applyAlignment="1" applyProtection="1">
      <alignment horizontal="center" vertical="center"/>
    </xf>
    <xf numFmtId="0" fontId="50" fillId="2" borderId="8" xfId="0" applyFont="1" applyFill="1" applyBorder="1" applyAlignment="1" applyProtection="1">
      <alignment horizontal="center" vertical="center"/>
    </xf>
    <xf numFmtId="0" fontId="50" fillId="2" borderId="86" xfId="0" applyFont="1" applyFill="1" applyBorder="1" applyAlignment="1" applyProtection="1">
      <alignment horizontal="center" vertical="center"/>
    </xf>
    <xf numFmtId="0" fontId="50" fillId="2" borderId="9" xfId="0" applyFont="1" applyFill="1" applyBorder="1" applyAlignment="1" applyProtection="1">
      <alignment horizontal="center" vertical="center"/>
    </xf>
    <xf numFmtId="0" fontId="50" fillId="2" borderId="0" xfId="0" applyFont="1" applyFill="1" applyBorder="1" applyAlignment="1" applyProtection="1">
      <alignment horizontal="center" wrapText="1"/>
    </xf>
    <xf numFmtId="0" fontId="50" fillId="2" borderId="28" xfId="0" applyFont="1" applyFill="1" applyBorder="1" applyAlignment="1" applyProtection="1">
      <alignment horizontal="center" vertical="center" wrapText="1"/>
    </xf>
    <xf numFmtId="0" fontId="50" fillId="2" borderId="0" xfId="0" applyFont="1" applyFill="1" applyBorder="1" applyAlignment="1" applyProtection="1">
      <alignment horizontal="center" vertical="center" wrapText="1"/>
    </xf>
    <xf numFmtId="0" fontId="0" fillId="2" borderId="0" xfId="0" applyFill="1" applyBorder="1" applyAlignment="1" applyProtection="1">
      <alignment horizontal="center" wrapText="1"/>
    </xf>
    <xf numFmtId="0" fontId="52" fillId="2" borderId="0" xfId="0" applyFont="1" applyFill="1" applyBorder="1" applyProtection="1"/>
    <xf numFmtId="0" fontId="0" fillId="2" borderId="0" xfId="0" applyFont="1" applyFill="1" applyBorder="1" applyProtection="1"/>
    <xf numFmtId="0" fontId="0" fillId="2" borderId="28" xfId="0" applyFont="1" applyFill="1" applyBorder="1" applyProtection="1"/>
    <xf numFmtId="0" fontId="56" fillId="2" borderId="26" xfId="0" applyFont="1" applyFill="1" applyBorder="1" applyAlignment="1" applyProtection="1">
      <alignment horizontal="left" indent="1"/>
    </xf>
    <xf numFmtId="0" fontId="9" fillId="2" borderId="26" xfId="0" applyFont="1" applyFill="1" applyBorder="1" applyProtection="1"/>
    <xf numFmtId="0" fontId="18" fillId="2" borderId="26" xfId="0" applyFont="1" applyFill="1" applyBorder="1" applyProtection="1"/>
    <xf numFmtId="164" fontId="51" fillId="2" borderId="26" xfId="0" applyNumberFormat="1" applyFont="1" applyFill="1" applyBorder="1" applyProtection="1"/>
    <xf numFmtId="164" fontId="51" fillId="2" borderId="25" xfId="0" applyNumberFormat="1" applyFont="1" applyFill="1" applyBorder="1" applyProtection="1"/>
    <xf numFmtId="0" fontId="18" fillId="2" borderId="0" xfId="0" applyFont="1" applyFill="1" applyBorder="1" applyAlignment="1" applyProtection="1">
      <alignment horizontal="right" indent="1"/>
    </xf>
    <xf numFmtId="6" fontId="18" fillId="2" borderId="0" xfId="0" applyNumberFormat="1" applyFont="1" applyFill="1" applyBorder="1" applyProtection="1"/>
    <xf numFmtId="0" fontId="18" fillId="2" borderId="0" xfId="0" applyFont="1" applyFill="1" applyBorder="1" applyAlignment="1" applyProtection="1">
      <alignment horizontal="left" wrapText="1" indent="3"/>
    </xf>
    <xf numFmtId="0" fontId="18" fillId="2" borderId="0" xfId="0" applyFont="1" applyFill="1" applyBorder="1" applyProtection="1"/>
    <xf numFmtId="0" fontId="50" fillId="2" borderId="0" xfId="0" applyFont="1" applyFill="1" applyBorder="1" applyAlignment="1" applyProtection="1">
      <alignment horizontal="center"/>
    </xf>
    <xf numFmtId="0" fontId="50" fillId="2" borderId="28" xfId="0" applyFont="1" applyFill="1" applyBorder="1" applyAlignment="1" applyProtection="1">
      <alignment horizontal="center"/>
    </xf>
    <xf numFmtId="6" fontId="0" fillId="2" borderId="30" xfId="0" applyNumberFormat="1" applyFont="1" applyFill="1" applyBorder="1" applyProtection="1"/>
    <xf numFmtId="168" fontId="50" fillId="2" borderId="24" xfId="2" applyNumberFormat="1" applyFont="1" applyFill="1" applyBorder="1" applyAlignment="1" applyProtection="1">
      <alignment horizontal="center"/>
    </xf>
    <xf numFmtId="168" fontId="50" fillId="2" borderId="40" xfId="2" applyNumberFormat="1" applyFont="1" applyFill="1" applyBorder="1" applyAlignment="1" applyProtection="1">
      <alignment horizontal="center"/>
    </xf>
    <xf numFmtId="170" fontId="50" fillId="2" borderId="24" xfId="2" applyNumberFormat="1" applyFont="1" applyFill="1" applyBorder="1" applyAlignment="1" applyProtection="1">
      <alignment horizontal="center"/>
    </xf>
    <xf numFmtId="0" fontId="0" fillId="2" borderId="31" xfId="0" applyFill="1" applyBorder="1" applyAlignment="1" applyProtection="1">
      <alignment horizontal="right"/>
    </xf>
    <xf numFmtId="168" fontId="0" fillId="2" borderId="30" xfId="2" applyNumberFormat="1" applyFont="1" applyFill="1" applyBorder="1" applyProtection="1"/>
    <xf numFmtId="168" fontId="0" fillId="2" borderId="31" xfId="2" applyNumberFormat="1" applyFont="1" applyFill="1" applyBorder="1" applyProtection="1"/>
    <xf numFmtId="0" fontId="31" fillId="6" borderId="0" xfId="0" applyFont="1" applyFill="1" applyProtection="1"/>
    <xf numFmtId="6" fontId="0" fillId="4" borderId="57" xfId="0" applyNumberFormat="1" applyFill="1" applyBorder="1" applyProtection="1"/>
    <xf numFmtId="0" fontId="0" fillId="4" borderId="0" xfId="0" applyFill="1" applyProtection="1"/>
    <xf numFmtId="6" fontId="0" fillId="4" borderId="0" xfId="0" applyNumberFormat="1" applyFill="1" applyProtection="1"/>
    <xf numFmtId="0" fontId="0" fillId="4" borderId="47" xfId="0" applyFill="1" applyBorder="1" applyProtection="1"/>
    <xf numFmtId="6" fontId="10" fillId="4" borderId="0" xfId="0" applyNumberFormat="1" applyFont="1" applyFill="1" applyBorder="1" applyProtection="1"/>
    <xf numFmtId="6" fontId="0" fillId="4" borderId="47" xfId="0" applyNumberFormat="1" applyFill="1" applyBorder="1" applyProtection="1"/>
    <xf numFmtId="6" fontId="10" fillId="4" borderId="0" xfId="0" applyNumberFormat="1" applyFont="1" applyFill="1" applyProtection="1"/>
    <xf numFmtId="6" fontId="0" fillId="4" borderId="50" xfId="0" applyNumberFormat="1" applyFill="1" applyBorder="1" applyProtection="1"/>
    <xf numFmtId="6" fontId="0" fillId="4" borderId="31" xfId="0" applyNumberFormat="1" applyFill="1" applyBorder="1" applyProtection="1"/>
    <xf numFmtId="0" fontId="0" fillId="4" borderId="40" xfId="0" applyFill="1" applyBorder="1" applyProtection="1"/>
    <xf numFmtId="0" fontId="0" fillId="4" borderId="41" xfId="0" applyFill="1" applyBorder="1" applyProtection="1"/>
    <xf numFmtId="6" fontId="0" fillId="4" borderId="41" xfId="0" applyNumberFormat="1" applyFill="1" applyBorder="1" applyProtection="1"/>
    <xf numFmtId="0" fontId="0" fillId="4" borderId="42" xfId="0" applyFill="1" applyBorder="1" applyProtection="1"/>
    <xf numFmtId="10" fontId="0" fillId="4" borderId="0" xfId="0" applyNumberFormat="1" applyFill="1" applyProtection="1"/>
    <xf numFmtId="1" fontId="10" fillId="4" borderId="0" xfId="0" applyNumberFormat="1" applyFont="1" applyFill="1" applyAlignment="1" applyProtection="1">
      <alignment horizontal="center"/>
    </xf>
    <xf numFmtId="168" fontId="0" fillId="4" borderId="0" xfId="2" applyNumberFormat="1" applyFont="1" applyFill="1" applyProtection="1"/>
    <xf numFmtId="168" fontId="0" fillId="4" borderId="0" xfId="0" applyNumberFormat="1" applyFill="1" applyProtection="1"/>
    <xf numFmtId="0" fontId="37" fillId="4" borderId="0" xfId="0" applyFont="1" applyFill="1" applyProtection="1"/>
    <xf numFmtId="165" fontId="0" fillId="4" borderId="0" xfId="0" applyNumberFormat="1" applyFill="1" applyProtection="1"/>
    <xf numFmtId="0" fontId="0" fillId="15" borderId="2" xfId="0" applyFill="1" applyBorder="1" applyProtection="1"/>
    <xf numFmtId="0" fontId="0" fillId="15" borderId="3" xfId="0" applyFill="1" applyBorder="1" applyProtection="1"/>
    <xf numFmtId="0" fontId="0" fillId="15" borderId="4" xfId="0" applyFill="1" applyBorder="1" applyProtection="1"/>
    <xf numFmtId="0" fontId="0" fillId="15" borderId="5" xfId="0" applyFill="1" applyBorder="1" applyProtection="1"/>
    <xf numFmtId="0" fontId="0" fillId="15" borderId="0" xfId="0" applyFill="1" applyBorder="1" applyProtection="1"/>
    <xf numFmtId="0" fontId="0" fillId="15" borderId="6" xfId="0" applyFill="1" applyBorder="1" applyProtection="1"/>
    <xf numFmtId="0" fontId="0" fillId="15" borderId="7" xfId="0" applyFill="1" applyBorder="1" applyProtection="1"/>
    <xf numFmtId="0" fontId="0" fillId="15" borderId="8" xfId="0" applyFill="1" applyBorder="1" applyProtection="1"/>
    <xf numFmtId="0" fontId="0" fillId="15" borderId="9" xfId="0" applyFill="1" applyBorder="1" applyProtection="1"/>
    <xf numFmtId="0" fontId="0" fillId="12" borderId="2" xfId="0" applyFill="1" applyBorder="1" applyProtection="1"/>
    <xf numFmtId="0" fontId="0" fillId="12" borderId="4" xfId="0" applyFill="1" applyBorder="1" applyProtection="1"/>
    <xf numFmtId="49" fontId="5" fillId="4" borderId="87" xfId="0" applyNumberFormat="1" applyFont="1" applyFill="1" applyBorder="1" applyAlignment="1">
      <alignment wrapText="1"/>
    </xf>
    <xf numFmtId="0" fontId="0" fillId="0" borderId="88" xfId="0" applyBorder="1" applyProtection="1">
      <protection locked="0"/>
    </xf>
    <xf numFmtId="0" fontId="0" fillId="0" borderId="87" xfId="0" applyBorder="1" applyProtection="1">
      <protection locked="0"/>
    </xf>
    <xf numFmtId="0" fontId="0" fillId="0" borderId="89" xfId="0" applyBorder="1" applyProtection="1">
      <protection locked="0"/>
    </xf>
    <xf numFmtId="0" fontId="0" fillId="0" borderId="90" xfId="0" applyBorder="1" applyProtection="1">
      <protection locked="0"/>
    </xf>
    <xf numFmtId="0" fontId="0" fillId="0" borderId="91" xfId="0" applyBorder="1" applyProtection="1">
      <protection locked="0"/>
    </xf>
    <xf numFmtId="14" fontId="0" fillId="3" borderId="92" xfId="0" applyNumberFormat="1" applyFill="1" applyBorder="1" applyAlignment="1">
      <alignment horizontal="center" vertical="top"/>
    </xf>
    <xf numFmtId="0" fontId="0" fillId="3" borderId="26" xfId="0" applyFill="1" applyBorder="1" applyAlignment="1">
      <alignment horizontal="center" vertical="top"/>
    </xf>
    <xf numFmtId="0" fontId="0" fillId="3" borderId="26" xfId="0" applyFill="1" applyBorder="1"/>
    <xf numFmtId="0" fontId="0" fillId="3" borderId="45" xfId="0" applyFill="1" applyBorder="1"/>
    <xf numFmtId="14" fontId="0" fillId="3" borderId="83" xfId="0" applyNumberFormat="1" applyFill="1" applyBorder="1" applyAlignment="1">
      <alignment horizontal="center"/>
    </xf>
    <xf numFmtId="0" fontId="0" fillId="0" borderId="0" xfId="0" applyProtection="1">
      <protection locked="0"/>
    </xf>
    <xf numFmtId="0" fontId="58" fillId="4" borderId="93" xfId="0" applyFont="1" applyFill="1" applyBorder="1" applyAlignment="1">
      <alignment horizontal="center" vertical="center" wrapText="1"/>
    </xf>
    <xf numFmtId="0" fontId="4" fillId="5" borderId="0" xfId="0" applyNumberFormat="1" applyFont="1" applyFill="1" applyBorder="1" applyAlignment="1" applyProtection="1">
      <alignment horizontal="center" vertical="center"/>
    </xf>
    <xf numFmtId="0" fontId="63" fillId="5" borderId="0" xfId="0" applyFont="1" applyFill="1" applyBorder="1" applyAlignment="1" applyProtection="1">
      <alignment horizontal="center" vertical="center"/>
    </xf>
    <xf numFmtId="0" fontId="63" fillId="5" borderId="0" xfId="0" applyFont="1" applyFill="1" applyBorder="1" applyAlignment="1" applyProtection="1">
      <alignment horizontal="center" vertical="top"/>
    </xf>
    <xf numFmtId="0" fontId="112" fillId="4" borderId="60" xfId="0" applyFont="1" applyFill="1" applyBorder="1" applyAlignment="1" applyProtection="1">
      <alignment horizontal="center" vertical="center" shrinkToFit="1"/>
    </xf>
    <xf numFmtId="0" fontId="112" fillId="4" borderId="61" xfId="0" applyFont="1" applyFill="1" applyBorder="1" applyAlignment="1" applyProtection="1">
      <alignment horizontal="center" vertical="center" shrinkToFit="1"/>
    </xf>
    <xf numFmtId="0" fontId="112" fillId="4" borderId="67" xfId="0" applyFont="1" applyFill="1" applyBorder="1" applyAlignment="1" applyProtection="1">
      <alignment horizontal="center" vertical="center" shrinkToFit="1"/>
    </xf>
    <xf numFmtId="0" fontId="5" fillId="14" borderId="0" xfId="0" applyFont="1" applyFill="1" applyBorder="1" applyAlignment="1" applyProtection="1">
      <alignment horizontal="right" vertical="center"/>
    </xf>
    <xf numFmtId="0" fontId="2" fillId="14" borderId="0" xfId="0" applyFont="1" applyFill="1" applyBorder="1" applyAlignment="1" applyProtection="1">
      <alignment horizontal="center" vertical="center"/>
    </xf>
    <xf numFmtId="0" fontId="71" fillId="4" borderId="0" xfId="0" applyFont="1" applyFill="1" applyBorder="1" applyAlignment="1" applyProtection="1">
      <alignment horizontal="center" vertical="center"/>
    </xf>
    <xf numFmtId="0" fontId="58" fillId="4" borderId="0" xfId="0" applyFont="1" applyFill="1" applyBorder="1" applyAlignment="1" applyProtection="1">
      <alignment horizontal="right" vertical="center"/>
    </xf>
    <xf numFmtId="0" fontId="58" fillId="4" borderId="8" xfId="0" applyFont="1" applyFill="1" applyBorder="1" applyAlignment="1" applyProtection="1">
      <alignment horizontal="right" vertical="center"/>
    </xf>
    <xf numFmtId="0" fontId="2" fillId="3" borderId="40" xfId="0" applyFont="1" applyFill="1" applyBorder="1" applyAlignment="1" applyProtection="1">
      <alignment horizontal="center" vertical="center"/>
    </xf>
    <xf numFmtId="0" fontId="2" fillId="3" borderId="41" xfId="0" applyFont="1" applyFill="1" applyBorder="1" applyAlignment="1" applyProtection="1">
      <alignment horizontal="center" vertical="center"/>
    </xf>
    <xf numFmtId="0" fontId="2" fillId="3" borderId="42" xfId="0" applyFont="1" applyFill="1" applyBorder="1" applyAlignment="1" applyProtection="1">
      <alignment horizontal="center" vertical="center"/>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49" fillId="4" borderId="60" xfId="0" applyFont="1" applyFill="1" applyBorder="1" applyAlignment="1">
      <alignment horizontal="center" vertical="center" wrapText="1"/>
    </xf>
    <xf numFmtId="0" fontId="49" fillId="4" borderId="61" xfId="0" applyFont="1" applyFill="1" applyBorder="1" applyAlignment="1">
      <alignment horizontal="center" vertical="center" wrapText="1"/>
    </xf>
    <xf numFmtId="0" fontId="49" fillId="4" borderId="67" xfId="0" applyFont="1" applyFill="1" applyBorder="1" applyAlignment="1">
      <alignment horizontal="center" vertical="center" wrapText="1"/>
    </xf>
    <xf numFmtId="0" fontId="49" fillId="4" borderId="60" xfId="0" applyFont="1" applyFill="1" applyBorder="1" applyAlignment="1">
      <alignment horizontal="center" vertical="center"/>
    </xf>
    <xf numFmtId="0" fontId="49" fillId="4" borderId="61" xfId="0" applyFont="1" applyFill="1" applyBorder="1" applyAlignment="1">
      <alignment horizontal="center" vertical="center"/>
    </xf>
    <xf numFmtId="0" fontId="49" fillId="4" borderId="67" xfId="0" applyFont="1" applyFill="1" applyBorder="1" applyAlignment="1">
      <alignment horizontal="center" vertical="center"/>
    </xf>
    <xf numFmtId="168" fontId="21" fillId="3" borderId="4" xfId="2" applyNumberFormat="1" applyFont="1" applyFill="1" applyBorder="1" applyAlignment="1">
      <alignment horizontal="center" vertical="center" wrapText="1"/>
    </xf>
    <xf numFmtId="168" fontId="21" fillId="3" borderId="6" xfId="2" applyNumberFormat="1" applyFont="1" applyFill="1" applyBorder="1" applyAlignment="1">
      <alignment horizontal="center" vertical="center" wrapText="1"/>
    </xf>
    <xf numFmtId="0" fontId="5" fillId="3" borderId="0" xfId="0" applyFont="1" applyFill="1" applyBorder="1" applyAlignment="1" applyProtection="1">
      <alignment horizontal="center"/>
    </xf>
    <xf numFmtId="0" fontId="1" fillId="3" borderId="72" xfId="2" applyNumberFormat="1" applyFont="1" applyFill="1" applyBorder="1" applyAlignment="1" applyProtection="1">
      <alignment horizontal="center"/>
    </xf>
    <xf numFmtId="0" fontId="1" fillId="3" borderId="62" xfId="2" applyNumberFormat="1" applyFont="1" applyFill="1" applyBorder="1" applyAlignment="1" applyProtection="1">
      <alignment horizontal="center"/>
    </xf>
    <xf numFmtId="0" fontId="1" fillId="3" borderId="73" xfId="2" applyNumberFormat="1" applyFont="1" applyFill="1" applyBorder="1" applyAlignment="1" applyProtection="1">
      <alignment horizontal="center"/>
    </xf>
    <xf numFmtId="0" fontId="0" fillId="3" borderId="0" xfId="0" applyFill="1" applyBorder="1" applyAlignment="1" applyProtection="1">
      <alignment horizontal="center" wrapText="1"/>
    </xf>
    <xf numFmtId="0" fontId="1" fillId="3" borderId="60" xfId="2" applyNumberFormat="1" applyFont="1" applyFill="1" applyBorder="1" applyAlignment="1" applyProtection="1">
      <alignment horizontal="center"/>
    </xf>
    <xf numFmtId="0" fontId="1" fillId="3" borderId="61" xfId="2" applyNumberFormat="1" applyFont="1" applyFill="1" applyBorder="1" applyAlignment="1" applyProtection="1">
      <alignment horizontal="center"/>
    </xf>
    <xf numFmtId="0" fontId="1" fillId="3" borderId="67" xfId="2" applyNumberFormat="1" applyFont="1" applyFill="1" applyBorder="1" applyAlignment="1" applyProtection="1">
      <alignment horizontal="center"/>
    </xf>
    <xf numFmtId="172" fontId="1" fillId="3" borderId="7" xfId="2" applyNumberFormat="1" applyFont="1" applyFill="1" applyBorder="1" applyAlignment="1" applyProtection="1">
      <alignment horizontal="center"/>
    </xf>
    <xf numFmtId="172" fontId="1" fillId="3" borderId="8" xfId="2" applyNumberFormat="1" applyFont="1" applyFill="1" applyBorder="1" applyAlignment="1" applyProtection="1">
      <alignment horizontal="center"/>
    </xf>
    <xf numFmtId="172" fontId="1" fillId="3" borderId="9" xfId="2" applyNumberFormat="1" applyFont="1" applyFill="1" applyBorder="1" applyAlignment="1" applyProtection="1">
      <alignment horizontal="center"/>
    </xf>
    <xf numFmtId="0" fontId="5" fillId="3" borderId="31" xfId="0" applyFont="1" applyFill="1" applyBorder="1" applyAlignment="1" applyProtection="1">
      <alignment horizontal="center"/>
    </xf>
    <xf numFmtId="0" fontId="31" fillId="4" borderId="0" xfId="0" applyFont="1" applyFill="1" applyBorder="1" applyAlignment="1" applyProtection="1">
      <alignment horizontal="center" vertical="center" wrapText="1"/>
    </xf>
    <xf numFmtId="0" fontId="71" fillId="5" borderId="0" xfId="0" applyFont="1" applyFill="1" applyBorder="1" applyAlignment="1" applyProtection="1">
      <alignment horizontal="center" vertical="center"/>
    </xf>
    <xf numFmtId="0" fontId="71" fillId="4" borderId="6" xfId="0" applyFont="1" applyFill="1" applyBorder="1" applyAlignment="1" applyProtection="1">
      <alignment horizontal="center" vertical="center"/>
    </xf>
    <xf numFmtId="0" fontId="71" fillId="4" borderId="0" xfId="0" applyNumberFormat="1" applyFont="1" applyFill="1" applyBorder="1" applyAlignment="1" applyProtection="1">
      <alignment horizontal="center" vertical="center"/>
    </xf>
    <xf numFmtId="0" fontId="71" fillId="4" borderId="6" xfId="0" applyNumberFormat="1" applyFont="1" applyFill="1" applyBorder="1" applyAlignment="1" applyProtection="1">
      <alignment horizontal="center" vertical="center"/>
    </xf>
    <xf numFmtId="0" fontId="2" fillId="3" borderId="40" xfId="0" applyFont="1" applyFill="1" applyBorder="1" applyAlignment="1" applyProtection="1">
      <alignment horizontal="center" vertical="center" wrapText="1"/>
    </xf>
    <xf numFmtId="0" fontId="2" fillId="3" borderId="41" xfId="0" applyFont="1" applyFill="1" applyBorder="1" applyAlignment="1" applyProtection="1">
      <alignment horizontal="center" vertical="center" wrapText="1"/>
    </xf>
    <xf numFmtId="0" fontId="2" fillId="3" borderId="42" xfId="0" applyFont="1" applyFill="1" applyBorder="1" applyAlignment="1" applyProtection="1">
      <alignment horizontal="center" vertical="center" wrapText="1"/>
    </xf>
    <xf numFmtId="0" fontId="107" fillId="3" borderId="60" xfId="0" applyFont="1" applyFill="1" applyBorder="1" applyAlignment="1" applyProtection="1">
      <alignment horizontal="center"/>
    </xf>
    <xf numFmtId="0" fontId="107" fillId="3" borderId="61" xfId="0" applyFont="1" applyFill="1" applyBorder="1" applyAlignment="1" applyProtection="1">
      <alignment horizontal="center"/>
    </xf>
    <xf numFmtId="0" fontId="62" fillId="12" borderId="31" xfId="0" applyFont="1" applyFill="1" applyBorder="1" applyAlignment="1" applyProtection="1">
      <alignment horizontal="center"/>
    </xf>
    <xf numFmtId="0" fontId="104" fillId="49" borderId="2" xfId="0" applyFont="1" applyFill="1" applyBorder="1" applyAlignment="1" applyProtection="1">
      <alignment horizontal="center"/>
    </xf>
    <xf numFmtId="0" fontId="104" fillId="49" borderId="3" xfId="0" applyFont="1" applyFill="1" applyBorder="1" applyAlignment="1" applyProtection="1">
      <alignment horizontal="center"/>
    </xf>
    <xf numFmtId="0" fontId="104" fillId="49" borderId="4" xfId="0" applyFont="1" applyFill="1" applyBorder="1" applyAlignment="1" applyProtection="1">
      <alignment horizontal="center"/>
    </xf>
    <xf numFmtId="0" fontId="105" fillId="49" borderId="5" xfId="0" applyFont="1" applyFill="1" applyBorder="1" applyAlignment="1" applyProtection="1">
      <alignment horizontal="center"/>
    </xf>
    <xf numFmtId="0" fontId="105" fillId="49" borderId="0" xfId="0" applyFont="1" applyFill="1" applyBorder="1" applyAlignment="1" applyProtection="1">
      <alignment horizontal="center"/>
    </xf>
    <xf numFmtId="0" fontId="105" fillId="49" borderId="6" xfId="0" applyFont="1" applyFill="1" applyBorder="1" applyAlignment="1" applyProtection="1">
      <alignment horizontal="center"/>
    </xf>
    <xf numFmtId="0" fontId="72" fillId="49" borderId="7" xfId="0" applyFont="1" applyFill="1" applyBorder="1" applyAlignment="1" applyProtection="1">
      <alignment horizontal="center" vertical="center"/>
    </xf>
    <xf numFmtId="0" fontId="72" fillId="49" borderId="8" xfId="0" applyFont="1" applyFill="1" applyBorder="1" applyAlignment="1" applyProtection="1">
      <alignment horizontal="center" vertical="center"/>
    </xf>
    <xf numFmtId="0" fontId="72" fillId="49" borderId="9" xfId="0" applyFont="1" applyFill="1" applyBorder="1" applyAlignment="1" applyProtection="1">
      <alignment horizontal="center" vertical="center"/>
    </xf>
    <xf numFmtId="0" fontId="40" fillId="12" borderId="0" xfId="0" applyFont="1" applyFill="1" applyBorder="1" applyAlignment="1">
      <alignment horizontal="center"/>
    </xf>
    <xf numFmtId="0" fontId="72" fillId="12" borderId="0" xfId="0" applyFont="1" applyFill="1" applyAlignment="1" applyProtection="1">
      <alignment horizontal="center" vertical="center"/>
    </xf>
    <xf numFmtId="0" fontId="101" fillId="12" borderId="26" xfId="0" applyFont="1" applyFill="1" applyBorder="1" applyAlignment="1">
      <alignment horizontal="center" vertical="center"/>
    </xf>
    <xf numFmtId="0" fontId="92" fillId="4" borderId="2" xfId="0" applyFont="1" applyFill="1" applyBorder="1" applyAlignment="1">
      <alignment horizontal="center" vertical="center" wrapText="1"/>
    </xf>
    <xf numFmtId="0" fontId="92" fillId="4" borderId="3" xfId="0" applyFont="1" applyFill="1" applyBorder="1" applyAlignment="1">
      <alignment horizontal="center" vertical="center" wrapText="1"/>
    </xf>
    <xf numFmtId="0" fontId="92" fillId="4" borderId="4" xfId="0" applyFont="1" applyFill="1" applyBorder="1" applyAlignment="1">
      <alignment horizontal="center" vertical="center" wrapText="1"/>
    </xf>
    <xf numFmtId="0" fontId="92" fillId="4" borderId="7" xfId="0" applyFont="1" applyFill="1" applyBorder="1" applyAlignment="1">
      <alignment horizontal="center" vertical="center" wrapText="1"/>
    </xf>
    <xf numFmtId="0" fontId="92" fillId="4" borderId="8" xfId="0" applyFont="1" applyFill="1" applyBorder="1" applyAlignment="1">
      <alignment horizontal="center" vertical="center" wrapText="1"/>
    </xf>
    <xf numFmtId="0" fontId="92" fillId="4" borderId="9" xfId="0" applyFont="1" applyFill="1" applyBorder="1" applyAlignment="1">
      <alignment horizontal="center" vertical="center" wrapText="1"/>
    </xf>
    <xf numFmtId="0" fontId="2" fillId="3" borderId="60" xfId="0" applyFont="1" applyFill="1" applyBorder="1" applyAlignment="1">
      <alignment horizontal="center"/>
    </xf>
    <xf numFmtId="0" fontId="2" fillId="3" borderId="61" xfId="0" applyFont="1" applyFill="1" applyBorder="1" applyAlignment="1">
      <alignment horizontal="center"/>
    </xf>
    <xf numFmtId="0" fontId="2" fillId="3" borderId="67" xfId="0" applyFont="1" applyFill="1" applyBorder="1" applyAlignment="1">
      <alignment horizontal="center"/>
    </xf>
    <xf numFmtId="0" fontId="29" fillId="12" borderId="5" xfId="0" applyFont="1" applyFill="1" applyBorder="1" applyAlignment="1" applyProtection="1">
      <alignment horizontal="center" wrapText="1"/>
    </xf>
    <xf numFmtId="0" fontId="29" fillId="12" borderId="0" xfId="0" applyFont="1" applyFill="1" applyBorder="1" applyAlignment="1" applyProtection="1">
      <alignment horizontal="center" wrapText="1"/>
    </xf>
    <xf numFmtId="0" fontId="29" fillId="12" borderId="6" xfId="0" applyFont="1" applyFill="1" applyBorder="1" applyAlignment="1" applyProtection="1">
      <alignment horizontal="center" wrapText="1"/>
    </xf>
    <xf numFmtId="0" fontId="0" fillId="12" borderId="0" xfId="0" applyFill="1" applyBorder="1" applyAlignment="1" applyProtection="1">
      <alignment horizontal="center" vertical="top" wrapText="1"/>
    </xf>
    <xf numFmtId="0" fontId="0" fillId="12" borderId="6" xfId="0" applyFill="1" applyBorder="1" applyAlignment="1" applyProtection="1">
      <alignment horizontal="center" vertical="top" wrapText="1"/>
    </xf>
    <xf numFmtId="0" fontId="2" fillId="12" borderId="2" xfId="0" applyFont="1" applyFill="1" applyBorder="1" applyAlignment="1" applyProtection="1">
      <alignment horizontal="left" vertical="top" wrapText="1"/>
    </xf>
    <xf numFmtId="0" fontId="2" fillId="12" borderId="3" xfId="0" applyFont="1" applyFill="1" applyBorder="1" applyAlignment="1" applyProtection="1">
      <alignment horizontal="left" vertical="top" wrapText="1"/>
    </xf>
    <xf numFmtId="0" fontId="2" fillId="12" borderId="4" xfId="0" applyFont="1" applyFill="1" applyBorder="1" applyAlignment="1" applyProtection="1">
      <alignment horizontal="left" vertical="top" wrapText="1"/>
    </xf>
    <xf numFmtId="0" fontId="2" fillId="12" borderId="5" xfId="0" applyFont="1" applyFill="1" applyBorder="1" applyAlignment="1" applyProtection="1">
      <alignment horizontal="left" vertical="top" wrapText="1"/>
    </xf>
    <xf numFmtId="0" fontId="2" fillId="12" borderId="0" xfId="0" applyFont="1" applyFill="1" applyBorder="1" applyAlignment="1" applyProtection="1">
      <alignment horizontal="left" vertical="top" wrapText="1"/>
    </xf>
    <xf numFmtId="0" fontId="2" fillId="12" borderId="6" xfId="0" applyFont="1" applyFill="1" applyBorder="1" applyAlignment="1" applyProtection="1">
      <alignment horizontal="left" vertical="top" wrapText="1"/>
    </xf>
    <xf numFmtId="0" fontId="2" fillId="12" borderId="7" xfId="0" applyFont="1" applyFill="1" applyBorder="1" applyAlignment="1" applyProtection="1">
      <alignment horizontal="left" vertical="top" wrapText="1"/>
    </xf>
    <xf numFmtId="0" fontId="2" fillId="12" borderId="8" xfId="0" applyFont="1" applyFill="1" applyBorder="1" applyAlignment="1" applyProtection="1">
      <alignment horizontal="left" vertical="top" wrapText="1"/>
    </xf>
    <xf numFmtId="0" fontId="2" fillId="12" borderId="9" xfId="0" applyFont="1" applyFill="1" applyBorder="1" applyAlignment="1" applyProtection="1">
      <alignment horizontal="left" vertical="top" wrapText="1"/>
    </xf>
    <xf numFmtId="6" fontId="21" fillId="2" borderId="0" xfId="0" applyNumberFormat="1" applyFont="1" applyFill="1" applyAlignment="1" applyProtection="1">
      <alignment horizontal="center"/>
    </xf>
    <xf numFmtId="0" fontId="41" fillId="0" borderId="0" xfId="0" applyFont="1" applyAlignment="1" applyProtection="1">
      <alignment horizontal="center"/>
    </xf>
    <xf numFmtId="0" fontId="41" fillId="7" borderId="0" xfId="0" applyFont="1" applyFill="1" applyAlignment="1" applyProtection="1">
      <alignment horizontal="center"/>
    </xf>
    <xf numFmtId="0" fontId="34" fillId="2" borderId="0" xfId="4" applyFont="1" applyFill="1" applyBorder="1" applyAlignment="1" applyProtection="1">
      <alignment horizontal="center"/>
    </xf>
    <xf numFmtId="0" fontId="18" fillId="2" borderId="0" xfId="0" applyFont="1" applyFill="1" applyBorder="1" applyAlignment="1" applyProtection="1">
      <alignment horizontal="center" wrapText="1"/>
    </xf>
    <xf numFmtId="0" fontId="0" fillId="0" borderId="0" xfId="0" applyAlignment="1" applyProtection="1"/>
    <xf numFmtId="0" fontId="0" fillId="2" borderId="11" xfId="0" applyFill="1" applyBorder="1" applyAlignment="1" applyProtection="1">
      <alignment horizontal="center"/>
    </xf>
    <xf numFmtId="0" fontId="0" fillId="2" borderId="12" xfId="0" applyFill="1" applyBorder="1" applyAlignment="1" applyProtection="1">
      <alignment horizontal="center"/>
    </xf>
    <xf numFmtId="0" fontId="0" fillId="2" borderId="13" xfId="0" applyFill="1" applyBorder="1" applyAlignment="1" applyProtection="1">
      <alignment horizontal="center"/>
    </xf>
    <xf numFmtId="0" fontId="0" fillId="2" borderId="14" xfId="0" applyFill="1" applyBorder="1" applyAlignment="1" applyProtection="1">
      <alignment horizontal="center"/>
    </xf>
    <xf numFmtId="0" fontId="0" fillId="2" borderId="15" xfId="0" applyFill="1" applyBorder="1" applyAlignment="1" applyProtection="1">
      <alignment horizontal="center"/>
    </xf>
    <xf numFmtId="0" fontId="0" fillId="2" borderId="16" xfId="0" applyFill="1" applyBorder="1" applyAlignment="1" applyProtection="1">
      <alignment horizontal="center"/>
    </xf>
    <xf numFmtId="0" fontId="15" fillId="0" borderId="26" xfId="0" applyFont="1" applyBorder="1" applyAlignment="1" applyProtection="1">
      <alignment horizontal="center" wrapText="1"/>
    </xf>
    <xf numFmtId="0" fontId="18"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right" vertical="center" wrapText="1" indent="1"/>
    </xf>
    <xf numFmtId="0" fontId="5" fillId="3" borderId="24" xfId="0" applyFont="1" applyFill="1" applyBorder="1" applyAlignment="1" applyProtection="1">
      <alignment horizontal="center"/>
    </xf>
    <xf numFmtId="0" fontId="0" fillId="3" borderId="24" xfId="0" applyFill="1" applyBorder="1" applyAlignment="1" applyProtection="1">
      <alignment horizontal="center"/>
    </xf>
    <xf numFmtId="0" fontId="46" fillId="2" borderId="26" xfId="0" applyFont="1" applyFill="1" applyBorder="1" applyAlignment="1" applyProtection="1">
      <alignment horizontal="center" wrapText="1"/>
    </xf>
    <xf numFmtId="0" fontId="46" fillId="2" borderId="31" xfId="0" applyFont="1" applyFill="1" applyBorder="1" applyAlignment="1" applyProtection="1">
      <alignment horizontal="center" wrapText="1"/>
    </xf>
  </cellXfs>
  <cellStyles count="47">
    <cellStyle name="20% - Accent1" xfId="24" builtinId="30" customBuiltin="1"/>
    <cellStyle name="20% - Accent2" xfId="28" builtinId="34" customBuiltin="1"/>
    <cellStyle name="20% - Accent3" xfId="32" builtinId="38" customBuiltin="1"/>
    <cellStyle name="20% - Accent4" xfId="36" builtinId="42" customBuiltin="1"/>
    <cellStyle name="20% - Accent5" xfId="40" builtinId="46" customBuiltin="1"/>
    <cellStyle name="20% - Accent6" xfId="44" builtinId="50" customBuiltin="1"/>
    <cellStyle name="40% - Accent1" xfId="25" builtinId="31" customBuiltin="1"/>
    <cellStyle name="40% - Accent2" xfId="29" builtinId="35" customBuiltin="1"/>
    <cellStyle name="40% - Accent3" xfId="33" builtinId="39" customBuiltin="1"/>
    <cellStyle name="40% - Accent4" xfId="37" builtinId="43" customBuiltin="1"/>
    <cellStyle name="40% - Accent5" xfId="41" builtinId="47" customBuiltin="1"/>
    <cellStyle name="40% - Accent6" xfId="45" builtinId="51" customBuiltin="1"/>
    <cellStyle name="60% - Accent1" xfId="26" builtinId="32" customBuiltin="1"/>
    <cellStyle name="60% - Accent2" xfId="30" builtinId="36" customBuiltin="1"/>
    <cellStyle name="60% - Accent3" xfId="34" builtinId="40" customBuiltin="1"/>
    <cellStyle name="60% - Accent4" xfId="38" builtinId="44" customBuiltin="1"/>
    <cellStyle name="60% - Accent5" xfId="42" builtinId="48" customBuiltin="1"/>
    <cellStyle name="60% - Accent6" xfId="46" builtinId="52" customBuiltin="1"/>
    <cellStyle name="Accent1" xfId="23" builtinId="29" customBuiltin="1"/>
    <cellStyle name="Accent2" xfId="27" builtinId="33" customBuiltin="1"/>
    <cellStyle name="Accent3" xfId="31" builtinId="37" customBuiltin="1"/>
    <cellStyle name="Accent4" xfId="35" builtinId="41" customBuiltin="1"/>
    <cellStyle name="Accent5" xfId="39" builtinId="45" customBuiltin="1"/>
    <cellStyle name="Accent6" xfId="43" builtinId="49" customBuiltin="1"/>
    <cellStyle name="Bad" xfId="12" builtinId="27" customBuiltin="1"/>
    <cellStyle name="Calculation" xfId="16" builtinId="22" customBuiltin="1"/>
    <cellStyle name="Check Cell" xfId="18" builtinId="23" customBuiltin="1"/>
    <cellStyle name="Comma" xfId="5" builtinId="3"/>
    <cellStyle name="Currency" xfId="1" builtinId="4"/>
    <cellStyle name="Explanatory Text" xfId="21" builtinId="53" customBuiltin="1"/>
    <cellStyle name="Good" xfId="11" builtinId="26" customBuiltin="1"/>
    <cellStyle name="Heading 1" xfId="7" builtinId="16" customBuiltin="1"/>
    <cellStyle name="Heading 2" xfId="8" builtinId="17" customBuiltin="1"/>
    <cellStyle name="Heading 3" xfId="9" builtinId="18" customBuiltin="1"/>
    <cellStyle name="Heading 4" xfId="10" builtinId="19" customBuiltin="1"/>
    <cellStyle name="Hyperlink" xfId="4" builtinId="8"/>
    <cellStyle name="Input" xfId="14" builtinId="20" customBuiltin="1"/>
    <cellStyle name="Linked Cell" xfId="17" builtinId="24" customBuiltin="1"/>
    <cellStyle name="Neutral" xfId="13" builtinId="28" customBuiltin="1"/>
    <cellStyle name="Normal" xfId="0" builtinId="0"/>
    <cellStyle name="Normal 9" xfId="3" xr:uid="{00000000-0005-0000-0000-000028000000}"/>
    <cellStyle name="Note" xfId="20" builtinId="10" customBuiltin="1"/>
    <cellStyle name="Output" xfId="15" builtinId="21" customBuiltin="1"/>
    <cellStyle name="Percent" xfId="2" builtinId="5"/>
    <cellStyle name="Title" xfId="6" builtinId="15" customBuiltin="1"/>
    <cellStyle name="Total" xfId="22" builtinId="25" customBuiltin="1"/>
    <cellStyle name="Warning Text" xfId="19" builtinId="11" customBuiltin="1"/>
  </cellStyles>
  <dxfs count="51">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auto="1"/>
      </font>
      <fill>
        <patternFill>
          <bgColor rgb="FF00B050"/>
        </patternFill>
      </fill>
    </dxf>
    <dxf>
      <font>
        <b/>
        <i val="0"/>
        <color rgb="FFFF0000"/>
      </font>
      <fill>
        <patternFill>
          <bgColor rgb="FFFFCCCC"/>
        </patternFill>
      </fill>
    </dxf>
    <dxf>
      <font>
        <b/>
        <i val="0"/>
        <color rgb="FF00B050"/>
      </font>
      <fill>
        <patternFill>
          <bgColor rgb="FFBAF8BD"/>
        </patternFill>
      </fill>
    </dxf>
    <dxf>
      <font>
        <b/>
        <i val="0"/>
        <color rgb="FFFF0000"/>
      </font>
      <fill>
        <patternFill>
          <bgColor rgb="FFFFCCCC"/>
        </patternFill>
      </fill>
    </dxf>
    <dxf>
      <font>
        <b/>
        <i val="0"/>
        <color rgb="FF00B050"/>
      </font>
      <fill>
        <patternFill>
          <bgColor rgb="FFBAF8BD"/>
        </patternFill>
      </fill>
    </dxf>
    <dxf>
      <font>
        <b/>
        <i val="0"/>
        <color rgb="FFFF0000"/>
      </font>
      <fill>
        <patternFill>
          <bgColor rgb="FFFFCCCC"/>
        </patternFill>
      </fill>
    </dxf>
    <dxf>
      <font>
        <b/>
        <i val="0"/>
        <color rgb="FF00B050"/>
      </font>
      <fill>
        <patternFill>
          <bgColor rgb="FFBAF8BD"/>
        </patternFill>
      </fill>
    </dxf>
    <dxf>
      <font>
        <color rgb="FF9C0006"/>
      </font>
      <fill>
        <patternFill>
          <bgColor rgb="FFFFC7CE"/>
        </patternFill>
      </fill>
    </dxf>
    <dxf>
      <font>
        <color rgb="FF006100"/>
      </font>
      <fill>
        <patternFill>
          <bgColor rgb="FFC6EFCE"/>
        </patternFill>
      </fill>
    </dxf>
    <dxf>
      <font>
        <color rgb="FFFF0000"/>
      </font>
    </dxf>
    <dxf>
      <font>
        <color rgb="FFFF0000"/>
      </font>
    </dxf>
    <dxf>
      <font>
        <b/>
        <i val="0"/>
        <color rgb="FFFF0000"/>
      </font>
      <fill>
        <patternFill>
          <bgColor rgb="FFFFCCCC"/>
        </patternFill>
      </fill>
    </dxf>
    <dxf>
      <font>
        <b/>
        <i val="0"/>
        <color rgb="FF00B050"/>
      </font>
      <fill>
        <patternFill>
          <bgColor rgb="FFBAF8BD"/>
        </patternFill>
      </fill>
    </dxf>
    <dxf>
      <font>
        <b/>
        <i val="0"/>
        <color rgb="FFFF0000"/>
      </font>
      <fill>
        <patternFill>
          <bgColor rgb="FFFFCCCC"/>
        </patternFill>
      </fill>
    </dxf>
    <dxf>
      <font>
        <b/>
        <i val="0"/>
        <color rgb="FF00B050"/>
      </font>
      <fill>
        <patternFill>
          <bgColor rgb="FFBAF8BD"/>
        </patternFill>
      </fill>
    </dxf>
    <dxf>
      <font>
        <b/>
        <i val="0"/>
        <color rgb="FFFF0000"/>
      </font>
      <fill>
        <patternFill>
          <bgColor rgb="FFFFCCCC"/>
        </patternFill>
      </fill>
    </dxf>
    <dxf>
      <font>
        <b/>
        <i val="0"/>
        <color rgb="FF00B050"/>
      </font>
      <fill>
        <patternFill>
          <bgColor rgb="FFBAF8BD"/>
        </patternFill>
      </fill>
    </dxf>
    <dxf>
      <font>
        <b/>
        <i val="0"/>
        <color rgb="FF00B050"/>
      </font>
      <fill>
        <patternFill>
          <bgColor theme="6" tint="0.79998168889431442"/>
        </patternFill>
      </fill>
    </dxf>
    <dxf>
      <font>
        <b/>
        <i val="0"/>
        <color rgb="FFFF0000"/>
      </font>
      <fill>
        <patternFill>
          <bgColor rgb="FFFFCCCC"/>
        </patternFill>
      </fill>
    </dxf>
    <dxf>
      <font>
        <b/>
        <i val="0"/>
        <color rgb="FFFF0000"/>
      </font>
      <fill>
        <patternFill>
          <bgColor rgb="FFFFCCCC"/>
        </patternFill>
      </fill>
    </dxf>
    <dxf>
      <font>
        <b/>
        <i val="0"/>
        <color rgb="FFFF0000"/>
      </font>
    </dxf>
    <dxf>
      <font>
        <b/>
        <i val="0"/>
        <color rgb="FF00B050"/>
      </font>
    </dxf>
    <dxf>
      <font>
        <b/>
        <i val="0"/>
        <color rgb="FFFF0000"/>
      </font>
      <fill>
        <patternFill>
          <bgColor rgb="FFFFCCCC"/>
        </patternFill>
      </fill>
    </dxf>
    <dxf>
      <font>
        <b/>
        <i val="0"/>
        <color rgb="FF00B050"/>
      </font>
      <fill>
        <patternFill>
          <bgColor theme="6" tint="0.59996337778862885"/>
        </patternFill>
      </fill>
    </dxf>
    <dxf>
      <font>
        <color rgb="FFFF0000"/>
      </font>
    </dxf>
    <dxf>
      <font>
        <color rgb="FFFF0000"/>
      </font>
    </dxf>
  </dxfs>
  <tableStyles count="0" defaultTableStyle="TableStyleMedium2" defaultPivotStyle="PivotStyleLight16"/>
  <colors>
    <mruColors>
      <color rgb="FF66FFFF"/>
      <color rgb="FFE5F4FF"/>
      <color rgb="FFCCECFF"/>
      <color rgb="FFF3FAFF"/>
      <color rgb="FFCCFFFF"/>
      <color rgb="FF66CCFF"/>
      <color rgb="FFFFCCCC"/>
      <color rgb="FFFF9999"/>
      <color rgb="FFD5F1F0"/>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2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3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3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3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3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sng" strike="noStrike" kern="1200" spc="0" baseline="0">
                <a:solidFill>
                  <a:sysClr val="windowText" lastClr="000000">
                    <a:lumMod val="65000"/>
                    <a:lumOff val="35000"/>
                  </a:sysClr>
                </a:solidFill>
                <a:effectLst/>
                <a:latin typeface="+mn-lt"/>
                <a:ea typeface="+mn-ea"/>
                <a:cs typeface="+mn-cs"/>
              </a:defRPr>
            </a:pPr>
            <a:r>
              <a:rPr lang="en-US" sz="1400" b="1" i="0" u="sng" strike="noStrike" kern="1200" spc="0" baseline="0">
                <a:solidFill>
                  <a:sysClr val="windowText" lastClr="000000">
                    <a:lumMod val="65000"/>
                    <a:lumOff val="35000"/>
                  </a:sysClr>
                </a:solidFill>
                <a:effectLst/>
                <a:latin typeface="+mn-lt"/>
                <a:ea typeface="+mn-ea"/>
                <a:cs typeface="+mn-cs"/>
              </a:rPr>
              <a:t>eTool Data Results: </a:t>
            </a:r>
          </a:p>
          <a:p>
            <a:pPr algn="ctr" rtl="0">
              <a:defRPr lang="en-US" b="1" u="sng">
                <a:solidFill>
                  <a:sysClr val="windowText" lastClr="000000">
                    <a:lumMod val="65000"/>
                    <a:lumOff val="35000"/>
                  </a:sysClr>
                </a:solidFill>
                <a:effectLst/>
              </a:defRPr>
            </a:pPr>
            <a:r>
              <a:rPr lang="en-US" sz="1400" b="0" i="0" u="none" strike="noStrike" kern="1200" spc="0" baseline="0">
                <a:solidFill>
                  <a:sysClr val="windowText" lastClr="000000">
                    <a:lumMod val="65000"/>
                    <a:lumOff val="35000"/>
                  </a:sysClr>
                </a:solidFill>
                <a:effectLst/>
                <a:latin typeface="+mn-lt"/>
                <a:ea typeface="+mn-ea"/>
                <a:cs typeface="+mn-cs"/>
              </a:rPr>
              <a:t>Income (Revenue) vs. Inflated Needs</a:t>
            </a:r>
          </a:p>
        </c:rich>
      </c:tx>
      <c:overlay val="1"/>
      <c:spPr>
        <a:noFill/>
        <a:ln>
          <a:noFill/>
        </a:ln>
        <a:effectLst/>
      </c:spPr>
      <c:txPr>
        <a:bodyPr rot="0" spcFirstLastPara="1" vertOverflow="ellipsis" vert="horz" wrap="square" anchor="ctr" anchorCtr="1"/>
        <a:lstStyle/>
        <a:p>
          <a:pPr algn="ctr" rtl="0">
            <a:defRPr lang="en-US" sz="1400" b="1" i="0" u="sng" strike="noStrike" kern="1200" spc="0" baseline="0">
              <a:solidFill>
                <a:sysClr val="windowText" lastClr="000000">
                  <a:lumMod val="65000"/>
                  <a:lumOff val="35000"/>
                </a:sysClr>
              </a:solidFill>
              <a:effectLst/>
              <a:latin typeface="+mn-lt"/>
              <a:ea typeface="+mn-ea"/>
              <a:cs typeface="+mn-cs"/>
            </a:defRPr>
          </a:pPr>
          <a:endParaRPr lang="en-US"/>
        </a:p>
      </c:txPr>
    </c:title>
    <c:autoTitleDeleted val="0"/>
    <c:plotArea>
      <c:layout>
        <c:manualLayout>
          <c:layoutTarget val="inner"/>
          <c:xMode val="edge"/>
          <c:yMode val="edge"/>
          <c:x val="0.14025293189251739"/>
          <c:y val="0.31903696292887374"/>
          <c:w val="0.82574235087937053"/>
          <c:h val="0.58536379708372088"/>
        </c:manualLayout>
      </c:layout>
      <c:barChart>
        <c:barDir val="col"/>
        <c:grouping val="clustered"/>
        <c:varyColors val="0"/>
        <c:ser>
          <c:idx val="0"/>
          <c:order val="0"/>
          <c:tx>
            <c:strRef>
              <c:f>'eTool Data Analysis'!$I$57</c:f>
              <c:strCache>
                <c:ptCount val="1"/>
                <c:pt idx="0">
                  <c:v>e-Tool Data Revenue (Ini. Dep.+ADRR+Int.)</c:v>
                </c:pt>
              </c:strCache>
            </c:strRef>
          </c:tx>
          <c:spPr>
            <a:solidFill>
              <a:schemeClr val="accent1"/>
            </a:solidFill>
            <a:ln>
              <a:noFill/>
            </a:ln>
            <a:effectLst/>
          </c:spPr>
          <c:invertIfNegative val="0"/>
          <c:dLbls>
            <c:delete val="1"/>
          </c:dLbls>
          <c:val>
            <c:numRef>
              <c:f>'eTool Data Analysis'!$I$58:$I$77</c:f>
              <c:numCache>
                <c:formatCode>"$"#,##0_);[Red]\("$"#,##0\)</c:formatCode>
                <c:ptCount val="20"/>
                <c:pt idx="0">
                  <c:v>725130.25</c:v>
                </c:pt>
                <c:pt idx="1">
                  <c:v>265858.02</c:v>
                </c:pt>
                <c:pt idx="2">
                  <c:v>278643.67</c:v>
                </c:pt>
                <c:pt idx="3">
                  <c:v>282922.49</c:v>
                </c:pt>
                <c:pt idx="4">
                  <c:v>288229.69</c:v>
                </c:pt>
                <c:pt idx="5">
                  <c:v>290330.39999999997</c:v>
                </c:pt>
                <c:pt idx="6">
                  <c:v>293182.84999999998</c:v>
                </c:pt>
                <c:pt idx="7">
                  <c:v>296901.57999999996</c:v>
                </c:pt>
                <c:pt idx="8">
                  <c:v>303080.37</c:v>
                </c:pt>
                <c:pt idx="9">
                  <c:v>310213.71999999997</c:v>
                </c:pt>
                <c:pt idx="10">
                  <c:v>315565.56999999995</c:v>
                </c:pt>
                <c:pt idx="11">
                  <c:v>315240.15000000002</c:v>
                </c:pt>
                <c:pt idx="12">
                  <c:v>321544.95</c:v>
                </c:pt>
                <c:pt idx="13">
                  <c:v>327975.84999999998</c:v>
                </c:pt>
                <c:pt idx="14">
                  <c:v>334535.37</c:v>
                </c:pt>
                <c:pt idx="15">
                  <c:v>341226.08</c:v>
                </c:pt>
                <c:pt idx="16">
                  <c:v>348050.6</c:v>
                </c:pt>
                <c:pt idx="17">
                  <c:v>355011.61</c:v>
                </c:pt>
                <c:pt idx="18">
                  <c:v>362111.84</c:v>
                </c:pt>
                <c:pt idx="19">
                  <c:v>369354.08</c:v>
                </c:pt>
              </c:numCache>
            </c:numRef>
          </c:val>
          <c:extLst>
            <c:ext xmlns:c16="http://schemas.microsoft.com/office/drawing/2014/chart" uri="{C3380CC4-5D6E-409C-BE32-E72D297353CC}">
              <c16:uniqueId val="{00000000-C090-4E5E-9869-BB152A28125C}"/>
            </c:ext>
          </c:extLst>
        </c:ser>
        <c:ser>
          <c:idx val="1"/>
          <c:order val="1"/>
          <c:tx>
            <c:strRef>
              <c:f>'eTool Data Analysis'!$C$57</c:f>
              <c:strCache>
                <c:ptCount val="1"/>
                <c:pt idx="0">
                  <c:v>Inflated Needs </c:v>
                </c:pt>
              </c:strCache>
            </c:strRef>
          </c:tx>
          <c:spPr>
            <a:solidFill>
              <a:schemeClr val="accent2"/>
            </a:solidFill>
            <a:ln>
              <a:noFill/>
            </a:ln>
            <a:effectLst/>
          </c:spPr>
          <c:invertIfNegative val="0"/>
          <c:dLbls>
            <c:delete val="1"/>
          </c:dLbls>
          <c:val>
            <c:numRef>
              <c:f>'eTool Data Analysis'!$C$58:$C$77</c:f>
              <c:numCache>
                <c:formatCode>"$"#,##0_);[Red]\("$"#,##0\)</c:formatCode>
                <c:ptCount val="20"/>
                <c:pt idx="0">
                  <c:v>0</c:v>
                </c:pt>
                <c:pt idx="1">
                  <c:v>0</c:v>
                </c:pt>
                <c:pt idx="2">
                  <c:v>345094.42</c:v>
                </c:pt>
                <c:pt idx="3">
                  <c:v>287848.42</c:v>
                </c:pt>
                <c:pt idx="4">
                  <c:v>514096.82</c:v>
                </c:pt>
                <c:pt idx="5">
                  <c:v>473399.52</c:v>
                </c:pt>
                <c:pt idx="6">
                  <c:v>425964.13</c:v>
                </c:pt>
                <c:pt idx="7">
                  <c:v>273292.93</c:v>
                </c:pt>
                <c:pt idx="8">
                  <c:v>223601.16</c:v>
                </c:pt>
                <c:pt idx="9">
                  <c:v>357422.04</c:v>
                </c:pt>
                <c:pt idx="10">
                  <c:v>860042.46</c:v>
                </c:pt>
                <c:pt idx="11">
                  <c:v>815520.15</c:v>
                </c:pt>
                <c:pt idx="12">
                  <c:v>728117.64</c:v>
                </c:pt>
                <c:pt idx="13">
                  <c:v>276499.39</c:v>
                </c:pt>
                <c:pt idx="14">
                  <c:v>709668.05</c:v>
                </c:pt>
                <c:pt idx="15">
                  <c:v>670075.81999999995</c:v>
                </c:pt>
                <c:pt idx="16">
                  <c:v>634855.55000000005</c:v>
                </c:pt>
                <c:pt idx="17">
                  <c:v>308527.35999999999</c:v>
                </c:pt>
                <c:pt idx="18">
                  <c:v>169510.22</c:v>
                </c:pt>
                <c:pt idx="19">
                  <c:v>154090.56</c:v>
                </c:pt>
              </c:numCache>
            </c:numRef>
          </c:val>
          <c:extLst>
            <c:ext xmlns:c16="http://schemas.microsoft.com/office/drawing/2014/chart" uri="{C3380CC4-5D6E-409C-BE32-E72D297353CC}">
              <c16:uniqueId val="{00000000-7BC5-4F3B-B046-65D0414F0E3D}"/>
            </c:ext>
          </c:extLst>
        </c:ser>
        <c:dLbls>
          <c:dLblPos val="outEnd"/>
          <c:showLegendKey val="0"/>
          <c:showVal val="1"/>
          <c:showCatName val="0"/>
          <c:showSerName val="0"/>
          <c:showPercent val="0"/>
          <c:showBubbleSize val="0"/>
        </c:dLbls>
        <c:gapWidth val="219"/>
        <c:overlap val="-27"/>
        <c:axId val="442845896"/>
        <c:axId val="442840016"/>
      </c:barChart>
      <c:catAx>
        <c:axId val="442845896"/>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840016"/>
        <c:crosses val="autoZero"/>
        <c:auto val="1"/>
        <c:lblAlgn val="ctr"/>
        <c:lblOffset val="100"/>
        <c:noMultiLvlLbl val="0"/>
      </c:catAx>
      <c:valAx>
        <c:axId val="44284001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845896"/>
        <c:crosses val="autoZero"/>
        <c:crossBetween val="between"/>
      </c:valAx>
      <c:spPr>
        <a:solidFill>
          <a:schemeClr val="bg1">
            <a:lumMod val="95000"/>
          </a:schemeClr>
        </a:solidFill>
        <a:ln>
          <a:noFill/>
        </a:ln>
        <a:effectLst/>
      </c:spPr>
    </c:plotArea>
    <c:legend>
      <c:legendPos val="b"/>
      <c:layout>
        <c:manualLayout>
          <c:xMode val="edge"/>
          <c:yMode val="edge"/>
          <c:x val="0.18290630498151336"/>
          <c:y val="0.17766287858943283"/>
          <c:w val="0.68877484375704623"/>
          <c:h val="5.7227710822139996E-2"/>
        </c:manualLayout>
      </c:layout>
      <c:overlay val="0"/>
      <c:spPr>
        <a:solidFill>
          <a:schemeClr val="bg1">
            <a:lumMod val="95000"/>
          </a:schemeClr>
        </a:solidFill>
        <a:ln>
          <a:solidFill>
            <a:srgbClr val="0070C0"/>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a:gsLst>
        <a:gs pos="0">
          <a:schemeClr val="bg1">
            <a:lumMod val="85000"/>
          </a:schemeClr>
        </a:gs>
        <a:gs pos="100000">
          <a:schemeClr val="bg1">
            <a:lumMod val="75000"/>
          </a:schemeClr>
        </a:gs>
      </a:gsLst>
      <a:lin ang="5400000" scaled="1"/>
    </a:gra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Annual Inflows into the Reserve for Replacements</a:t>
            </a:r>
          </a:p>
        </c:rich>
      </c:tx>
      <c:layout>
        <c:manualLayout>
          <c:xMode val="edge"/>
          <c:yMode val="edge"/>
          <c:x val="0.13370573961273721"/>
          <c:y val="5.6224899598393545E-2"/>
        </c:manualLayout>
      </c:layout>
      <c:overlay val="1"/>
    </c:title>
    <c:autoTitleDeleted val="0"/>
    <c:plotArea>
      <c:layout>
        <c:manualLayout>
          <c:layoutTarget val="inner"/>
          <c:xMode val="edge"/>
          <c:yMode val="edge"/>
          <c:x val="0.12832174103237096"/>
          <c:y val="0.28044208329380577"/>
          <c:w val="0.74787204724409551"/>
          <c:h val="0.60865277382495853"/>
        </c:manualLayout>
      </c:layout>
      <c:barChart>
        <c:barDir val="col"/>
        <c:grouping val="stacked"/>
        <c:varyColors val="0"/>
        <c:ser>
          <c:idx val="1"/>
          <c:order val="0"/>
          <c:tx>
            <c:strRef>
              <c:f>'Trial Deposits Engine'!$G$211</c:f>
              <c:strCache>
                <c:ptCount val="1"/>
                <c:pt idx="0">
                  <c:v>Inflationary Increase in Annual Deposit</c:v>
                </c:pt>
              </c:strCache>
            </c:strRef>
          </c:tx>
          <c:invertIfNegative val="0"/>
          <c:cat>
            <c:numRef>
              <c:f>'Trial Deposits Engine'!$H$208:$AA$208</c:f>
              <c:numCache>
                <c:formatCode>0</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Engine'!$H$211:$AA$211</c:f>
              <c:numCache>
                <c:formatCode>"$"#,##0.0_);[Red]\("$"#,##0.0\)</c:formatCode>
                <c:ptCount val="20"/>
                <c:pt idx="0">
                  <c:v>0</c:v>
                </c:pt>
                <c:pt idx="1">
                  <c:v>5070.7200000000048</c:v>
                </c:pt>
                <c:pt idx="2">
                  <c:v>10242.854399999998</c:v>
                </c:pt>
                <c:pt idx="3">
                  <c:v>15518.431487999982</c:v>
                </c:pt>
                <c:pt idx="4">
                  <c:v>20899.520117759996</c:v>
                </c:pt>
                <c:pt idx="5">
                  <c:v>26388.230520115205</c:v>
                </c:pt>
                <c:pt idx="6">
                  <c:v>31986.715130517521</c:v>
                </c:pt>
                <c:pt idx="7">
                  <c:v>37697.169433127863</c:v>
                </c:pt>
                <c:pt idx="8">
                  <c:v>43521.832821790449</c:v>
                </c:pt>
                <c:pt idx="9">
                  <c:v>49462.989478226256</c:v>
                </c:pt>
                <c:pt idx="10">
                  <c:v>55522.969267790795</c:v>
                </c:pt>
                <c:pt idx="11">
                  <c:v>61704.148653146607</c:v>
                </c:pt>
                <c:pt idx="12">
                  <c:v>68008.951626209528</c:v>
                </c:pt>
                <c:pt idx="13">
                  <c:v>74439.850658733703</c:v>
                </c:pt>
                <c:pt idx="14">
                  <c:v>80999.367671908403</c:v>
                </c:pt>
                <c:pt idx="15">
                  <c:v>87690.075025346596</c:v>
                </c:pt>
                <c:pt idx="16">
                  <c:v>94514.596525853529</c:v>
                </c:pt>
                <c:pt idx="17">
                  <c:v>101475.60845637062</c:v>
                </c:pt>
                <c:pt idx="18">
                  <c:v>108575.84062549805</c:v>
                </c:pt>
                <c:pt idx="19">
                  <c:v>115818.077438008</c:v>
                </c:pt>
              </c:numCache>
            </c:numRef>
          </c:val>
          <c:extLst>
            <c:ext xmlns:c16="http://schemas.microsoft.com/office/drawing/2014/chart" uri="{C3380CC4-5D6E-409C-BE32-E72D297353CC}">
              <c16:uniqueId val="{00000000-3111-4A7F-A880-442FEC4A9025}"/>
            </c:ext>
          </c:extLst>
        </c:ser>
        <c:ser>
          <c:idx val="0"/>
          <c:order val="1"/>
          <c:tx>
            <c:strRef>
              <c:f>'Trial Deposits Engine'!$G$210</c:f>
              <c:strCache>
                <c:ptCount val="1"/>
                <c:pt idx="0">
                  <c:v>Base Annual RfR Deposit</c:v>
                </c:pt>
              </c:strCache>
            </c:strRef>
          </c:tx>
          <c:invertIfNegative val="0"/>
          <c:cat>
            <c:numRef>
              <c:f>'Trial Deposits Engine'!$H$208:$AA$208</c:f>
              <c:numCache>
                <c:formatCode>0</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Engine'!$H$210:$AA$210</c:f>
              <c:numCache>
                <c:formatCode>"$"#,##0.0_);[Red]\("$"#,##0.0\)</c:formatCode>
                <c:ptCount val="20"/>
                <c:pt idx="0">
                  <c:v>253536</c:v>
                </c:pt>
                <c:pt idx="1">
                  <c:v>253536</c:v>
                </c:pt>
                <c:pt idx="2">
                  <c:v>253536</c:v>
                </c:pt>
                <c:pt idx="3">
                  <c:v>253536</c:v>
                </c:pt>
                <c:pt idx="4">
                  <c:v>253536</c:v>
                </c:pt>
                <c:pt idx="5">
                  <c:v>253536</c:v>
                </c:pt>
                <c:pt idx="6">
                  <c:v>253536</c:v>
                </c:pt>
                <c:pt idx="7">
                  <c:v>253536</c:v>
                </c:pt>
                <c:pt idx="8">
                  <c:v>253536</c:v>
                </c:pt>
                <c:pt idx="9">
                  <c:v>253536</c:v>
                </c:pt>
                <c:pt idx="10">
                  <c:v>253536</c:v>
                </c:pt>
                <c:pt idx="11">
                  <c:v>253536</c:v>
                </c:pt>
                <c:pt idx="12">
                  <c:v>253536</c:v>
                </c:pt>
                <c:pt idx="13">
                  <c:v>253536</c:v>
                </c:pt>
                <c:pt idx="14">
                  <c:v>253536</c:v>
                </c:pt>
                <c:pt idx="15">
                  <c:v>253536</c:v>
                </c:pt>
                <c:pt idx="16">
                  <c:v>253536</c:v>
                </c:pt>
                <c:pt idx="17">
                  <c:v>253536</c:v>
                </c:pt>
                <c:pt idx="18">
                  <c:v>253536</c:v>
                </c:pt>
                <c:pt idx="19">
                  <c:v>253536</c:v>
                </c:pt>
              </c:numCache>
            </c:numRef>
          </c:val>
          <c:extLst>
            <c:ext xmlns:c16="http://schemas.microsoft.com/office/drawing/2014/chart" uri="{C3380CC4-5D6E-409C-BE32-E72D297353CC}">
              <c16:uniqueId val="{00000001-3111-4A7F-A880-442FEC4A9025}"/>
            </c:ext>
          </c:extLst>
        </c:ser>
        <c:ser>
          <c:idx val="2"/>
          <c:order val="2"/>
          <c:tx>
            <c:strRef>
              <c:f>'Trial Deposits Engine'!$G$209</c:f>
              <c:strCache>
                <c:ptCount val="1"/>
                <c:pt idx="0">
                  <c:v>Interest Income on RfR balance</c:v>
                </c:pt>
              </c:strCache>
            </c:strRef>
          </c:tx>
          <c:spPr>
            <a:ln w="25400">
              <a:noFill/>
            </a:ln>
          </c:spPr>
          <c:invertIfNegative val="0"/>
          <c:cat>
            <c:numRef>
              <c:f>'Trial Deposits Engine'!$H$208:$AA$208</c:f>
              <c:numCache>
                <c:formatCode>0</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Engine'!$H$209:$AA$209</c:f>
              <c:numCache>
                <c:formatCode>"$"#,##0.0_);[Red]\("$"#,##0.0\)</c:formatCode>
                <c:ptCount val="20"/>
                <c:pt idx="0">
                  <c:v>4669.25</c:v>
                </c:pt>
                <c:pt idx="1">
                  <c:v>7251.3024999999998</c:v>
                </c:pt>
                <c:pt idx="2">
                  <c:v>14864.824087499999</c:v>
                </c:pt>
                <c:pt idx="3">
                  <c:v>13868.0629648125</c:v>
                </c:pt>
                <c:pt idx="4">
                  <c:v>13794.174081604688</c:v>
                </c:pt>
                <c:pt idx="5">
                  <c:v>10406.167194595157</c:v>
                </c:pt>
                <c:pt idx="6">
                  <c:v>7660.1303603158112</c:v>
                </c:pt>
                <c:pt idx="7">
                  <c:v>5668.4110926783096</c:v>
                </c:pt>
                <c:pt idx="8">
                  <c:v>6022.5408505654032</c:v>
                </c:pt>
                <c:pt idx="9">
                  <c:v>7214.7290556507396</c:v>
                </c:pt>
                <c:pt idx="10">
                  <c:v>6506.6042336588962</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2-3111-4A7F-A880-442FEC4A9025}"/>
            </c:ext>
          </c:extLst>
        </c:ser>
        <c:ser>
          <c:idx val="3"/>
          <c:order val="3"/>
          <c:tx>
            <c:strRef>
              <c:f>'Trial Deposits Engine'!$G$212</c:f>
              <c:strCache>
                <c:ptCount val="1"/>
                <c:pt idx="0">
                  <c:v>Note: Highest Annual Withdrawal to equalize Sources and Needs graphs scales</c:v>
                </c:pt>
              </c:strCache>
            </c:strRef>
          </c:tx>
          <c:invertIfNegative val="0"/>
          <c:cat>
            <c:numRef>
              <c:f>'Trial Deposits Engine'!$H$208:$AA$208</c:f>
              <c:numCache>
                <c:formatCode>0</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Engine'!$H$212:$AB$212</c:f>
              <c:numCache>
                <c:formatCode>"$"#,##0.0_);[Red]\("$"#,##0.0\)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860042.46</c:v>
                </c:pt>
              </c:numCache>
            </c:numRef>
          </c:val>
          <c:extLst>
            <c:ext xmlns:c16="http://schemas.microsoft.com/office/drawing/2014/chart" uri="{C3380CC4-5D6E-409C-BE32-E72D297353CC}">
              <c16:uniqueId val="{00000003-3111-4A7F-A880-442FEC4A9025}"/>
            </c:ext>
          </c:extLst>
        </c:ser>
        <c:dLbls>
          <c:showLegendKey val="0"/>
          <c:showVal val="0"/>
          <c:showCatName val="0"/>
          <c:showSerName val="0"/>
          <c:showPercent val="0"/>
          <c:showBubbleSize val="0"/>
        </c:dLbls>
        <c:gapWidth val="150"/>
        <c:overlap val="100"/>
        <c:axId val="516824408"/>
        <c:axId val="516822448"/>
      </c:barChart>
      <c:catAx>
        <c:axId val="516824408"/>
        <c:scaling>
          <c:orientation val="minMax"/>
        </c:scaling>
        <c:delete val="0"/>
        <c:axPos val="b"/>
        <c:title>
          <c:tx>
            <c:rich>
              <a:bodyPr/>
              <a:lstStyle/>
              <a:p>
                <a:pPr>
                  <a:defRPr/>
                </a:pPr>
                <a:r>
                  <a:rPr lang="en-US"/>
                  <a:t>Relative Year</a:t>
                </a:r>
              </a:p>
            </c:rich>
          </c:tx>
          <c:overlay val="0"/>
        </c:title>
        <c:numFmt formatCode="0" sourceLinked="1"/>
        <c:majorTickMark val="out"/>
        <c:minorTickMark val="none"/>
        <c:tickLblPos val="nextTo"/>
        <c:crossAx val="516822448"/>
        <c:crosses val="autoZero"/>
        <c:auto val="1"/>
        <c:lblAlgn val="ctr"/>
        <c:lblOffset val="100"/>
        <c:noMultiLvlLbl val="0"/>
      </c:catAx>
      <c:valAx>
        <c:axId val="516822448"/>
        <c:scaling>
          <c:orientation val="minMax"/>
        </c:scaling>
        <c:delete val="0"/>
        <c:axPos val="l"/>
        <c:majorGridlines/>
        <c:numFmt formatCode="&quot;$&quot;#,##0_);[Red]\(&quot;$&quot;#,##0\)" sourceLinked="0"/>
        <c:majorTickMark val="out"/>
        <c:minorTickMark val="none"/>
        <c:tickLblPos val="nextTo"/>
        <c:crossAx val="516824408"/>
        <c:crosses val="autoZero"/>
        <c:crossBetween val="between"/>
      </c:valAx>
    </c:plotArea>
    <c:legend>
      <c:legendPos val="r"/>
      <c:layout>
        <c:manualLayout>
          <c:xMode val="edge"/>
          <c:yMode val="edge"/>
          <c:x val="0.14731441588669375"/>
          <c:y val="0.21501017192128091"/>
          <c:w val="0.46143271278318077"/>
          <c:h val="0.31591689593017813"/>
        </c:manualLayout>
      </c:layout>
      <c:overlay val="0"/>
      <c:spPr>
        <a:solidFill>
          <a:schemeClr val="accent1">
            <a:lumMod val="20000"/>
            <a:lumOff val="80000"/>
          </a:schemeClr>
        </a:solidFill>
        <a:ln>
          <a:solidFill>
            <a:schemeClr val="tx1"/>
          </a:solidFill>
        </a:ln>
      </c:spPr>
      <c:txPr>
        <a:bodyPr/>
        <a:lstStyle/>
        <a:p>
          <a:pPr>
            <a:defRPr lang="en-US" sz="1000" b="0" i="0" u="none" strike="noStrike" kern="1200" baseline="0">
              <a:solidFill>
                <a:sysClr val="windowText" lastClr="000000"/>
              </a:solidFill>
              <a:latin typeface="+mn-lt"/>
              <a:ea typeface="+mn-ea"/>
              <a:cs typeface="+mn-cs"/>
            </a:defRPr>
          </a:pPr>
          <a:endParaRPr lang="en-US"/>
        </a:p>
      </c:txPr>
    </c:legend>
    <c:plotVisOnly val="1"/>
    <c:dispBlanksAs val="zero"/>
    <c:showDLblsOverMax val="0"/>
  </c:chart>
  <c:printSettings>
    <c:headerFooter/>
    <c:pageMargins b="0.75000000000000078" l="0.70000000000000062" r="0.70000000000000062" t="0.75000000000000078" header="0.30000000000000032" footer="0.30000000000000032"/>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Duration Adjusted Annual Needs Showing Inflationary Adjustments</a:t>
            </a:r>
          </a:p>
        </c:rich>
      </c:tx>
      <c:layout>
        <c:manualLayout>
          <c:xMode val="edge"/>
          <c:yMode val="edge"/>
          <c:x val="0.13341805516627969"/>
          <c:y val="6.7476383265856948E-2"/>
        </c:manualLayout>
      </c:layout>
      <c:overlay val="1"/>
    </c:title>
    <c:autoTitleDeleted val="0"/>
    <c:plotArea>
      <c:layout>
        <c:manualLayout>
          <c:layoutTarget val="inner"/>
          <c:xMode val="edge"/>
          <c:yMode val="edge"/>
          <c:x val="0.12752471158496492"/>
          <c:y val="0.26862009595739339"/>
          <c:w val="0.81055650652364108"/>
          <c:h val="0.63399738298018948"/>
        </c:manualLayout>
      </c:layout>
      <c:barChart>
        <c:barDir val="col"/>
        <c:grouping val="stacked"/>
        <c:varyColors val="0"/>
        <c:ser>
          <c:idx val="0"/>
          <c:order val="0"/>
          <c:tx>
            <c:strRef>
              <c:f>'Trial Deposits Engine'!$G$216</c:f>
              <c:strCache>
                <c:ptCount val="1"/>
                <c:pt idx="0">
                  <c:v>Duration Adjusted Uninflated Needs</c:v>
                </c:pt>
              </c:strCache>
            </c:strRef>
          </c:tx>
          <c:spPr>
            <a:solidFill>
              <a:srgbClr val="FF0000"/>
            </a:solidFill>
          </c:spPr>
          <c:invertIfNegative val="0"/>
          <c:cat>
            <c:numRef>
              <c:f>'Trial Deposits Engine'!$H$215:$AA$215</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Engine'!$H$216:$AA$216</c:f>
              <c:numCache>
                <c:formatCode>"$"#,##0_);[Red]\("$"#,##0\)</c:formatCode>
                <c:ptCount val="20"/>
                <c:pt idx="0">
                  <c:v>0</c:v>
                </c:pt>
                <c:pt idx="1">
                  <c:v>0</c:v>
                </c:pt>
                <c:pt idx="2">
                  <c:v>-331693.98308342946</c:v>
                </c:pt>
                <c:pt idx="3">
                  <c:v>-271245.99513007817</c:v>
                </c:pt>
                <c:pt idx="4">
                  <c:v>-474945.99569177622</c:v>
                </c:pt>
                <c:pt idx="5">
                  <c:v>-428772.53062269348</c:v>
                </c:pt>
                <c:pt idx="6">
                  <c:v>-378243.95727783878</c:v>
                </c:pt>
                <c:pt idx="7">
                  <c:v>-237917.94195471983</c:v>
                </c:pt>
                <c:pt idx="8">
                  <c:v>-190841.43704693948</c:v>
                </c:pt>
                <c:pt idx="9">
                  <c:v>-299074.7741089479</c:v>
                </c:pt>
                <c:pt idx="10">
                  <c:v>-705534.36988144612</c:v>
                </c:pt>
                <c:pt idx="11">
                  <c:v>-655892.71428081521</c:v>
                </c:pt>
                <c:pt idx="12">
                  <c:v>-574115.79016062117</c:v>
                </c:pt>
                <c:pt idx="13">
                  <c:v>-213743.02163479498</c:v>
                </c:pt>
                <c:pt idx="14">
                  <c:v>-537839.69084327342</c:v>
                </c:pt>
                <c:pt idx="15">
                  <c:v>-497876.20446913538</c:v>
                </c:pt>
                <c:pt idx="16">
                  <c:v>-462457.86771074776</c:v>
                </c:pt>
                <c:pt idx="17">
                  <c:v>-220338.69000814162</c:v>
                </c:pt>
                <c:pt idx="18">
                  <c:v>-118684.16968548525</c:v>
                </c:pt>
                <c:pt idx="19">
                  <c:v>-105772.50017421845</c:v>
                </c:pt>
              </c:numCache>
            </c:numRef>
          </c:val>
          <c:extLst>
            <c:ext xmlns:c16="http://schemas.microsoft.com/office/drawing/2014/chart" uri="{C3380CC4-5D6E-409C-BE32-E72D297353CC}">
              <c16:uniqueId val="{00000000-712B-4965-9A27-C2B50382DBED}"/>
            </c:ext>
          </c:extLst>
        </c:ser>
        <c:ser>
          <c:idx val="1"/>
          <c:order val="1"/>
          <c:tx>
            <c:strRef>
              <c:f>'Trial Deposits Engine'!$G$217</c:f>
              <c:strCache>
                <c:ptCount val="1"/>
                <c:pt idx="0">
                  <c:v>Inflation in Needs Amount</c:v>
                </c:pt>
              </c:strCache>
            </c:strRef>
          </c:tx>
          <c:invertIfNegative val="0"/>
          <c:cat>
            <c:numRef>
              <c:f>'Trial Deposits Engine'!$H$215:$AA$215</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Engine'!$H$217:$AA$217</c:f>
              <c:numCache>
                <c:formatCode>"$"#,##0_);[Red]\("$"#,##0\)</c:formatCode>
                <c:ptCount val="20"/>
                <c:pt idx="0">
                  <c:v>0</c:v>
                </c:pt>
                <c:pt idx="1">
                  <c:v>0</c:v>
                </c:pt>
                <c:pt idx="2">
                  <c:v>-13400.436916570547</c:v>
                </c:pt>
                <c:pt idx="3">
                  <c:v>-16602.424869921804</c:v>
                </c:pt>
                <c:pt idx="4">
                  <c:v>-39150.824308223797</c:v>
                </c:pt>
                <c:pt idx="5">
                  <c:v>-44626.989377306541</c:v>
                </c:pt>
                <c:pt idx="6">
                  <c:v>-47720.172722161224</c:v>
                </c:pt>
                <c:pt idx="7">
                  <c:v>-35374.988045280174</c:v>
                </c:pt>
                <c:pt idx="8">
                  <c:v>-32759.722953060496</c:v>
                </c:pt>
                <c:pt idx="9">
                  <c:v>-58347.265891052099</c:v>
                </c:pt>
                <c:pt idx="10">
                  <c:v>-154508.09011855387</c:v>
                </c:pt>
                <c:pt idx="11">
                  <c:v>-159627.43571918478</c:v>
                </c:pt>
                <c:pt idx="12">
                  <c:v>-154001.84983937882</c:v>
                </c:pt>
                <c:pt idx="13">
                  <c:v>-62756.368365205039</c:v>
                </c:pt>
                <c:pt idx="14">
                  <c:v>-171828.35915672668</c:v>
                </c:pt>
                <c:pt idx="15">
                  <c:v>-172199.6155308646</c:v>
                </c:pt>
                <c:pt idx="16">
                  <c:v>-172397.68228925229</c:v>
                </c:pt>
                <c:pt idx="17">
                  <c:v>-88188.669991858362</c:v>
                </c:pt>
                <c:pt idx="18">
                  <c:v>-50826.05031451476</c:v>
                </c:pt>
                <c:pt idx="19">
                  <c:v>-48318.059825781536</c:v>
                </c:pt>
              </c:numCache>
            </c:numRef>
          </c:val>
          <c:extLst>
            <c:ext xmlns:c16="http://schemas.microsoft.com/office/drawing/2014/chart" uri="{C3380CC4-5D6E-409C-BE32-E72D297353CC}">
              <c16:uniqueId val="{00000001-712B-4965-9A27-C2B50382DBED}"/>
            </c:ext>
          </c:extLst>
        </c:ser>
        <c:dLbls>
          <c:showLegendKey val="0"/>
          <c:showVal val="0"/>
          <c:showCatName val="0"/>
          <c:showSerName val="0"/>
          <c:showPercent val="0"/>
          <c:showBubbleSize val="0"/>
        </c:dLbls>
        <c:gapWidth val="150"/>
        <c:overlap val="100"/>
        <c:axId val="516825976"/>
        <c:axId val="516818528"/>
      </c:barChart>
      <c:catAx>
        <c:axId val="516825976"/>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6818528"/>
        <c:crosses val="autoZero"/>
        <c:auto val="1"/>
        <c:lblAlgn val="ctr"/>
        <c:lblOffset val="100"/>
        <c:noMultiLvlLbl val="0"/>
      </c:catAx>
      <c:valAx>
        <c:axId val="516818528"/>
        <c:scaling>
          <c:orientation val="minMax"/>
        </c:scaling>
        <c:delete val="0"/>
        <c:axPos val="l"/>
        <c:majorGridlines/>
        <c:numFmt formatCode="&quot;$&quot;#,##0_);[Red]\(&quot;$&quot;#,##0\)" sourceLinked="1"/>
        <c:majorTickMark val="out"/>
        <c:minorTickMark val="none"/>
        <c:tickLblPos val="nextTo"/>
        <c:crossAx val="516825976"/>
        <c:crosses val="autoZero"/>
        <c:crossBetween val="between"/>
      </c:valAx>
    </c:plotArea>
    <c:legend>
      <c:legendPos val="r"/>
      <c:layout>
        <c:manualLayout>
          <c:xMode val="edge"/>
          <c:yMode val="edge"/>
          <c:x val="0.18011336702816794"/>
          <c:y val="0.41751513093717496"/>
          <c:w val="0.21993796967990631"/>
          <c:h val="9.7416368408494491E-2"/>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0.1343073700640155"/>
          <c:y val="0.27576859795510666"/>
          <c:w val="0.79370549929505663"/>
          <c:h val="0.62726720727073304"/>
        </c:manualLayout>
      </c:layout>
      <c:barChart>
        <c:barDir val="col"/>
        <c:grouping val="stacked"/>
        <c:varyColors val="0"/>
        <c:ser>
          <c:idx val="1"/>
          <c:order val="1"/>
          <c:tx>
            <c:strRef>
              <c:f>'Trial Deposits Engine'!$G$222</c:f>
              <c:strCache>
                <c:ptCount val="1"/>
                <c:pt idx="0">
                  <c:v>Net Annual Change in R4R</c:v>
                </c:pt>
              </c:strCache>
            </c:strRef>
          </c:tx>
          <c:spPr>
            <a:solidFill>
              <a:srgbClr val="0099CC"/>
            </a:solidFill>
          </c:spPr>
          <c:invertIfNegative val="0"/>
          <c:val>
            <c:numRef>
              <c:f>'Trial Deposits Engine'!$H$222:$AA$222</c:f>
              <c:numCache>
                <c:formatCode>"$"#,##0.00_);[Red]\("$"#,##0.00\)</c:formatCode>
                <c:ptCount val="20"/>
                <c:pt idx="0">
                  <c:v>258205.25</c:v>
                </c:pt>
                <c:pt idx="1">
                  <c:v>265858.02250000002</c:v>
                </c:pt>
                <c:pt idx="2">
                  <c:v>-66450.741512499982</c:v>
                </c:pt>
                <c:pt idx="3">
                  <c:v>-4925.9255471875076</c:v>
                </c:pt>
                <c:pt idx="4">
                  <c:v>-225867.12580063532</c:v>
                </c:pt>
                <c:pt idx="5">
                  <c:v>-183069.12228528969</c:v>
                </c:pt>
                <c:pt idx="6">
                  <c:v>-132781.28450916667</c:v>
                </c:pt>
                <c:pt idx="7">
                  <c:v>23608.650525806181</c:v>
                </c:pt>
                <c:pt idx="8">
                  <c:v>79479.213672355865</c:v>
                </c:pt>
                <c:pt idx="9">
                  <c:v>-47208.321466122987</c:v>
                </c:pt>
                <c:pt idx="10">
                  <c:v>-544476.88649855019</c:v>
                </c:pt>
                <c:pt idx="11">
                  <c:v>-500280.00134685345</c:v>
                </c:pt>
                <c:pt idx="12">
                  <c:v>-406572.68837379047</c:v>
                </c:pt>
                <c:pt idx="13">
                  <c:v>51476.460658733675</c:v>
                </c:pt>
                <c:pt idx="14">
                  <c:v>-375132.68232809164</c:v>
                </c:pt>
                <c:pt idx="15">
                  <c:v>-328849.74497465335</c:v>
                </c:pt>
                <c:pt idx="16">
                  <c:v>-286804.95347414655</c:v>
                </c:pt>
                <c:pt idx="17">
                  <c:v>46484.248456370668</c:v>
                </c:pt>
                <c:pt idx="18">
                  <c:v>192601.62062549804</c:v>
                </c:pt>
                <c:pt idx="19">
                  <c:v>215263.51743800798</c:v>
                </c:pt>
              </c:numCache>
            </c:numRef>
          </c:val>
          <c:extLst>
            <c:ext xmlns:c16="http://schemas.microsoft.com/office/drawing/2014/chart" uri="{C3380CC4-5D6E-409C-BE32-E72D297353CC}">
              <c16:uniqueId val="{00000000-B4B0-48BB-A67B-234CD17F37B1}"/>
            </c:ext>
          </c:extLst>
        </c:ser>
        <c:dLbls>
          <c:showLegendKey val="0"/>
          <c:showVal val="0"/>
          <c:showCatName val="0"/>
          <c:showSerName val="0"/>
          <c:showPercent val="0"/>
          <c:showBubbleSize val="0"/>
        </c:dLbls>
        <c:gapWidth val="150"/>
        <c:overlap val="100"/>
        <c:axId val="516827544"/>
        <c:axId val="516818920"/>
        <c:extLst>
          <c:ext xmlns:c15="http://schemas.microsoft.com/office/drawing/2012/chart" uri="{02D57815-91ED-43cb-92C2-25804820EDAC}">
            <c15:filteredBarSeries>
              <c15:ser>
                <c:idx val="0"/>
                <c:order val="0"/>
                <c:tx>
                  <c:strRef>
                    <c:extLst>
                      <c:ext uri="{02D57815-91ED-43cb-92C2-25804820EDAC}">
                        <c15:formulaRef>
                          <c15:sqref>'Trial Deposits Engine'!$G$221</c15:sqref>
                        </c15:formulaRef>
                      </c:ext>
                    </c:extLst>
                    <c:strCache>
                      <c:ptCount val="1"/>
                      <c:pt idx="0">
                        <c:v>Year of Deposit or Withdraw</c:v>
                      </c:pt>
                    </c:strCache>
                  </c:strRef>
                </c:tx>
                <c:invertIfNegative val="0"/>
                <c:val>
                  <c:numRef>
                    <c:extLst>
                      <c:ext uri="{02D57815-91ED-43cb-92C2-25804820EDAC}">
                        <c15:formulaRef>
                          <c15:sqref>'Trial Deposits Engine'!$H$221:$AA$221</c15:sqref>
                        </c15:formulaRef>
                      </c:ext>
                    </c:extLst>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val>
                <c:extLst>
                  <c:ext xmlns:c16="http://schemas.microsoft.com/office/drawing/2014/chart" uri="{C3380CC4-5D6E-409C-BE32-E72D297353CC}">
                    <c16:uniqueId val="{00000000-1AE7-4FD6-B590-93D2EDEA4615}"/>
                  </c:ext>
                </c:extLst>
              </c15:ser>
            </c15:filteredBarSeries>
          </c:ext>
        </c:extLst>
      </c:barChart>
      <c:catAx>
        <c:axId val="516827544"/>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6818920"/>
        <c:crosses val="autoZero"/>
        <c:auto val="1"/>
        <c:lblAlgn val="ctr"/>
        <c:lblOffset val="100"/>
        <c:noMultiLvlLbl val="0"/>
      </c:catAx>
      <c:valAx>
        <c:axId val="516818920"/>
        <c:scaling>
          <c:orientation val="minMax"/>
        </c:scaling>
        <c:delete val="0"/>
        <c:axPos val="l"/>
        <c:majorGridlines/>
        <c:numFmt formatCode="&quot;$&quot;#,##0.00_);[Red]\(&quot;$&quot;#,##0.00\)" sourceLinked="1"/>
        <c:majorTickMark val="out"/>
        <c:minorTickMark val="none"/>
        <c:tickLblPos val="nextTo"/>
        <c:crossAx val="516827544"/>
        <c:crosses val="autoZero"/>
        <c:crossBetween val="between"/>
      </c:valAx>
    </c:plotArea>
    <c:legend>
      <c:legendPos val="r"/>
      <c:layout>
        <c:manualLayout>
          <c:xMode val="edge"/>
          <c:yMode val="edge"/>
          <c:x val="0.31207564218407124"/>
          <c:y val="0.56784887183219745"/>
          <c:w val="0.22446265938069218"/>
          <c:h val="5.0652418447694039E-2"/>
        </c:manualLayout>
      </c:layout>
      <c:overlay val="0"/>
      <c:spPr>
        <a:solidFill>
          <a:schemeClr val="accent1">
            <a:lumMod val="20000"/>
            <a:lumOff val="80000"/>
          </a:schemeClr>
        </a:solidFill>
        <a:ln>
          <a:solidFill>
            <a:schemeClr val="tx1"/>
          </a:solidFill>
        </a:ln>
      </c:spPr>
    </c:legend>
    <c:plotVisOnly val="1"/>
    <c:dispBlanksAs val="gap"/>
    <c:showDLblsOverMax val="0"/>
  </c:chart>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Sources for funding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2143028945421092"/>
          <c:y val="0.19705063390421468"/>
          <c:w val="0.82122641949426745"/>
          <c:h val="0.70448937581491888"/>
        </c:manualLayout>
      </c:layout>
      <c:areaChart>
        <c:grouping val="stacked"/>
        <c:varyColors val="0"/>
        <c:ser>
          <c:idx val="1"/>
          <c:order val="0"/>
          <c:tx>
            <c:strRef>
              <c:f>'Trial Deposits Engine'!$G$227</c:f>
              <c:strCache>
                <c:ptCount val="1"/>
                <c:pt idx="0">
                  <c:v>Initial Deposit</c:v>
                </c:pt>
              </c:strCache>
            </c:strRef>
          </c:tx>
          <c:val>
            <c:numRef>
              <c:f>'Trial Deposits Engine'!$H$227:$AA$227</c:f>
              <c:numCache>
                <c:formatCode>"$"#,##0</c:formatCode>
                <c:ptCount val="20"/>
                <c:pt idx="0">
                  <c:v>466925</c:v>
                </c:pt>
                <c:pt idx="1">
                  <c:v>466925</c:v>
                </c:pt>
                <c:pt idx="2">
                  <c:v>466925</c:v>
                </c:pt>
                <c:pt idx="3">
                  <c:v>466925</c:v>
                </c:pt>
                <c:pt idx="4">
                  <c:v>466925</c:v>
                </c:pt>
                <c:pt idx="5">
                  <c:v>466925</c:v>
                </c:pt>
                <c:pt idx="6">
                  <c:v>466925</c:v>
                </c:pt>
                <c:pt idx="7">
                  <c:v>466925</c:v>
                </c:pt>
                <c:pt idx="8">
                  <c:v>466925</c:v>
                </c:pt>
                <c:pt idx="9">
                  <c:v>466925</c:v>
                </c:pt>
                <c:pt idx="10">
                  <c:v>466925</c:v>
                </c:pt>
                <c:pt idx="11">
                  <c:v>466925</c:v>
                </c:pt>
                <c:pt idx="12">
                  <c:v>466925</c:v>
                </c:pt>
                <c:pt idx="13">
                  <c:v>466925</c:v>
                </c:pt>
                <c:pt idx="14">
                  <c:v>466925</c:v>
                </c:pt>
                <c:pt idx="15">
                  <c:v>466925</c:v>
                </c:pt>
                <c:pt idx="16">
                  <c:v>466925</c:v>
                </c:pt>
                <c:pt idx="17">
                  <c:v>466925</c:v>
                </c:pt>
                <c:pt idx="18">
                  <c:v>466925</c:v>
                </c:pt>
                <c:pt idx="19">
                  <c:v>466925</c:v>
                </c:pt>
              </c:numCache>
            </c:numRef>
          </c:val>
          <c:extLst>
            <c:ext xmlns:c16="http://schemas.microsoft.com/office/drawing/2014/chart" uri="{C3380CC4-5D6E-409C-BE32-E72D297353CC}">
              <c16:uniqueId val="{00000000-8531-4083-AAD4-944FEFD41EE7}"/>
            </c:ext>
          </c:extLst>
        </c:ser>
        <c:ser>
          <c:idx val="2"/>
          <c:order val="1"/>
          <c:tx>
            <c:strRef>
              <c:f>'Trial Deposits Engine'!$G$228</c:f>
              <c:strCache>
                <c:ptCount val="1"/>
                <c:pt idx="0">
                  <c:v>Interest Income on RfR balance</c:v>
                </c:pt>
              </c:strCache>
            </c:strRef>
          </c:tx>
          <c:val>
            <c:numRef>
              <c:f>'Trial Deposits Engine'!$H$228:$AA$228</c:f>
              <c:numCache>
                <c:formatCode>"$"#,##0</c:formatCode>
                <c:ptCount val="20"/>
                <c:pt idx="0">
                  <c:v>4669.25</c:v>
                </c:pt>
                <c:pt idx="1">
                  <c:v>11920.5525</c:v>
                </c:pt>
                <c:pt idx="2">
                  <c:v>26785.376587499999</c:v>
                </c:pt>
                <c:pt idx="3">
                  <c:v>40653.439552312499</c:v>
                </c:pt>
                <c:pt idx="4">
                  <c:v>54447.613633917186</c:v>
                </c:pt>
                <c:pt idx="5">
                  <c:v>64853.780828512346</c:v>
                </c:pt>
                <c:pt idx="6">
                  <c:v>72513.911188828162</c:v>
                </c:pt>
                <c:pt idx="7">
                  <c:v>78182.322281506466</c:v>
                </c:pt>
                <c:pt idx="8">
                  <c:v>84204.86313207187</c:v>
                </c:pt>
                <c:pt idx="9">
                  <c:v>91419.592187722606</c:v>
                </c:pt>
                <c:pt idx="10">
                  <c:v>97926.196421381508</c:v>
                </c:pt>
                <c:pt idx="11">
                  <c:v>97926.196421381508</c:v>
                </c:pt>
                <c:pt idx="12">
                  <c:v>97926.196421381508</c:v>
                </c:pt>
                <c:pt idx="13">
                  <c:v>97926.196421381508</c:v>
                </c:pt>
                <c:pt idx="14">
                  <c:v>97926.196421381508</c:v>
                </c:pt>
                <c:pt idx="15">
                  <c:v>97926.196421381508</c:v>
                </c:pt>
                <c:pt idx="16">
                  <c:v>97926.196421381508</c:v>
                </c:pt>
                <c:pt idx="17">
                  <c:v>97926.196421381508</c:v>
                </c:pt>
                <c:pt idx="18">
                  <c:v>97926.196421381508</c:v>
                </c:pt>
                <c:pt idx="19">
                  <c:v>97926.196421381508</c:v>
                </c:pt>
              </c:numCache>
            </c:numRef>
          </c:val>
          <c:extLst>
            <c:ext xmlns:c16="http://schemas.microsoft.com/office/drawing/2014/chart" uri="{C3380CC4-5D6E-409C-BE32-E72D297353CC}">
              <c16:uniqueId val="{00000001-8531-4083-AAD4-944FEFD41EE7}"/>
            </c:ext>
          </c:extLst>
        </c:ser>
        <c:ser>
          <c:idx val="3"/>
          <c:order val="2"/>
          <c:tx>
            <c:strRef>
              <c:f>'Trial Deposits Engine'!$G$229</c:f>
              <c:strCache>
                <c:ptCount val="1"/>
                <c:pt idx="0">
                  <c:v>Base Annual RfR Deposit</c:v>
                </c:pt>
              </c:strCache>
            </c:strRef>
          </c:tx>
          <c:val>
            <c:numRef>
              <c:f>'Trial Deposits Engine'!$H$229:$AA$229</c:f>
              <c:numCache>
                <c:formatCode>"$"#,##0</c:formatCode>
                <c:ptCount val="20"/>
                <c:pt idx="0">
                  <c:v>253536</c:v>
                </c:pt>
                <c:pt idx="1">
                  <c:v>507072</c:v>
                </c:pt>
                <c:pt idx="2">
                  <c:v>760608</c:v>
                </c:pt>
                <c:pt idx="3">
                  <c:v>1014144</c:v>
                </c:pt>
                <c:pt idx="4">
                  <c:v>1267680</c:v>
                </c:pt>
                <c:pt idx="5">
                  <c:v>1521216</c:v>
                </c:pt>
                <c:pt idx="6">
                  <c:v>1774752</c:v>
                </c:pt>
                <c:pt idx="7">
                  <c:v>2028288</c:v>
                </c:pt>
                <c:pt idx="8">
                  <c:v>2281824</c:v>
                </c:pt>
                <c:pt idx="9">
                  <c:v>2535360</c:v>
                </c:pt>
                <c:pt idx="10">
                  <c:v>2788896</c:v>
                </c:pt>
                <c:pt idx="11">
                  <c:v>3042432</c:v>
                </c:pt>
                <c:pt idx="12">
                  <c:v>3295968</c:v>
                </c:pt>
                <c:pt idx="13">
                  <c:v>3549504</c:v>
                </c:pt>
                <c:pt idx="14">
                  <c:v>3803040</c:v>
                </c:pt>
                <c:pt idx="15">
                  <c:v>4056576</c:v>
                </c:pt>
                <c:pt idx="16">
                  <c:v>4310112</c:v>
                </c:pt>
                <c:pt idx="17">
                  <c:v>4563648</c:v>
                </c:pt>
                <c:pt idx="18">
                  <c:v>4817184</c:v>
                </c:pt>
                <c:pt idx="19">
                  <c:v>5070720</c:v>
                </c:pt>
              </c:numCache>
            </c:numRef>
          </c:val>
          <c:extLst>
            <c:ext xmlns:c16="http://schemas.microsoft.com/office/drawing/2014/chart" uri="{C3380CC4-5D6E-409C-BE32-E72D297353CC}">
              <c16:uniqueId val="{00000002-8531-4083-AAD4-944FEFD41EE7}"/>
            </c:ext>
          </c:extLst>
        </c:ser>
        <c:ser>
          <c:idx val="4"/>
          <c:order val="3"/>
          <c:tx>
            <c:strRef>
              <c:f>'Trial Deposits Engine'!$G$230</c:f>
              <c:strCache>
                <c:ptCount val="1"/>
                <c:pt idx="0">
                  <c:v>Inflationary Increase in Annual Deposit</c:v>
                </c:pt>
              </c:strCache>
            </c:strRef>
          </c:tx>
          <c:val>
            <c:numRef>
              <c:f>'Trial Deposits Engine'!$H$230:$AA$230</c:f>
              <c:numCache>
                <c:formatCode>"$"#,##0</c:formatCode>
                <c:ptCount val="20"/>
                <c:pt idx="0">
                  <c:v>0</c:v>
                </c:pt>
                <c:pt idx="1">
                  <c:v>5070.7200000000048</c:v>
                </c:pt>
                <c:pt idx="2">
                  <c:v>15313.574400000003</c:v>
                </c:pt>
                <c:pt idx="3">
                  <c:v>30832.005887999985</c:v>
                </c:pt>
                <c:pt idx="4">
                  <c:v>51731.526005759981</c:v>
                </c:pt>
                <c:pt idx="5">
                  <c:v>78119.756525875186</c:v>
                </c:pt>
                <c:pt idx="6">
                  <c:v>110106.47165639271</c:v>
                </c:pt>
                <c:pt idx="7">
                  <c:v>147803.64108952056</c:v>
                </c:pt>
                <c:pt idx="8">
                  <c:v>191325.47391131101</c:v>
                </c:pt>
                <c:pt idx="9">
                  <c:v>240788.46338953727</c:v>
                </c:pt>
                <c:pt idx="10">
                  <c:v>296311.43265732809</c:v>
                </c:pt>
                <c:pt idx="11">
                  <c:v>358015.58131047466</c:v>
                </c:pt>
                <c:pt idx="12">
                  <c:v>426024.53293668421</c:v>
                </c:pt>
                <c:pt idx="13">
                  <c:v>500464.38359541789</c:v>
                </c:pt>
                <c:pt idx="14">
                  <c:v>581463.7512673263</c:v>
                </c:pt>
                <c:pt idx="15">
                  <c:v>669153.82629267289</c:v>
                </c:pt>
                <c:pt idx="16">
                  <c:v>763668.42281852639</c:v>
                </c:pt>
                <c:pt idx="17">
                  <c:v>865144.03127489705</c:v>
                </c:pt>
                <c:pt idx="18">
                  <c:v>973719.87190039514</c:v>
                </c:pt>
                <c:pt idx="19">
                  <c:v>1089537.9493384031</c:v>
                </c:pt>
              </c:numCache>
            </c:numRef>
          </c:val>
          <c:extLst>
            <c:ext xmlns:c16="http://schemas.microsoft.com/office/drawing/2014/chart" uri="{C3380CC4-5D6E-409C-BE32-E72D297353CC}">
              <c16:uniqueId val="{00000003-8531-4083-AAD4-944FEFD41EE7}"/>
            </c:ext>
          </c:extLst>
        </c:ser>
        <c:dLbls>
          <c:showLegendKey val="0"/>
          <c:showVal val="0"/>
          <c:showCatName val="0"/>
          <c:showSerName val="0"/>
          <c:showPercent val="0"/>
          <c:showBubbleSize val="0"/>
        </c:dLbls>
        <c:axId val="516822840"/>
        <c:axId val="516821272"/>
      </c:areaChart>
      <c:lineChart>
        <c:grouping val="standard"/>
        <c:varyColors val="0"/>
        <c:ser>
          <c:idx val="0"/>
          <c:order val="4"/>
          <c:tx>
            <c:strRef>
              <c:f>'Trial Deposits Engine'!$G$231</c:f>
              <c:strCache>
                <c:ptCount val="1"/>
                <c:pt idx="0">
                  <c:v>Accumulated Sources</c:v>
                </c:pt>
              </c:strCache>
            </c:strRef>
          </c:tx>
          <c:spPr>
            <a:ln>
              <a:solidFill>
                <a:srgbClr val="C00000"/>
              </a:solidFill>
            </a:ln>
          </c:spPr>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'Trial Deposits Engine'!$H$231:$AA$231</c:f>
              <c:numCache>
                <c:formatCode>"$"#,##0</c:formatCode>
                <c:ptCount val="20"/>
                <c:pt idx="0">
                  <c:v>725130.25</c:v>
                </c:pt>
                <c:pt idx="1">
                  <c:v>990988.27249999996</c:v>
                </c:pt>
                <c:pt idx="2">
                  <c:v>1269631.9509874999</c:v>
                </c:pt>
                <c:pt idx="3">
                  <c:v>1552554.4454403124</c:v>
                </c:pt>
                <c:pt idx="4">
                  <c:v>1840784.1396396772</c:v>
                </c:pt>
                <c:pt idx="5">
                  <c:v>2131114.5373543873</c:v>
                </c:pt>
                <c:pt idx="6">
                  <c:v>2424297.3828452211</c:v>
                </c:pt>
                <c:pt idx="7">
                  <c:v>2721198.9633710268</c:v>
                </c:pt>
                <c:pt idx="8">
                  <c:v>3024279.3370433827</c:v>
                </c:pt>
                <c:pt idx="9">
                  <c:v>3334493.05557726</c:v>
                </c:pt>
                <c:pt idx="10">
                  <c:v>3650058.6290787095</c:v>
                </c:pt>
                <c:pt idx="11">
                  <c:v>3965298.7777318563</c:v>
                </c:pt>
                <c:pt idx="12">
                  <c:v>4286843.7293580659</c:v>
                </c:pt>
                <c:pt idx="13">
                  <c:v>4614819.5800167993</c:v>
                </c:pt>
                <c:pt idx="14">
                  <c:v>4949354.9476887072</c:v>
                </c:pt>
                <c:pt idx="15">
                  <c:v>5290581.0227140542</c:v>
                </c:pt>
                <c:pt idx="16">
                  <c:v>5638631.6192399077</c:v>
                </c:pt>
                <c:pt idx="17">
                  <c:v>5993643.2276962781</c:v>
                </c:pt>
                <c:pt idx="18">
                  <c:v>6355755.0683217766</c:v>
                </c:pt>
                <c:pt idx="19">
                  <c:v>6725109.1457597837</c:v>
                </c:pt>
              </c:numCache>
            </c:numRef>
          </c:val>
          <c:smooth val="0"/>
          <c:extLst>
            <c:ext xmlns:c16="http://schemas.microsoft.com/office/drawing/2014/chart" uri="{C3380CC4-5D6E-409C-BE32-E72D297353CC}">
              <c16:uniqueId val="{00000004-8531-4083-AAD4-944FEFD41EE7}"/>
            </c:ext>
          </c:extLst>
        </c:ser>
        <c:dLbls>
          <c:showLegendKey val="0"/>
          <c:showVal val="0"/>
          <c:showCatName val="0"/>
          <c:showSerName val="0"/>
          <c:showPercent val="0"/>
          <c:showBubbleSize val="0"/>
        </c:dLbls>
        <c:marker val="1"/>
        <c:smooth val="0"/>
        <c:axId val="516822840"/>
        <c:axId val="516821272"/>
      </c:lineChart>
      <c:catAx>
        <c:axId val="516822840"/>
        <c:scaling>
          <c:orientation val="minMax"/>
        </c:scaling>
        <c:delete val="0"/>
        <c:axPos val="b"/>
        <c:title>
          <c:tx>
            <c:rich>
              <a:bodyPr/>
              <a:lstStyle/>
              <a:p>
                <a:pPr>
                  <a:defRPr/>
                </a:pPr>
                <a:r>
                  <a:rPr lang="en-US"/>
                  <a:t>Relative Year</a:t>
                </a:r>
              </a:p>
            </c:rich>
          </c:tx>
          <c:overlay val="0"/>
        </c:title>
        <c:majorTickMark val="out"/>
        <c:minorTickMark val="none"/>
        <c:tickLblPos val="nextTo"/>
        <c:crossAx val="516821272"/>
        <c:crosses val="autoZero"/>
        <c:auto val="1"/>
        <c:lblAlgn val="ctr"/>
        <c:lblOffset val="100"/>
        <c:tickLblSkip val="1"/>
        <c:noMultiLvlLbl val="0"/>
      </c:catAx>
      <c:valAx>
        <c:axId val="516821272"/>
        <c:scaling>
          <c:orientation val="minMax"/>
        </c:scaling>
        <c:delete val="0"/>
        <c:axPos val="l"/>
        <c:majorGridlines/>
        <c:numFmt formatCode="&quot;$&quot;#,##0" sourceLinked="1"/>
        <c:majorTickMark val="out"/>
        <c:minorTickMark val="none"/>
        <c:tickLblPos val="nextTo"/>
        <c:crossAx val="516822840"/>
        <c:crosses val="autoZero"/>
        <c:crossBetween val="between"/>
      </c:valAx>
    </c:plotArea>
    <c:legend>
      <c:legendPos val="r"/>
      <c:layout>
        <c:manualLayout>
          <c:xMode val="edge"/>
          <c:yMode val="edge"/>
          <c:x val="0.14421465273330991"/>
          <c:y val="0.18514192987274011"/>
          <c:w val="0.35117063117889363"/>
          <c:h val="0.2414281270433784"/>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Needs withdrawn</a:t>
            </a:r>
            <a:r>
              <a:rPr lang="en-US" baseline="0"/>
              <a:t> from</a:t>
            </a:r>
            <a:r>
              <a:rPr lang="en-US"/>
              <a:t>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3527792014163911"/>
          <c:y val="0.20230971128608918"/>
          <c:w val="0.78787398347201998"/>
          <c:h val="0.69465612696850454"/>
        </c:manualLayout>
      </c:layout>
      <c:areaChart>
        <c:grouping val="stacked"/>
        <c:varyColors val="0"/>
        <c:ser>
          <c:idx val="1"/>
          <c:order val="0"/>
          <c:tx>
            <c:strRef>
              <c:f>'Trial Deposits Engine'!$G$235</c:f>
              <c:strCache>
                <c:ptCount val="1"/>
                <c:pt idx="0">
                  <c:v>Duration Adjusted Uninflated Needs</c:v>
                </c:pt>
              </c:strCache>
            </c:strRef>
          </c:tx>
          <c:val>
            <c:numRef>
              <c:f>'Trial Deposits Engine'!$H$235:$AA$235</c:f>
              <c:numCache>
                <c:formatCode>"$"#,##0_);[Red]\("$"#,##0\)</c:formatCode>
                <c:ptCount val="20"/>
                <c:pt idx="0">
                  <c:v>0</c:v>
                </c:pt>
                <c:pt idx="1">
                  <c:v>0</c:v>
                </c:pt>
                <c:pt idx="2">
                  <c:v>-331693.98308342946</c:v>
                </c:pt>
                <c:pt idx="3">
                  <c:v>-602939.97821350768</c:v>
                </c:pt>
                <c:pt idx="4">
                  <c:v>-1077885.973905284</c:v>
                </c:pt>
                <c:pt idx="5">
                  <c:v>-1506658.5045279774</c:v>
                </c:pt>
                <c:pt idx="6">
                  <c:v>-1884902.4618058163</c:v>
                </c:pt>
                <c:pt idx="7">
                  <c:v>-2122820.4037605361</c:v>
                </c:pt>
                <c:pt idx="8">
                  <c:v>-2313661.8408074756</c:v>
                </c:pt>
                <c:pt idx="9">
                  <c:v>-2612736.6149164233</c:v>
                </c:pt>
                <c:pt idx="10">
                  <c:v>-3318270.9847978693</c:v>
                </c:pt>
                <c:pt idx="11">
                  <c:v>-3974163.6990786847</c:v>
                </c:pt>
                <c:pt idx="12">
                  <c:v>-4548279.4892393062</c:v>
                </c:pt>
                <c:pt idx="13">
                  <c:v>-4762022.510874101</c:v>
                </c:pt>
                <c:pt idx="14">
                  <c:v>-5299862.2017173748</c:v>
                </c:pt>
                <c:pt idx="15">
                  <c:v>-5797738.4061865099</c:v>
                </c:pt>
                <c:pt idx="16">
                  <c:v>-6260196.2738972576</c:v>
                </c:pt>
                <c:pt idx="17">
                  <c:v>-6480534.9639053997</c:v>
                </c:pt>
                <c:pt idx="18">
                  <c:v>-6599219.1335908845</c:v>
                </c:pt>
                <c:pt idx="19">
                  <c:v>-6704991.6337651033</c:v>
                </c:pt>
              </c:numCache>
            </c:numRef>
          </c:val>
          <c:extLst>
            <c:ext xmlns:c16="http://schemas.microsoft.com/office/drawing/2014/chart" uri="{C3380CC4-5D6E-409C-BE32-E72D297353CC}">
              <c16:uniqueId val="{00000000-F594-4978-932B-CC2E8BB62E06}"/>
            </c:ext>
          </c:extLst>
        </c:ser>
        <c:ser>
          <c:idx val="2"/>
          <c:order val="1"/>
          <c:tx>
            <c:strRef>
              <c:f>'Trial Deposits Engine'!$G$236</c:f>
              <c:strCache>
                <c:ptCount val="1"/>
                <c:pt idx="0">
                  <c:v>Inflation in Needs Amount</c:v>
                </c:pt>
              </c:strCache>
            </c:strRef>
          </c:tx>
          <c:val>
            <c:numRef>
              <c:f>'Trial Deposits Engine'!$H$236:$AA$236</c:f>
              <c:numCache>
                <c:formatCode>"$"#,##0_);[Red]\("$"#,##0\)</c:formatCode>
                <c:ptCount val="20"/>
                <c:pt idx="0">
                  <c:v>0</c:v>
                </c:pt>
                <c:pt idx="1">
                  <c:v>0</c:v>
                </c:pt>
                <c:pt idx="2">
                  <c:v>-13400.436916570547</c:v>
                </c:pt>
                <c:pt idx="3">
                  <c:v>-30002.861786492351</c:v>
                </c:pt>
                <c:pt idx="4">
                  <c:v>-69153.686094716148</c:v>
                </c:pt>
                <c:pt idx="5">
                  <c:v>-113780.67547202269</c:v>
                </c:pt>
                <c:pt idx="6">
                  <c:v>-161500.8481941839</c:v>
                </c:pt>
                <c:pt idx="7">
                  <c:v>-196875.83623946406</c:v>
                </c:pt>
                <c:pt idx="8">
                  <c:v>-229635.55919252455</c:v>
                </c:pt>
                <c:pt idx="9">
                  <c:v>-287982.82508357667</c:v>
                </c:pt>
                <c:pt idx="10">
                  <c:v>-442490.91520213056</c:v>
                </c:pt>
                <c:pt idx="11">
                  <c:v>-602118.35092131537</c:v>
                </c:pt>
                <c:pt idx="12">
                  <c:v>-756120.20076069422</c:v>
                </c:pt>
                <c:pt idx="13">
                  <c:v>-818876.56912589923</c:v>
                </c:pt>
                <c:pt idx="14">
                  <c:v>-990704.92828262597</c:v>
                </c:pt>
                <c:pt idx="15">
                  <c:v>-1162904.5438134905</c:v>
                </c:pt>
                <c:pt idx="16">
                  <c:v>-1335302.2261027428</c:v>
                </c:pt>
                <c:pt idx="17">
                  <c:v>-1423490.8960946011</c:v>
                </c:pt>
                <c:pt idx="18">
                  <c:v>-1474316.9464091158</c:v>
                </c:pt>
                <c:pt idx="19">
                  <c:v>-1522635.0062348973</c:v>
                </c:pt>
              </c:numCache>
            </c:numRef>
          </c:val>
          <c:extLst>
            <c:ext xmlns:c16="http://schemas.microsoft.com/office/drawing/2014/chart" uri="{C3380CC4-5D6E-409C-BE32-E72D297353CC}">
              <c16:uniqueId val="{00000001-F594-4978-932B-CC2E8BB62E06}"/>
            </c:ext>
          </c:extLst>
        </c:ser>
        <c:dLbls>
          <c:showLegendKey val="0"/>
          <c:showVal val="0"/>
          <c:showCatName val="0"/>
          <c:showSerName val="0"/>
          <c:showPercent val="0"/>
          <c:showBubbleSize val="0"/>
        </c:dLbls>
        <c:axId val="516820880"/>
        <c:axId val="516823232"/>
      </c:areaChart>
      <c:lineChart>
        <c:grouping val="stacked"/>
        <c:varyColors val="0"/>
        <c:ser>
          <c:idx val="0"/>
          <c:order val="2"/>
          <c:tx>
            <c:strRef>
              <c:f>'Trial Deposits Engine'!$G$237</c:f>
              <c:strCache>
                <c:ptCount val="1"/>
                <c:pt idx="0">
                  <c:v>Accumulated Uses</c:v>
                </c:pt>
              </c:strCache>
            </c:strRef>
          </c:tx>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'Trial Deposits Engine'!$H$237:$AA$237</c:f>
              <c:numCache>
                <c:formatCode>"$"#,##0</c:formatCode>
                <c:ptCount val="20"/>
                <c:pt idx="0">
                  <c:v>0</c:v>
                </c:pt>
                <c:pt idx="1">
                  <c:v>0</c:v>
                </c:pt>
                <c:pt idx="2">
                  <c:v>-345094.42</c:v>
                </c:pt>
                <c:pt idx="3">
                  <c:v>-632942.84000000008</c:v>
                </c:pt>
                <c:pt idx="4">
                  <c:v>-1147039.6600000001</c:v>
                </c:pt>
                <c:pt idx="5">
                  <c:v>-1620439.1800000002</c:v>
                </c:pt>
                <c:pt idx="6">
                  <c:v>-2046403.31</c:v>
                </c:pt>
                <c:pt idx="7">
                  <c:v>-2319696.2400000002</c:v>
                </c:pt>
                <c:pt idx="8">
                  <c:v>-2543297.4000000004</c:v>
                </c:pt>
                <c:pt idx="9">
                  <c:v>-2900719.44</c:v>
                </c:pt>
                <c:pt idx="10">
                  <c:v>-3760761.9</c:v>
                </c:pt>
                <c:pt idx="11">
                  <c:v>-4576282.05</c:v>
                </c:pt>
                <c:pt idx="12">
                  <c:v>-5304399.6900000004</c:v>
                </c:pt>
                <c:pt idx="13">
                  <c:v>-5580899.0800000001</c:v>
                </c:pt>
                <c:pt idx="14">
                  <c:v>-6290567.1300000008</c:v>
                </c:pt>
                <c:pt idx="15">
                  <c:v>-6960642.9500000002</c:v>
                </c:pt>
                <c:pt idx="16">
                  <c:v>-7595498.5</c:v>
                </c:pt>
                <c:pt idx="17">
                  <c:v>-7904025.8600000013</c:v>
                </c:pt>
                <c:pt idx="18">
                  <c:v>-8073536.0800000001</c:v>
                </c:pt>
                <c:pt idx="19">
                  <c:v>-8227626.6400000006</c:v>
                </c:pt>
              </c:numCache>
            </c:numRef>
          </c:val>
          <c:smooth val="0"/>
          <c:extLst>
            <c:ext xmlns:c16="http://schemas.microsoft.com/office/drawing/2014/chart" uri="{C3380CC4-5D6E-409C-BE32-E72D297353CC}">
              <c16:uniqueId val="{00000002-F594-4978-932B-CC2E8BB62E06}"/>
            </c:ext>
          </c:extLst>
        </c:ser>
        <c:ser>
          <c:idx val="3"/>
          <c:order val="3"/>
          <c:tx>
            <c:strRef>
              <c:f>'Trial Deposits Engine'!$G$238</c:f>
              <c:strCache>
                <c:ptCount val="1"/>
                <c:pt idx="0">
                  <c:v>Note: Gap between highest cumulative R4R Sources and Needs to equalize graphs scales</c:v>
                </c:pt>
              </c:strCache>
            </c:strRef>
          </c:tx>
          <c:spPr>
            <a:ln>
              <a:noFill/>
            </a:ln>
          </c:spPr>
          <c:marker>
            <c:symbol val="none"/>
          </c:marker>
          <c:dPt>
            <c:idx val="9"/>
            <c:marker>
              <c:symbol val="auto"/>
              <c:spPr>
                <a:solidFill>
                  <a:schemeClr val="accent3">
                    <a:lumMod val="40000"/>
                    <a:lumOff val="60000"/>
                  </a:schemeClr>
                </a:solidFill>
              </c:spPr>
            </c:marker>
            <c:bubble3D val="0"/>
            <c:extLst>
              <c:ext xmlns:c16="http://schemas.microsoft.com/office/drawing/2014/chart" uri="{C3380CC4-5D6E-409C-BE32-E72D297353CC}">
                <c16:uniqueId val="{00000003-F594-4978-932B-CC2E8BB62E06}"/>
              </c:ext>
            </c:extLst>
          </c:dPt>
          <c:dLbls>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594-4978-932B-CC2E8BB62E0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val>
            <c:numRef>
              <c:f>'Trial Deposits Engine'!$H$238:$AA$238</c:f>
              <c:numCache>
                <c:formatCode>General</c:formatCode>
                <c:ptCount val="20"/>
                <c:pt idx="9" formatCode="&quot;$&quot;#,##0">
                  <c:v>3334493.05557726</c:v>
                </c:pt>
              </c:numCache>
            </c:numRef>
          </c:val>
          <c:smooth val="0"/>
          <c:extLst>
            <c:ext xmlns:c16="http://schemas.microsoft.com/office/drawing/2014/chart" uri="{C3380CC4-5D6E-409C-BE32-E72D297353CC}">
              <c16:uniqueId val="{00000004-F594-4978-932B-CC2E8BB62E06}"/>
            </c:ext>
          </c:extLst>
        </c:ser>
        <c:dLbls>
          <c:showLegendKey val="0"/>
          <c:showVal val="0"/>
          <c:showCatName val="0"/>
          <c:showSerName val="0"/>
          <c:showPercent val="0"/>
          <c:showBubbleSize val="0"/>
        </c:dLbls>
        <c:marker val="1"/>
        <c:smooth val="0"/>
        <c:axId val="516820880"/>
        <c:axId val="516823232"/>
      </c:lineChart>
      <c:catAx>
        <c:axId val="516820880"/>
        <c:scaling>
          <c:orientation val="minMax"/>
        </c:scaling>
        <c:delete val="0"/>
        <c:axPos val="b"/>
        <c:title>
          <c:tx>
            <c:rich>
              <a:bodyPr/>
              <a:lstStyle/>
              <a:p>
                <a:pPr>
                  <a:defRPr/>
                </a:pPr>
                <a:r>
                  <a:rPr lang="en-US"/>
                  <a:t>Relative Year</a:t>
                </a:r>
              </a:p>
            </c:rich>
          </c:tx>
          <c:overlay val="0"/>
        </c:title>
        <c:majorTickMark val="out"/>
        <c:minorTickMark val="none"/>
        <c:tickLblPos val="nextTo"/>
        <c:crossAx val="516823232"/>
        <c:crosses val="autoZero"/>
        <c:auto val="1"/>
        <c:lblAlgn val="ctr"/>
        <c:lblOffset val="100"/>
        <c:tickLblSkip val="1"/>
        <c:noMultiLvlLbl val="0"/>
      </c:catAx>
      <c:valAx>
        <c:axId val="516823232"/>
        <c:scaling>
          <c:orientation val="minMax"/>
        </c:scaling>
        <c:delete val="0"/>
        <c:axPos val="l"/>
        <c:majorGridlines/>
        <c:numFmt formatCode="&quot;$&quot;#,##0_);[Red]\(&quot;$&quot;#,##0\)" sourceLinked="1"/>
        <c:majorTickMark val="out"/>
        <c:minorTickMark val="none"/>
        <c:tickLblPos val="nextTo"/>
        <c:crossAx val="516820880"/>
        <c:crosses val="autoZero"/>
        <c:crossBetween val="between"/>
      </c:valAx>
    </c:plotArea>
    <c:legend>
      <c:legendPos val="r"/>
      <c:layout>
        <c:manualLayout>
          <c:xMode val="edge"/>
          <c:yMode val="edge"/>
          <c:x val="0.15431160232757782"/>
          <c:y val="0.59258092738407697"/>
          <c:w val="0.43577913740030239"/>
          <c:h val="0.28898811178014511"/>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Sources Funding</a:t>
            </a:r>
            <a:r>
              <a:rPr lang="en-US" baseline="0"/>
              <a:t> the Reserve for Replacements and Cumulative</a:t>
            </a:r>
            <a:r>
              <a:rPr lang="en-US"/>
              <a:t> Needs withdrawn</a:t>
            </a:r>
            <a:r>
              <a:rPr lang="en-US" baseline="0"/>
              <a:t> from</a:t>
            </a:r>
            <a:r>
              <a:rPr lang="en-US"/>
              <a:t>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2732030397026819"/>
          <c:y val="0.27008797955014424"/>
          <c:w val="0.80872345502266751"/>
          <c:h val="0.60858175322608798"/>
        </c:manualLayout>
      </c:layout>
      <c:lineChart>
        <c:grouping val="standard"/>
        <c:varyColors val="0"/>
        <c:ser>
          <c:idx val="1"/>
          <c:order val="0"/>
          <c:tx>
            <c:strRef>
              <c:f>'Trial Deposits Engine'!$G$231</c:f>
              <c:strCache>
                <c:ptCount val="1"/>
                <c:pt idx="0">
                  <c:v>Accumulated Sources</c:v>
                </c:pt>
              </c:strCache>
            </c:strRef>
          </c:tx>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'Trial Deposits Engine'!$H$240:$AA$240</c:f>
              <c:numCache>
                <c:formatCode>"$"#,##0</c:formatCode>
                <c:ptCount val="20"/>
                <c:pt idx="0">
                  <c:v>725130.25</c:v>
                </c:pt>
                <c:pt idx="1">
                  <c:v>990988.27249999996</c:v>
                </c:pt>
                <c:pt idx="2">
                  <c:v>924537.53098749998</c:v>
                </c:pt>
                <c:pt idx="3">
                  <c:v>919611.6054403123</c:v>
                </c:pt>
                <c:pt idx="4">
                  <c:v>693744.4796396771</c:v>
                </c:pt>
                <c:pt idx="5">
                  <c:v>510675.35735438718</c:v>
                </c:pt>
                <c:pt idx="6">
                  <c:v>377894.07284522103</c:v>
                </c:pt>
                <c:pt idx="7">
                  <c:v>401502.72337102657</c:v>
                </c:pt>
                <c:pt idx="8">
                  <c:v>480981.93704338232</c:v>
                </c:pt>
                <c:pt idx="9">
                  <c:v>433773.61557726003</c:v>
                </c:pt>
                <c:pt idx="10">
                  <c:v>-110703.27092129039</c:v>
                </c:pt>
                <c:pt idx="11">
                  <c:v>-610983.27226814348</c:v>
                </c:pt>
                <c:pt idx="12">
                  <c:v>-1017555.9606419345</c:v>
                </c:pt>
                <c:pt idx="13">
                  <c:v>-966079.4999832008</c:v>
                </c:pt>
                <c:pt idx="14">
                  <c:v>-1341212.1823112937</c:v>
                </c:pt>
                <c:pt idx="15">
                  <c:v>-1670061.927285946</c:v>
                </c:pt>
                <c:pt idx="16">
                  <c:v>-1956866.8807600923</c:v>
                </c:pt>
                <c:pt idx="17">
                  <c:v>-1910382.6323037231</c:v>
                </c:pt>
                <c:pt idx="18">
                  <c:v>-1717781.0116782235</c:v>
                </c:pt>
                <c:pt idx="19">
                  <c:v>-1502517.4942402169</c:v>
                </c:pt>
              </c:numCache>
            </c:numRef>
          </c:cat>
          <c:val>
            <c:numRef>
              <c:f>'Trial Deposits Engine'!$H$231:$AA$231</c:f>
              <c:numCache>
                <c:formatCode>"$"#,##0</c:formatCode>
                <c:ptCount val="20"/>
                <c:pt idx="0">
                  <c:v>725130.25</c:v>
                </c:pt>
                <c:pt idx="1">
                  <c:v>990988.27249999996</c:v>
                </c:pt>
                <c:pt idx="2">
                  <c:v>1269631.9509874999</c:v>
                </c:pt>
                <c:pt idx="3">
                  <c:v>1552554.4454403124</c:v>
                </c:pt>
                <c:pt idx="4">
                  <c:v>1840784.1396396772</c:v>
                </c:pt>
                <c:pt idx="5">
                  <c:v>2131114.5373543873</c:v>
                </c:pt>
                <c:pt idx="6">
                  <c:v>2424297.3828452211</c:v>
                </c:pt>
                <c:pt idx="7">
                  <c:v>2721198.9633710268</c:v>
                </c:pt>
                <c:pt idx="8">
                  <c:v>3024279.3370433827</c:v>
                </c:pt>
                <c:pt idx="9">
                  <c:v>3334493.05557726</c:v>
                </c:pt>
                <c:pt idx="10">
                  <c:v>3650058.6290787095</c:v>
                </c:pt>
                <c:pt idx="11">
                  <c:v>3965298.7777318563</c:v>
                </c:pt>
                <c:pt idx="12">
                  <c:v>4286843.7293580659</c:v>
                </c:pt>
                <c:pt idx="13">
                  <c:v>4614819.5800167993</c:v>
                </c:pt>
                <c:pt idx="14">
                  <c:v>4949354.9476887072</c:v>
                </c:pt>
                <c:pt idx="15">
                  <c:v>5290581.0227140542</c:v>
                </c:pt>
                <c:pt idx="16">
                  <c:v>5638631.6192399077</c:v>
                </c:pt>
                <c:pt idx="17">
                  <c:v>5993643.2276962781</c:v>
                </c:pt>
                <c:pt idx="18">
                  <c:v>6355755.0683217766</c:v>
                </c:pt>
                <c:pt idx="19">
                  <c:v>6725109.1457597837</c:v>
                </c:pt>
              </c:numCache>
            </c:numRef>
          </c:val>
          <c:smooth val="0"/>
          <c:extLst>
            <c:ext xmlns:c16="http://schemas.microsoft.com/office/drawing/2014/chart" uri="{C3380CC4-5D6E-409C-BE32-E72D297353CC}">
              <c16:uniqueId val="{00000000-A473-48A2-B253-33AEF471CF0C}"/>
            </c:ext>
          </c:extLst>
        </c:ser>
        <c:ser>
          <c:idx val="2"/>
          <c:order val="1"/>
          <c:tx>
            <c:strRef>
              <c:f>'Trial Deposits Engine'!$G$240</c:f>
              <c:strCache>
                <c:ptCount val="1"/>
                <c:pt idx="0">
                  <c:v>Accumulated Gap</c:v>
                </c:pt>
              </c:strCache>
            </c:strRef>
          </c:tx>
          <c:marker>
            <c:symbol val="none"/>
          </c:marker>
          <c:dLbls>
            <c:spPr>
              <a:solidFill>
                <a:schemeClr val="accent3">
                  <a:lumMod val="40000"/>
                  <a:lumOff val="60000"/>
                </a:schemeClr>
              </a:solidFill>
              <a:ln>
                <a:solidFill>
                  <a:schemeClr val="tx1"/>
                </a:solidFill>
              </a:ln>
            </c:spPr>
            <c:txPr>
              <a:bodyPr/>
              <a:lstStyle/>
              <a:p>
                <a:pPr>
                  <a:defRPr sz="800"/>
                </a:pPr>
                <a:endParaRPr lang="en-US"/>
              </a:p>
            </c:txPr>
            <c:dLblPos val="ctr"/>
            <c:showLegendKey val="0"/>
            <c:showVal val="0"/>
            <c:showCatName val="1"/>
            <c:showSerName val="1"/>
            <c:showPercent val="0"/>
            <c:showBubbleSize val="0"/>
            <c:separator>
</c:separator>
            <c:showLeaderLines val="0"/>
            <c:extLst>
              <c:ext xmlns:c15="http://schemas.microsoft.com/office/drawing/2012/chart" uri="{CE6537A1-D6FC-4f65-9D91-7224C49458BB}">
                <c15:showLeaderLines val="0"/>
              </c:ext>
            </c:extLst>
          </c:dLbls>
          <c:cat>
            <c:numRef>
              <c:f>'Trial Deposits Engine'!$H$240:$AA$240</c:f>
              <c:numCache>
                <c:formatCode>"$"#,##0</c:formatCode>
                <c:ptCount val="20"/>
                <c:pt idx="0">
                  <c:v>725130.25</c:v>
                </c:pt>
                <c:pt idx="1">
                  <c:v>990988.27249999996</c:v>
                </c:pt>
                <c:pt idx="2">
                  <c:v>924537.53098749998</c:v>
                </c:pt>
                <c:pt idx="3">
                  <c:v>919611.6054403123</c:v>
                </c:pt>
                <c:pt idx="4">
                  <c:v>693744.4796396771</c:v>
                </c:pt>
                <c:pt idx="5">
                  <c:v>510675.35735438718</c:v>
                </c:pt>
                <c:pt idx="6">
                  <c:v>377894.07284522103</c:v>
                </c:pt>
                <c:pt idx="7">
                  <c:v>401502.72337102657</c:v>
                </c:pt>
                <c:pt idx="8">
                  <c:v>480981.93704338232</c:v>
                </c:pt>
                <c:pt idx="9">
                  <c:v>433773.61557726003</c:v>
                </c:pt>
                <c:pt idx="10">
                  <c:v>-110703.27092129039</c:v>
                </c:pt>
                <c:pt idx="11">
                  <c:v>-610983.27226814348</c:v>
                </c:pt>
                <c:pt idx="12">
                  <c:v>-1017555.9606419345</c:v>
                </c:pt>
                <c:pt idx="13">
                  <c:v>-966079.4999832008</c:v>
                </c:pt>
                <c:pt idx="14">
                  <c:v>-1341212.1823112937</c:v>
                </c:pt>
                <c:pt idx="15">
                  <c:v>-1670061.927285946</c:v>
                </c:pt>
                <c:pt idx="16">
                  <c:v>-1956866.8807600923</c:v>
                </c:pt>
                <c:pt idx="17">
                  <c:v>-1910382.6323037231</c:v>
                </c:pt>
                <c:pt idx="18">
                  <c:v>-1717781.0116782235</c:v>
                </c:pt>
                <c:pt idx="19">
                  <c:v>-1502517.4942402169</c:v>
                </c:pt>
              </c:numCache>
            </c:numRef>
          </c:cat>
          <c:val>
            <c:numRef>
              <c:f>'Trial Deposits Engine'!$H$241:$AA$241</c:f>
              <c:numCache>
                <c:formatCode>"$"#,##0</c:formatCode>
                <c:ptCount val="20"/>
                <c:pt idx="0" formatCode="General">
                  <c:v>362565.125</c:v>
                </c:pt>
                <c:pt idx="1">
                  <c:v>495494.13624999998</c:v>
                </c:pt>
                <c:pt idx="2">
                  <c:v>462268.76549374999</c:v>
                </c:pt>
                <c:pt idx="3">
                  <c:v>459805.80272015615</c:v>
                </c:pt>
                <c:pt idx="4">
                  <c:v>346872.23981983855</c:v>
                </c:pt>
                <c:pt idx="5">
                  <c:v>255337.67867719359</c:v>
                </c:pt>
                <c:pt idx="6">
                  <c:v>188947.03642261052</c:v>
                </c:pt>
                <c:pt idx="7">
                  <c:v>200751.36168551329</c:v>
                </c:pt>
                <c:pt idx="8">
                  <c:v>240490.96852169116</c:v>
                </c:pt>
                <c:pt idx="9">
                  <c:v>216886.80778863002</c:v>
                </c:pt>
                <c:pt idx="10">
                  <c:v>-55351.635460645193</c:v>
                </c:pt>
                <c:pt idx="11">
                  <c:v>-305491.63613407174</c:v>
                </c:pt>
                <c:pt idx="12">
                  <c:v>-508777.98032096727</c:v>
                </c:pt>
                <c:pt idx="13">
                  <c:v>-483039.7499916004</c:v>
                </c:pt>
                <c:pt idx="14">
                  <c:v>-670606.09115564683</c:v>
                </c:pt>
                <c:pt idx="15">
                  <c:v>-835030.96364297299</c:v>
                </c:pt>
                <c:pt idx="16">
                  <c:v>-978433.44038004614</c:v>
                </c:pt>
                <c:pt idx="17">
                  <c:v>-955191.31615186157</c:v>
                </c:pt>
                <c:pt idx="18">
                  <c:v>-858890.50583911175</c:v>
                </c:pt>
                <c:pt idx="19">
                  <c:v>-751258.74712010846</c:v>
                </c:pt>
              </c:numCache>
            </c:numRef>
          </c:val>
          <c:smooth val="0"/>
          <c:extLst>
            <c:ext xmlns:c16="http://schemas.microsoft.com/office/drawing/2014/chart" uri="{C3380CC4-5D6E-409C-BE32-E72D297353CC}">
              <c16:uniqueId val="{00000001-A473-48A2-B253-33AEF471CF0C}"/>
            </c:ext>
          </c:extLst>
        </c:ser>
        <c:ser>
          <c:idx val="0"/>
          <c:order val="2"/>
          <c:tx>
            <c:strRef>
              <c:f>'Trial Deposits Engine'!$G$237</c:f>
              <c:strCache>
                <c:ptCount val="1"/>
                <c:pt idx="0">
                  <c:v>Accumulated Uses</c:v>
                </c:pt>
              </c:strCache>
            </c:strRef>
          </c:tx>
          <c:marker>
            <c:symbol val="none"/>
          </c:marker>
          <c:dLbls>
            <c:spPr>
              <a:solidFill>
                <a:schemeClr val="accent6">
                  <a:lumMod val="40000"/>
                  <a:lumOff val="60000"/>
                </a:schemeClr>
              </a:solidFill>
              <a:ln>
                <a:solidFill>
                  <a:schemeClr val="tx1"/>
                </a:solidFill>
              </a:ln>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'Trial Deposits Engine'!$H$240:$AA$240</c:f>
              <c:numCache>
                <c:formatCode>"$"#,##0</c:formatCode>
                <c:ptCount val="20"/>
                <c:pt idx="0">
                  <c:v>725130.25</c:v>
                </c:pt>
                <c:pt idx="1">
                  <c:v>990988.27249999996</c:v>
                </c:pt>
                <c:pt idx="2">
                  <c:v>924537.53098749998</c:v>
                </c:pt>
                <c:pt idx="3">
                  <c:v>919611.6054403123</c:v>
                </c:pt>
                <c:pt idx="4">
                  <c:v>693744.4796396771</c:v>
                </c:pt>
                <c:pt idx="5">
                  <c:v>510675.35735438718</c:v>
                </c:pt>
                <c:pt idx="6">
                  <c:v>377894.07284522103</c:v>
                </c:pt>
                <c:pt idx="7">
                  <c:v>401502.72337102657</c:v>
                </c:pt>
                <c:pt idx="8">
                  <c:v>480981.93704338232</c:v>
                </c:pt>
                <c:pt idx="9">
                  <c:v>433773.61557726003</c:v>
                </c:pt>
                <c:pt idx="10">
                  <c:v>-110703.27092129039</c:v>
                </c:pt>
                <c:pt idx="11">
                  <c:v>-610983.27226814348</c:v>
                </c:pt>
                <c:pt idx="12">
                  <c:v>-1017555.9606419345</c:v>
                </c:pt>
                <c:pt idx="13">
                  <c:v>-966079.4999832008</c:v>
                </c:pt>
                <c:pt idx="14">
                  <c:v>-1341212.1823112937</c:v>
                </c:pt>
                <c:pt idx="15">
                  <c:v>-1670061.927285946</c:v>
                </c:pt>
                <c:pt idx="16">
                  <c:v>-1956866.8807600923</c:v>
                </c:pt>
                <c:pt idx="17">
                  <c:v>-1910382.6323037231</c:v>
                </c:pt>
                <c:pt idx="18">
                  <c:v>-1717781.0116782235</c:v>
                </c:pt>
                <c:pt idx="19">
                  <c:v>-1502517.4942402169</c:v>
                </c:pt>
              </c:numCache>
            </c:numRef>
          </c:cat>
          <c:val>
            <c:numRef>
              <c:f>'Trial Deposits Engine'!$H$237:$AA$237</c:f>
              <c:numCache>
                <c:formatCode>"$"#,##0</c:formatCode>
                <c:ptCount val="20"/>
                <c:pt idx="0">
                  <c:v>0</c:v>
                </c:pt>
                <c:pt idx="1">
                  <c:v>0</c:v>
                </c:pt>
                <c:pt idx="2">
                  <c:v>-345094.42</c:v>
                </c:pt>
                <c:pt idx="3">
                  <c:v>-632942.84000000008</c:v>
                </c:pt>
                <c:pt idx="4">
                  <c:v>-1147039.6600000001</c:v>
                </c:pt>
                <c:pt idx="5">
                  <c:v>-1620439.1800000002</c:v>
                </c:pt>
                <c:pt idx="6">
                  <c:v>-2046403.31</c:v>
                </c:pt>
                <c:pt idx="7">
                  <c:v>-2319696.2400000002</c:v>
                </c:pt>
                <c:pt idx="8">
                  <c:v>-2543297.4000000004</c:v>
                </c:pt>
                <c:pt idx="9">
                  <c:v>-2900719.44</c:v>
                </c:pt>
                <c:pt idx="10">
                  <c:v>-3760761.9</c:v>
                </c:pt>
                <c:pt idx="11">
                  <c:v>-4576282.05</c:v>
                </c:pt>
                <c:pt idx="12">
                  <c:v>-5304399.6900000004</c:v>
                </c:pt>
                <c:pt idx="13">
                  <c:v>-5580899.0800000001</c:v>
                </c:pt>
                <c:pt idx="14">
                  <c:v>-6290567.1300000008</c:v>
                </c:pt>
                <c:pt idx="15">
                  <c:v>-6960642.9500000002</c:v>
                </c:pt>
                <c:pt idx="16">
                  <c:v>-7595498.5</c:v>
                </c:pt>
                <c:pt idx="17">
                  <c:v>-7904025.8600000013</c:v>
                </c:pt>
                <c:pt idx="18">
                  <c:v>-8073536.0800000001</c:v>
                </c:pt>
                <c:pt idx="19">
                  <c:v>-8227626.6400000006</c:v>
                </c:pt>
              </c:numCache>
            </c:numRef>
          </c:val>
          <c:smooth val="0"/>
          <c:extLst>
            <c:ext xmlns:c16="http://schemas.microsoft.com/office/drawing/2014/chart" uri="{C3380CC4-5D6E-409C-BE32-E72D297353CC}">
              <c16:uniqueId val="{00000002-A473-48A2-B253-33AEF471CF0C}"/>
            </c:ext>
          </c:extLst>
        </c:ser>
        <c:dLbls>
          <c:showLegendKey val="0"/>
          <c:showVal val="0"/>
          <c:showCatName val="0"/>
          <c:showSerName val="0"/>
          <c:showPercent val="0"/>
          <c:showBubbleSize val="0"/>
        </c:dLbls>
        <c:smooth val="0"/>
        <c:axId val="516824016"/>
        <c:axId val="516824800"/>
      </c:lineChart>
      <c:catAx>
        <c:axId val="516824016"/>
        <c:scaling>
          <c:orientation val="minMax"/>
        </c:scaling>
        <c:delete val="0"/>
        <c:axPos val="b"/>
        <c:majorGridlines/>
        <c:title>
          <c:tx>
            <c:rich>
              <a:bodyPr/>
              <a:lstStyle/>
              <a:p>
                <a:pPr>
                  <a:defRPr/>
                </a:pPr>
                <a:r>
                  <a:rPr lang="en-US"/>
                  <a:t>Relative Year</a:t>
                </a:r>
              </a:p>
            </c:rich>
          </c:tx>
          <c:overlay val="0"/>
        </c:title>
        <c:numFmt formatCode="&quot;$&quot;#,##0" sourceLinked="1"/>
        <c:majorTickMark val="cross"/>
        <c:minorTickMark val="none"/>
        <c:tickLblPos val="none"/>
        <c:crossAx val="516824800"/>
        <c:crosses val="autoZero"/>
        <c:auto val="1"/>
        <c:lblAlgn val="ctr"/>
        <c:lblOffset val="100"/>
        <c:tickLblSkip val="1"/>
        <c:noMultiLvlLbl val="0"/>
      </c:catAx>
      <c:valAx>
        <c:axId val="516824800"/>
        <c:scaling>
          <c:orientation val="minMax"/>
        </c:scaling>
        <c:delete val="0"/>
        <c:axPos val="l"/>
        <c:majorGridlines/>
        <c:numFmt formatCode="&quot;$&quot;#,##0" sourceLinked="1"/>
        <c:majorTickMark val="out"/>
        <c:minorTickMark val="none"/>
        <c:tickLblPos val="nextTo"/>
        <c:crossAx val="516824016"/>
        <c:crosses val="autoZero"/>
        <c:crossBetween val="between"/>
      </c:valAx>
    </c:plotArea>
    <c:legend>
      <c:legendPos val="r"/>
      <c:layout>
        <c:manualLayout>
          <c:xMode val="edge"/>
          <c:yMode val="edge"/>
          <c:x val="0.13045343997471892"/>
          <c:y val="0.72448664907760063"/>
          <c:w val="0.20768763037747243"/>
          <c:h val="0.14044981270545087"/>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Components of Minimum Required Balance Test </a:t>
            </a:r>
          </a:p>
          <a:p>
            <a:pPr>
              <a:defRPr/>
            </a:pPr>
            <a:r>
              <a:rPr lang="en-US"/>
              <a:t>Reserve Balances</a:t>
            </a:r>
            <a:r>
              <a:rPr lang="en-US" baseline="0"/>
              <a:t> and the Estimate Period average inflated minimum requirement</a:t>
            </a:r>
            <a:endParaRPr lang="en-US"/>
          </a:p>
        </c:rich>
      </c:tx>
      <c:layout>
        <c:manualLayout>
          <c:xMode val="edge"/>
          <c:yMode val="edge"/>
          <c:x val="0.13341805516627969"/>
          <c:y val="6.7476383265856948E-2"/>
        </c:manualLayout>
      </c:layout>
      <c:overlay val="1"/>
    </c:title>
    <c:autoTitleDeleted val="0"/>
    <c:plotArea>
      <c:layout>
        <c:manualLayout>
          <c:layoutTarget val="inner"/>
          <c:xMode val="edge"/>
          <c:yMode val="edge"/>
          <c:x val="0.12752471158496492"/>
          <c:y val="0.26862009595739339"/>
          <c:w val="0.81055650652364108"/>
          <c:h val="0.63399738298018948"/>
        </c:manualLayout>
      </c:layout>
      <c:lineChart>
        <c:grouping val="standard"/>
        <c:varyColors val="0"/>
        <c:ser>
          <c:idx val="1"/>
          <c:order val="1"/>
          <c:tx>
            <c:strRef>
              <c:f>'Trial Deposits Engine'!$G$252</c:f>
              <c:strCache>
                <c:ptCount val="1"/>
                <c:pt idx="0">
                  <c:v>Ending RfR Balance</c:v>
                </c:pt>
              </c:strCache>
            </c:strRef>
          </c:tx>
          <c:spPr>
            <a:ln>
              <a:solidFill>
                <a:srgbClr val="0070C0"/>
              </a:solidFill>
            </a:ln>
          </c:spPr>
          <c:marker>
            <c:symbol val="none"/>
          </c:marker>
          <c:val>
            <c:numRef>
              <c:f>'Trial Deposits Engine'!$H$252:$AA$252</c:f>
              <c:numCache>
                <c:formatCode>"$"#,##0.00_);[Red]\("$"#,##0.00\)</c:formatCode>
                <c:ptCount val="20"/>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pt idx="10">
                  <c:v>-110703.27092129062</c:v>
                </c:pt>
                <c:pt idx="11">
                  <c:v>-610983.27226814406</c:v>
                </c:pt>
                <c:pt idx="12">
                  <c:v>-1017555.9606419345</c:v>
                </c:pt>
                <c:pt idx="13">
                  <c:v>-966079.49998320092</c:v>
                </c:pt>
                <c:pt idx="14">
                  <c:v>-1341212.1823112925</c:v>
                </c:pt>
                <c:pt idx="15">
                  <c:v>-1670061.927285946</c:v>
                </c:pt>
                <c:pt idx="16">
                  <c:v>-1956866.8807600925</c:v>
                </c:pt>
                <c:pt idx="17">
                  <c:v>-1910382.6323037217</c:v>
                </c:pt>
                <c:pt idx="18">
                  <c:v>-1717781.0116782237</c:v>
                </c:pt>
                <c:pt idx="19">
                  <c:v>-1502517.4942402157</c:v>
                </c:pt>
              </c:numCache>
            </c:numRef>
          </c:val>
          <c:smooth val="0"/>
          <c:extLst>
            <c:ext xmlns:c16="http://schemas.microsoft.com/office/drawing/2014/chart" uri="{C3380CC4-5D6E-409C-BE32-E72D297353CC}">
              <c16:uniqueId val="{00000001-5A08-4BFF-A4B0-3BA3D4CE2E06}"/>
            </c:ext>
          </c:extLst>
        </c:ser>
        <c:ser>
          <c:idx val="2"/>
          <c:order val="2"/>
          <c:tx>
            <c:strRef>
              <c:f>'Trial Deposits Engine'!$G$253</c:f>
              <c:strCache>
                <c:ptCount val="1"/>
                <c:pt idx="0">
                  <c:v>Estimate Period Minimum Balance-inflated</c:v>
                </c:pt>
              </c:strCache>
            </c:strRef>
          </c:tx>
          <c:marker>
            <c:symbol val="none"/>
          </c:marker>
          <c:val>
            <c:numRef>
              <c:f>'Trial Deposits Engine'!$H$253:$AA$253</c:f>
              <c:numCache>
                <c:formatCode>"$"#,##0.00</c:formatCode>
                <c:ptCount val="20"/>
                <c:pt idx="0">
                  <c:v>335249.58</c:v>
                </c:pt>
                <c:pt idx="1">
                  <c:v>341954.57160000002</c:v>
                </c:pt>
                <c:pt idx="2">
                  <c:v>348793.66303200001</c:v>
                </c:pt>
                <c:pt idx="3">
                  <c:v>355769.53629263997</c:v>
                </c:pt>
                <c:pt idx="4">
                  <c:v>362884.92701849283</c:v>
                </c:pt>
                <c:pt idx="5">
                  <c:v>370142.6255588627</c:v>
                </c:pt>
                <c:pt idx="6">
                  <c:v>377545.47807003994</c:v>
                </c:pt>
                <c:pt idx="7">
                  <c:v>385096.38763144077</c:v>
                </c:pt>
                <c:pt idx="8">
                  <c:v>392798.31538406957</c:v>
                </c:pt>
                <c:pt idx="9">
                  <c:v>400654.28169175098</c:v>
                </c:pt>
                <c:pt idx="10">
                  <c:v>408667.36732558603</c:v>
                </c:pt>
                <c:pt idx="11">
                  <c:v>416840.7146720977</c:v>
                </c:pt>
                <c:pt idx="12">
                  <c:v>425177.52896553965</c:v>
                </c:pt>
                <c:pt idx="13">
                  <c:v>433681.07954485045</c:v>
                </c:pt>
                <c:pt idx="14">
                  <c:v>442354.70113574748</c:v>
                </c:pt>
                <c:pt idx="15">
                  <c:v>451201.79515846248</c:v>
                </c:pt>
                <c:pt idx="16">
                  <c:v>460225.83106163173</c:v>
                </c:pt>
                <c:pt idx="17">
                  <c:v>469430.34768286441</c:v>
                </c:pt>
                <c:pt idx="18">
                  <c:v>478818.9546365217</c:v>
                </c:pt>
                <c:pt idx="19">
                  <c:v>488395.3337292521</c:v>
                </c:pt>
              </c:numCache>
            </c:numRef>
          </c:val>
          <c:smooth val="0"/>
          <c:extLst>
            <c:ext xmlns:c16="http://schemas.microsoft.com/office/drawing/2014/chart" uri="{C3380CC4-5D6E-409C-BE32-E72D297353CC}">
              <c16:uniqueId val="{00000002-5A08-4BFF-A4B0-3BA3D4CE2E06}"/>
            </c:ext>
          </c:extLst>
        </c:ser>
        <c:ser>
          <c:idx val="3"/>
          <c:order val="3"/>
          <c:tx>
            <c:strRef>
              <c:f>'Trial Deposits Engine'!$G$254</c:f>
              <c:strCache>
                <c:ptCount val="1"/>
                <c:pt idx="0">
                  <c:v>Margin exceeding Minimum Balance</c:v>
                </c:pt>
              </c:strCache>
            </c:strRef>
          </c:tx>
          <c:spPr>
            <a:ln>
              <a:solidFill>
                <a:srgbClr val="92D050"/>
              </a:solidFill>
            </a:ln>
          </c:spPr>
          <c:marker>
            <c:symbol val="none"/>
          </c:marker>
          <c:val>
            <c:numRef>
              <c:f>'Trial Deposits Engine'!$H$254:$AA$254</c:f>
              <c:numCache>
                <c:formatCode>"$"#,##0.00</c:formatCode>
                <c:ptCount val="20"/>
                <c:pt idx="0">
                  <c:v>389880.67</c:v>
                </c:pt>
                <c:pt idx="1">
                  <c:v>649033.70089999994</c:v>
                </c:pt>
                <c:pt idx="2">
                  <c:v>575743.86795550003</c:v>
                </c:pt>
                <c:pt idx="3">
                  <c:v>563842.0691476725</c:v>
                </c:pt>
                <c:pt idx="4">
                  <c:v>330859.55262118427</c:v>
                </c:pt>
                <c:pt idx="5">
                  <c:v>140532.73179552471</c:v>
                </c:pt>
                <c:pt idx="6">
                  <c:v>348.59477518073982</c:v>
                </c:pt>
                <c:pt idx="7">
                  <c:v>16406.335739586095</c:v>
                </c:pt>
                <c:pt idx="8">
                  <c:v>88183.621659313096</c:v>
                </c:pt>
                <c:pt idx="9">
                  <c:v>33119.333885508764</c:v>
                </c:pt>
                <c:pt idx="10">
                  <c:v>-519370.63824687665</c:v>
                </c:pt>
                <c:pt idx="11">
                  <c:v>-1027823.9869402418</c:v>
                </c:pt>
                <c:pt idx="12">
                  <c:v>-1442733.4896074743</c:v>
                </c:pt>
                <c:pt idx="13">
                  <c:v>-1399760.5795280514</c:v>
                </c:pt>
                <c:pt idx="14">
                  <c:v>-1783566.8834470399</c:v>
                </c:pt>
                <c:pt idx="15">
                  <c:v>-2121263.7224444086</c:v>
                </c:pt>
                <c:pt idx="16">
                  <c:v>-2417092.7118217242</c:v>
                </c:pt>
                <c:pt idx="17">
                  <c:v>-2379812.9799865861</c:v>
                </c:pt>
                <c:pt idx="18">
                  <c:v>-2196599.9663147456</c:v>
                </c:pt>
                <c:pt idx="19">
                  <c:v>-1990912.8279694677</c:v>
                </c:pt>
              </c:numCache>
            </c:numRef>
          </c:val>
          <c:smooth val="0"/>
          <c:extLst>
            <c:ext xmlns:c16="http://schemas.microsoft.com/office/drawing/2014/chart" uri="{C3380CC4-5D6E-409C-BE32-E72D297353CC}">
              <c16:uniqueId val="{00000000-88C2-4003-A253-A9A9B17EB51F}"/>
            </c:ext>
          </c:extLst>
        </c:ser>
        <c:dLbls>
          <c:showLegendKey val="0"/>
          <c:showVal val="0"/>
          <c:showCatName val="0"/>
          <c:showSerName val="0"/>
          <c:showPercent val="0"/>
          <c:showBubbleSize val="0"/>
        </c:dLbls>
        <c:smooth val="0"/>
        <c:axId val="516825192"/>
        <c:axId val="516828328"/>
        <c:extLst>
          <c:ext xmlns:c15="http://schemas.microsoft.com/office/drawing/2012/chart" uri="{02D57815-91ED-43cb-92C2-25804820EDAC}">
            <c15:filteredLineSeries>
              <c15:ser>
                <c:idx val="0"/>
                <c:order val="0"/>
                <c:tx>
                  <c:strRef>
                    <c:extLst>
                      <c:ext uri="{02D57815-91ED-43cb-92C2-25804820EDAC}">
                        <c15:formulaRef>
                          <c15:sqref>'Trial Deposits Engine'!$G$251</c15:sqref>
                        </c15:formulaRef>
                      </c:ext>
                    </c:extLst>
                    <c:strCache>
                      <c:ptCount val="1"/>
                      <c:pt idx="0">
                        <c:v>Year of Deposit or Withdraw</c:v>
                      </c:pt>
                    </c:strCache>
                  </c:strRef>
                </c:tx>
                <c:marker>
                  <c:symbol val="none"/>
                </c:marker>
                <c:val>
                  <c:numRef>
                    <c:extLst>
                      <c:ext uri="{02D57815-91ED-43cb-92C2-25804820EDAC}">
                        <c15:formulaRef>
                          <c15:sqref>'Trial Deposits Engine'!$H$251:$AA$251</c15:sqref>
                        </c15:formulaRef>
                      </c:ext>
                    </c:extLst>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val>
                <c:smooth val="0"/>
                <c:extLst>
                  <c:ext xmlns:c16="http://schemas.microsoft.com/office/drawing/2014/chart" uri="{C3380CC4-5D6E-409C-BE32-E72D297353CC}">
                    <c16:uniqueId val="{00000000-5A08-4BFF-A4B0-3BA3D4CE2E06}"/>
                  </c:ext>
                </c:extLst>
              </c15:ser>
            </c15:filteredLineSeries>
          </c:ext>
        </c:extLst>
      </c:lineChart>
      <c:catAx>
        <c:axId val="516825192"/>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6828328"/>
        <c:crosses val="autoZero"/>
        <c:auto val="1"/>
        <c:lblAlgn val="ctr"/>
        <c:lblOffset val="100"/>
        <c:noMultiLvlLbl val="0"/>
      </c:catAx>
      <c:valAx>
        <c:axId val="516828328"/>
        <c:scaling>
          <c:orientation val="minMax"/>
        </c:scaling>
        <c:delete val="0"/>
        <c:axPos val="l"/>
        <c:majorGridlines/>
        <c:numFmt formatCode="&quot;$&quot;#,##0.00_);[Red]\(&quot;$&quot;#,##0.00\)" sourceLinked="1"/>
        <c:majorTickMark val="out"/>
        <c:minorTickMark val="none"/>
        <c:tickLblPos val="nextTo"/>
        <c:crossAx val="516825192"/>
        <c:crosses val="autoZero"/>
        <c:crossBetween val="between"/>
      </c:valAx>
    </c:plotArea>
    <c:legend>
      <c:legendPos val="r"/>
      <c:layout>
        <c:manualLayout>
          <c:xMode val="edge"/>
          <c:yMode val="edge"/>
          <c:x val="0.17123354918113029"/>
          <c:y val="0.56232582960324973"/>
          <c:w val="0.33733696032223326"/>
          <c:h val="0.33060541706145652"/>
        </c:manualLayout>
      </c:layout>
      <c:overlay val="0"/>
      <c:spPr>
        <a:solidFill>
          <a:schemeClr val="accent1">
            <a:lumMod val="20000"/>
            <a:lumOff val="80000"/>
          </a:schemeClr>
        </a:solidFill>
        <a:ln>
          <a:solidFill>
            <a:schemeClr val="tx1"/>
          </a:solidFill>
        </a:ln>
      </c:spPr>
      <c:txPr>
        <a:bodyPr/>
        <a:lstStyle/>
        <a:p>
          <a:pPr>
            <a:defRPr sz="1400"/>
          </a:pPr>
          <a:endParaRPr lang="en-US"/>
        </a:p>
      </c:tx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Year 11+ Amortization Test </a:t>
            </a:r>
            <a:r>
              <a:rPr lang="en-US" sz="1400"/>
              <a:t>- (though</a:t>
            </a:r>
            <a:r>
              <a:rPr lang="en-US" sz="1400" baseline="0"/>
              <a:t> </a:t>
            </a:r>
            <a:r>
              <a:rPr lang="en-US" sz="1400"/>
              <a:t>shown for all years)</a:t>
            </a:r>
          </a:p>
          <a:p>
            <a:pPr>
              <a:defRPr/>
            </a:pPr>
            <a:r>
              <a:rPr lang="en-US" sz="1400"/>
              <a:t>Components:</a:t>
            </a:r>
            <a:r>
              <a:rPr lang="en-US" sz="1400" baseline="0"/>
              <a:t> RfR</a:t>
            </a:r>
            <a:r>
              <a:rPr lang="en-US" sz="1400"/>
              <a:t> Balances,</a:t>
            </a:r>
            <a:r>
              <a:rPr lang="en-US" sz="1400" baseline="0"/>
              <a:t> the 11th-Term Allowed %-of-paid-down-mortgage-principal offset, and required minimum RfR balances </a:t>
            </a:r>
          </a:p>
          <a:p>
            <a:pPr>
              <a:defRPr/>
            </a:pPr>
            <a:r>
              <a:rPr lang="en-US" sz="1600" baseline="0">
                <a:solidFill>
                  <a:srgbClr val="FFC000"/>
                </a:solidFill>
              </a:rPr>
              <a:t>(Orange column height exceeding Green column height indicates Amortization</a:t>
            </a:r>
            <a:endParaRPr lang="en-US" sz="1600">
              <a:solidFill>
                <a:srgbClr val="FFC000"/>
              </a:solidFill>
            </a:endParaRPr>
          </a:p>
        </c:rich>
      </c:tx>
      <c:layout>
        <c:manualLayout>
          <c:xMode val="edge"/>
          <c:yMode val="edge"/>
          <c:x val="0.1334180402219762"/>
          <c:y val="9.3046437062403193E-3"/>
        </c:manualLayout>
      </c:layout>
      <c:overlay val="1"/>
    </c:title>
    <c:autoTitleDeleted val="0"/>
    <c:plotArea>
      <c:layout>
        <c:manualLayout>
          <c:layoutTarget val="inner"/>
          <c:xMode val="edge"/>
          <c:yMode val="edge"/>
          <c:x val="0.12752471158496492"/>
          <c:y val="0.26862009595739328"/>
          <c:w val="0.81055650652364108"/>
          <c:h val="0.63399738298018915"/>
        </c:manualLayout>
      </c:layout>
      <c:barChart>
        <c:barDir val="col"/>
        <c:grouping val="clustered"/>
        <c:varyColors val="0"/>
        <c:ser>
          <c:idx val="1"/>
          <c:order val="1"/>
          <c:tx>
            <c:strRef>
              <c:f>'Trial Deposits Engine'!$G$259</c:f>
              <c:strCache>
                <c:ptCount val="1"/>
                <c:pt idx="0">
                  <c:v>RfR shortfall vs. minimum requiring offset (inverse of green line below)</c:v>
                </c:pt>
              </c:strCache>
            </c:strRef>
          </c:tx>
          <c:spPr>
            <a:solidFill>
              <a:srgbClr val="92D050"/>
            </a:solidFill>
          </c:spPr>
          <c:invertIfNegative val="0"/>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Engine'!$H$259:$Z$259</c:f>
              <c:numCache>
                <c:formatCode>"$"#,##0.00</c:formatCode>
                <c:ptCount val="19"/>
                <c:pt idx="0">
                  <c:v>0</c:v>
                </c:pt>
                <c:pt idx="1">
                  <c:v>0</c:v>
                </c:pt>
                <c:pt idx="2">
                  <c:v>0</c:v>
                </c:pt>
                <c:pt idx="3">
                  <c:v>0</c:v>
                </c:pt>
                <c:pt idx="4">
                  <c:v>0</c:v>
                </c:pt>
                <c:pt idx="5">
                  <c:v>0</c:v>
                </c:pt>
                <c:pt idx="6">
                  <c:v>0</c:v>
                </c:pt>
                <c:pt idx="7">
                  <c:v>0</c:v>
                </c:pt>
                <c:pt idx="8">
                  <c:v>0</c:v>
                </c:pt>
                <c:pt idx="9">
                  <c:v>0</c:v>
                </c:pt>
                <c:pt idx="10">
                  <c:v>519370.63824687665</c:v>
                </c:pt>
                <c:pt idx="11">
                  <c:v>1027823.9869402418</c:v>
                </c:pt>
                <c:pt idx="12">
                  <c:v>1442733.4896074743</c:v>
                </c:pt>
                <c:pt idx="13">
                  <c:v>1399760.5795280514</c:v>
                </c:pt>
                <c:pt idx="14">
                  <c:v>1783566.8834470399</c:v>
                </c:pt>
                <c:pt idx="15">
                  <c:v>2121263.7224444086</c:v>
                </c:pt>
                <c:pt idx="16">
                  <c:v>2417092.7118217242</c:v>
                </c:pt>
                <c:pt idx="17">
                  <c:v>2379812.9799865861</c:v>
                </c:pt>
                <c:pt idx="18">
                  <c:v>2196599.9663147456</c:v>
                </c:pt>
              </c:numCache>
            </c:numRef>
          </c:val>
          <c:extLst>
            <c:ext xmlns:c16="http://schemas.microsoft.com/office/drawing/2014/chart" uri="{C3380CC4-5D6E-409C-BE32-E72D297353CC}">
              <c16:uniqueId val="{00000000-2A8A-488A-B56D-51F08B7DBB1C}"/>
            </c:ext>
          </c:extLst>
        </c:ser>
        <c:ser>
          <c:idx val="2"/>
          <c:order val="2"/>
          <c:tx>
            <c:strRef>
              <c:f>'Trial Deposits Engine'!$G$260</c:f>
              <c:strCache>
                <c:ptCount val="1"/>
                <c:pt idx="0">
                  <c:v>Allowed % of cumulative amortization (beg. Yr 11)</c:v>
                </c:pt>
              </c:strCache>
            </c:strRef>
          </c:tx>
          <c:spPr>
            <a:solidFill>
              <a:schemeClr val="accent6"/>
            </a:solidFill>
          </c:spPr>
          <c:invertIfNegative val="0"/>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Engine'!$H$260:$Z$260</c:f>
              <c:numCache>
                <c:formatCode>"$"#,##0.00</c:formatCode>
                <c:ptCount val="19"/>
                <c:pt idx="0">
                  <c:v>181059.54421445596</c:v>
                </c:pt>
                <c:pt idx="1">
                  <c:v>366697.80492419301</c:v>
                </c:pt>
                <c:pt idx="2">
                  <c:v>557030.57080434088</c:v>
                </c:pt>
                <c:pt idx="3">
                  <c:v>752176.55864695914</c:v>
                </c:pt>
                <c:pt idx="4">
                  <c:v>952257.48740859702</c:v>
                </c:pt>
                <c:pt idx="5">
                  <c:v>1157398.1541303999</c:v>
                </c:pt>
                <c:pt idx="6">
                  <c:v>1367726.5117781204</c:v>
                </c:pt>
                <c:pt idx="7">
                  <c:v>1583373.7490505804</c:v>
                </c:pt>
                <c:pt idx="8">
                  <c:v>1804474.3722063706</c:v>
                </c:pt>
                <c:pt idx="9">
                  <c:v>2031166.2889598145</c:v>
                </c:pt>
                <c:pt idx="10">
                  <c:v>2263590.8944985373</c:v>
                </c:pt>
                <c:pt idx="11">
                  <c:v>2501893.1596762836</c:v>
                </c:pt>
                <c:pt idx="12">
                  <c:v>2746221.7214359976</c:v>
                </c:pt>
                <c:pt idx="13">
                  <c:v>2996728.9755195612</c:v>
                </c:pt>
                <c:pt idx="14">
                  <c:v>3253571.1715220185</c:v>
                </c:pt>
                <c:pt idx="15">
                  <c:v>3516908.5103495773</c:v>
                </c:pt>
                <c:pt idx="16">
                  <c:v>3786905.2441421705</c:v>
                </c:pt>
                <c:pt idx="17">
                  <c:v>4063729.778722907</c:v>
                </c:pt>
                <c:pt idx="18">
                  <c:v>4347554.7786383061</c:v>
                </c:pt>
              </c:numCache>
            </c:numRef>
          </c:val>
          <c:extLst>
            <c:ext xmlns:c16="http://schemas.microsoft.com/office/drawing/2014/chart" uri="{C3380CC4-5D6E-409C-BE32-E72D297353CC}">
              <c16:uniqueId val="{00000001-2A8A-488A-B56D-51F08B7DBB1C}"/>
            </c:ext>
          </c:extLst>
        </c:ser>
        <c:dLbls>
          <c:showLegendKey val="0"/>
          <c:showVal val="0"/>
          <c:showCatName val="0"/>
          <c:showSerName val="0"/>
          <c:showPercent val="0"/>
          <c:showBubbleSize val="0"/>
        </c:dLbls>
        <c:gapWidth val="150"/>
        <c:axId val="516825584"/>
        <c:axId val="516817352"/>
      </c:barChart>
      <c:lineChart>
        <c:grouping val="standard"/>
        <c:varyColors val="0"/>
        <c:ser>
          <c:idx val="0"/>
          <c:order val="0"/>
          <c:tx>
            <c:strRef>
              <c:f>'Trial Deposits Engine'!$G$258</c:f>
              <c:strCache>
                <c:ptCount val="1"/>
                <c:pt idx="0">
                  <c:v>Ending RfR Balance</c:v>
                </c:pt>
              </c:strCache>
            </c:strRef>
          </c:tx>
          <c:marker>
            <c:symbol val="none"/>
          </c:marker>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Engine'!$H$258:$Z$258</c:f>
              <c:numCache>
                <c:formatCode>"$"#,##0.00_);[Red]\("$"#,##0.00\)</c:formatCode>
                <c:ptCount val="19"/>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pt idx="10">
                  <c:v>-110703.27092129062</c:v>
                </c:pt>
                <c:pt idx="11">
                  <c:v>-610983.27226814406</c:v>
                </c:pt>
                <c:pt idx="12">
                  <c:v>-1017555.9606419345</c:v>
                </c:pt>
                <c:pt idx="13">
                  <c:v>-966079.49998320092</c:v>
                </c:pt>
                <c:pt idx="14">
                  <c:v>-1341212.1823112925</c:v>
                </c:pt>
                <c:pt idx="15">
                  <c:v>-1670061.927285946</c:v>
                </c:pt>
                <c:pt idx="16">
                  <c:v>-1956866.8807600925</c:v>
                </c:pt>
                <c:pt idx="17">
                  <c:v>-1910382.6323037217</c:v>
                </c:pt>
                <c:pt idx="18">
                  <c:v>-1717781.0116782237</c:v>
                </c:pt>
              </c:numCache>
            </c:numRef>
          </c:val>
          <c:smooth val="0"/>
          <c:extLst>
            <c:ext xmlns:c16="http://schemas.microsoft.com/office/drawing/2014/chart" uri="{C3380CC4-5D6E-409C-BE32-E72D297353CC}">
              <c16:uniqueId val="{00000002-2A8A-488A-B56D-51F08B7DBB1C}"/>
            </c:ext>
          </c:extLst>
        </c:ser>
        <c:ser>
          <c:idx val="3"/>
          <c:order val="3"/>
          <c:tx>
            <c:strRef>
              <c:f>'Trial Deposits Engine'!$G$254</c:f>
              <c:strCache>
                <c:ptCount val="1"/>
                <c:pt idx="0">
                  <c:v>Margin exceeding Minimum Balance</c:v>
                </c:pt>
              </c:strCache>
            </c:strRef>
          </c:tx>
          <c:spPr>
            <a:ln>
              <a:solidFill>
                <a:srgbClr val="92D050"/>
              </a:solidFill>
            </a:ln>
          </c:spPr>
          <c:marker>
            <c:symbol val="none"/>
          </c:marker>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Engine'!$H$254:$Z$254</c:f>
              <c:numCache>
                <c:formatCode>"$"#,##0.00</c:formatCode>
                <c:ptCount val="19"/>
                <c:pt idx="0">
                  <c:v>389880.67</c:v>
                </c:pt>
                <c:pt idx="1">
                  <c:v>649033.70089999994</c:v>
                </c:pt>
                <c:pt idx="2">
                  <c:v>575743.86795550003</c:v>
                </c:pt>
                <c:pt idx="3">
                  <c:v>563842.0691476725</c:v>
                </c:pt>
                <c:pt idx="4">
                  <c:v>330859.55262118427</c:v>
                </c:pt>
                <c:pt idx="5">
                  <c:v>140532.73179552471</c:v>
                </c:pt>
                <c:pt idx="6">
                  <c:v>348.59477518073982</c:v>
                </c:pt>
                <c:pt idx="7">
                  <c:v>16406.335739586095</c:v>
                </c:pt>
                <c:pt idx="8">
                  <c:v>88183.621659313096</c:v>
                </c:pt>
                <c:pt idx="9">
                  <c:v>33119.333885508764</c:v>
                </c:pt>
                <c:pt idx="10">
                  <c:v>-519370.63824687665</c:v>
                </c:pt>
                <c:pt idx="11">
                  <c:v>-1027823.9869402418</c:v>
                </c:pt>
                <c:pt idx="12">
                  <c:v>-1442733.4896074743</c:v>
                </c:pt>
                <c:pt idx="13">
                  <c:v>-1399760.5795280514</c:v>
                </c:pt>
                <c:pt idx="14">
                  <c:v>-1783566.8834470399</c:v>
                </c:pt>
                <c:pt idx="15">
                  <c:v>-2121263.7224444086</c:v>
                </c:pt>
                <c:pt idx="16">
                  <c:v>-2417092.7118217242</c:v>
                </c:pt>
                <c:pt idx="17">
                  <c:v>-2379812.9799865861</c:v>
                </c:pt>
                <c:pt idx="18">
                  <c:v>-2196599.9663147456</c:v>
                </c:pt>
              </c:numCache>
            </c:numRef>
          </c:val>
          <c:smooth val="0"/>
          <c:extLst>
            <c:ext xmlns:c16="http://schemas.microsoft.com/office/drawing/2014/chart" uri="{C3380CC4-5D6E-409C-BE32-E72D297353CC}">
              <c16:uniqueId val="{00000000-9B88-4ABE-821F-68C538FCDB71}"/>
            </c:ext>
          </c:extLst>
        </c:ser>
        <c:dLbls>
          <c:showLegendKey val="0"/>
          <c:showVal val="0"/>
          <c:showCatName val="0"/>
          <c:showSerName val="0"/>
          <c:showPercent val="0"/>
          <c:showBubbleSize val="0"/>
        </c:dLbls>
        <c:marker val="1"/>
        <c:smooth val="0"/>
        <c:axId val="516825584"/>
        <c:axId val="516817352"/>
      </c:lineChart>
      <c:catAx>
        <c:axId val="516825584"/>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6817352"/>
        <c:crosses val="autoZero"/>
        <c:auto val="1"/>
        <c:lblAlgn val="ctr"/>
        <c:lblOffset val="100"/>
        <c:noMultiLvlLbl val="0"/>
      </c:catAx>
      <c:valAx>
        <c:axId val="516817352"/>
        <c:scaling>
          <c:orientation val="minMax"/>
        </c:scaling>
        <c:delete val="0"/>
        <c:axPos val="l"/>
        <c:majorGridlines/>
        <c:numFmt formatCode="&quot;$&quot;#,##0.00" sourceLinked="1"/>
        <c:majorTickMark val="out"/>
        <c:minorTickMark val="none"/>
        <c:tickLblPos val="nextTo"/>
        <c:crossAx val="516825584"/>
        <c:crosses val="autoZero"/>
        <c:crossBetween val="between"/>
      </c:valAx>
    </c:plotArea>
    <c:legend>
      <c:legendPos val="r"/>
      <c:layout>
        <c:manualLayout>
          <c:xMode val="edge"/>
          <c:yMode val="edge"/>
          <c:x val="0.14334502536722987"/>
          <c:y val="0.30226754204200934"/>
          <c:w val="0.59363249764607284"/>
          <c:h val="0.1403415708770476"/>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Required Minimum Balance Test (RfR minus Req. Min. Bal.)</a:t>
            </a:r>
          </a:p>
          <a:p>
            <a:pPr>
              <a:defRPr/>
            </a:pPr>
            <a:r>
              <a:rPr lang="en-US"/>
              <a:t>Margin</a:t>
            </a:r>
            <a:r>
              <a:rPr lang="en-US" baseline="0"/>
              <a:t> Exceeding Required Minimum Balance</a:t>
            </a:r>
          </a:p>
          <a:p>
            <a:pPr>
              <a:defRPr/>
            </a:pPr>
            <a:r>
              <a:rPr lang="en-US" sz="1400" baseline="0"/>
              <a:t>Note: Year 11+ Req. Min. Balance deficits can be mitigated using an Amortization Test</a:t>
            </a:r>
            <a:endParaRPr lang="en-US" sz="1400"/>
          </a:p>
        </c:rich>
      </c:tx>
      <c:layout>
        <c:manualLayout>
          <c:xMode val="edge"/>
          <c:yMode val="edge"/>
          <c:x val="0.14051095628996751"/>
          <c:y val="2.8748761176637157E-2"/>
        </c:manualLayout>
      </c:layout>
      <c:overlay val="1"/>
    </c:title>
    <c:autoTitleDeleted val="0"/>
    <c:plotArea>
      <c:layout>
        <c:manualLayout>
          <c:layoutTarget val="inner"/>
          <c:xMode val="edge"/>
          <c:yMode val="edge"/>
          <c:x val="0.12752471158496492"/>
          <c:y val="0.26862009595739339"/>
          <c:w val="0.81055650652364108"/>
          <c:h val="0.63399738298018948"/>
        </c:manualLayout>
      </c:layout>
      <c:lineChart>
        <c:grouping val="standard"/>
        <c:varyColors val="0"/>
        <c:ser>
          <c:idx val="2"/>
          <c:order val="2"/>
          <c:tx>
            <c:strRef>
              <c:f>'Trial Deposits Engine'!$G$254</c:f>
              <c:strCache>
                <c:ptCount val="1"/>
                <c:pt idx="0">
                  <c:v>Margin exceeding Minimum Balance</c:v>
                </c:pt>
              </c:strCache>
            </c:strRef>
          </c:tx>
          <c:marker>
            <c:symbol val="none"/>
          </c:marker>
          <c:cat>
            <c:numRef>
              <c:f>'Trial Deposits Engine'!$H$251:$AA$251</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Engine'!$H$254:$AA$254</c:f>
              <c:numCache>
                <c:formatCode>"$"#,##0.00</c:formatCode>
                <c:ptCount val="20"/>
                <c:pt idx="0">
                  <c:v>389880.67</c:v>
                </c:pt>
                <c:pt idx="1">
                  <c:v>649033.70089999994</c:v>
                </c:pt>
                <c:pt idx="2">
                  <c:v>575743.86795550003</c:v>
                </c:pt>
                <c:pt idx="3">
                  <c:v>563842.0691476725</c:v>
                </c:pt>
                <c:pt idx="4">
                  <c:v>330859.55262118427</c:v>
                </c:pt>
                <c:pt idx="5">
                  <c:v>140532.73179552471</c:v>
                </c:pt>
                <c:pt idx="6">
                  <c:v>348.59477518073982</c:v>
                </c:pt>
                <c:pt idx="7">
                  <c:v>16406.335739586095</c:v>
                </c:pt>
                <c:pt idx="8">
                  <c:v>88183.621659313096</c:v>
                </c:pt>
                <c:pt idx="9">
                  <c:v>33119.333885508764</c:v>
                </c:pt>
                <c:pt idx="10">
                  <c:v>-519370.63824687665</c:v>
                </c:pt>
                <c:pt idx="11">
                  <c:v>-1027823.9869402418</c:v>
                </c:pt>
                <c:pt idx="12">
                  <c:v>-1442733.4896074743</c:v>
                </c:pt>
                <c:pt idx="13">
                  <c:v>-1399760.5795280514</c:v>
                </c:pt>
                <c:pt idx="14">
                  <c:v>-1783566.8834470399</c:v>
                </c:pt>
                <c:pt idx="15">
                  <c:v>-2121263.7224444086</c:v>
                </c:pt>
                <c:pt idx="16">
                  <c:v>-2417092.7118217242</c:v>
                </c:pt>
                <c:pt idx="17">
                  <c:v>-2379812.9799865861</c:v>
                </c:pt>
                <c:pt idx="18">
                  <c:v>-2196599.9663147456</c:v>
                </c:pt>
                <c:pt idx="19">
                  <c:v>-1990912.8279694677</c:v>
                </c:pt>
              </c:numCache>
            </c:numRef>
          </c:val>
          <c:smooth val="0"/>
          <c:extLst>
            <c:ext xmlns:c16="http://schemas.microsoft.com/office/drawing/2014/chart" uri="{C3380CC4-5D6E-409C-BE32-E72D297353CC}">
              <c16:uniqueId val="{00000002-79BC-400B-ACDB-1FF8BD01BB1B}"/>
            </c:ext>
          </c:extLst>
        </c:ser>
        <c:dLbls>
          <c:showLegendKey val="0"/>
          <c:showVal val="0"/>
          <c:showCatName val="0"/>
          <c:showSerName val="0"/>
          <c:showPercent val="0"/>
          <c:showBubbleSize val="0"/>
        </c:dLbls>
        <c:smooth val="0"/>
        <c:axId val="516831856"/>
        <c:axId val="516832248"/>
        <c:extLst>
          <c:ext xmlns:c15="http://schemas.microsoft.com/office/drawing/2012/chart" uri="{02D57815-91ED-43cb-92C2-25804820EDAC}">
            <c15:filteredLineSeries>
              <c15:ser>
                <c:idx val="0"/>
                <c:order val="0"/>
                <c:tx>
                  <c:strRef>
                    <c:extLst>
                      <c:ext uri="{02D57815-91ED-43cb-92C2-25804820EDAC}">
                        <c15:formulaRef>
                          <c15:sqref>'Trial Deposits Engine'!$G$252</c15:sqref>
                        </c15:formulaRef>
                      </c:ext>
                    </c:extLst>
                    <c:strCache>
                      <c:ptCount val="1"/>
                      <c:pt idx="0">
                        <c:v>Ending RfR Balance</c:v>
                      </c:pt>
                    </c:strCache>
                  </c:strRef>
                </c:tx>
                <c:marker>
                  <c:symbol val="none"/>
                </c:marker>
                <c:cat>
                  <c:numRef>
                    <c:extLst>
                      <c:ext uri="{02D57815-91ED-43cb-92C2-25804820EDAC}">
                        <c15:formulaRef>
                          <c15:sqref>'Trial Deposits Engine'!$H$251:$AA$251</c15:sqref>
                        </c15:formulaRef>
                      </c:ext>
                    </c:extLst>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extLst>
                      <c:ext uri="{02D57815-91ED-43cb-92C2-25804820EDAC}">
                        <c15:formulaRef>
                          <c15:sqref>'Trial Deposits Engine'!$H$252:$Z$252</c15:sqref>
                        </c15:formulaRef>
                      </c:ext>
                    </c:extLst>
                    <c:numCache>
                      <c:formatCode>"$"#,##0.00_);[Red]\("$"#,##0.00\)</c:formatCode>
                      <c:ptCount val="19"/>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pt idx="10">
                        <c:v>-110703.27092129062</c:v>
                      </c:pt>
                      <c:pt idx="11">
                        <c:v>-610983.27226814406</c:v>
                      </c:pt>
                      <c:pt idx="12">
                        <c:v>-1017555.9606419345</c:v>
                      </c:pt>
                      <c:pt idx="13">
                        <c:v>-966079.49998320092</c:v>
                      </c:pt>
                      <c:pt idx="14">
                        <c:v>-1341212.1823112925</c:v>
                      </c:pt>
                      <c:pt idx="15">
                        <c:v>-1670061.927285946</c:v>
                      </c:pt>
                      <c:pt idx="16">
                        <c:v>-1956866.8807600925</c:v>
                      </c:pt>
                      <c:pt idx="17">
                        <c:v>-1910382.6323037217</c:v>
                      </c:pt>
                      <c:pt idx="18">
                        <c:v>-1717781.0116782237</c:v>
                      </c:pt>
                    </c:numCache>
                  </c:numRef>
                </c:val>
                <c:smooth val="0"/>
                <c:extLst>
                  <c:ext xmlns:c16="http://schemas.microsoft.com/office/drawing/2014/chart" uri="{C3380CC4-5D6E-409C-BE32-E72D297353CC}">
                    <c16:uniqueId val="{00000000-79BC-400B-ACDB-1FF8BD01BB1B}"/>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'Trial Deposits Engine'!$G$253</c15:sqref>
                        </c15:formulaRef>
                      </c:ext>
                    </c:extLst>
                    <c:strCache>
                      <c:ptCount val="1"/>
                      <c:pt idx="0">
                        <c:v>Estimate Period Minimum Balance-inflated</c:v>
                      </c:pt>
                    </c:strCache>
                  </c:strRef>
                </c:tx>
                <c:marker>
                  <c:symbol val="none"/>
                </c:marker>
                <c:cat>
                  <c:numRef>
                    <c:extLst xmlns:c15="http://schemas.microsoft.com/office/drawing/2012/chart">
                      <c:ext xmlns:c15="http://schemas.microsoft.com/office/drawing/2012/chart" uri="{02D57815-91ED-43cb-92C2-25804820EDAC}">
                        <c15:formulaRef>
                          <c15:sqref>'Trial Deposits Engine'!$H$251:$AA$251</c15:sqref>
                        </c15:formulaRef>
                      </c:ext>
                    </c:extLst>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extLst xmlns:c15="http://schemas.microsoft.com/office/drawing/2012/chart">
                      <c:ext xmlns:c15="http://schemas.microsoft.com/office/drawing/2012/chart" uri="{02D57815-91ED-43cb-92C2-25804820EDAC}">
                        <c15:formulaRef>
                          <c15:sqref>'Trial Deposits Engine'!$H$253:$Z$253</c15:sqref>
                        </c15:formulaRef>
                      </c:ext>
                    </c:extLst>
                    <c:numCache>
                      <c:formatCode>"$"#,##0.00</c:formatCode>
                      <c:ptCount val="19"/>
                      <c:pt idx="0">
                        <c:v>335249.58</c:v>
                      </c:pt>
                      <c:pt idx="1">
                        <c:v>341954.57160000002</c:v>
                      </c:pt>
                      <c:pt idx="2">
                        <c:v>348793.66303200001</c:v>
                      </c:pt>
                      <c:pt idx="3">
                        <c:v>355769.53629263997</c:v>
                      </c:pt>
                      <c:pt idx="4">
                        <c:v>362884.92701849283</c:v>
                      </c:pt>
                      <c:pt idx="5">
                        <c:v>370142.6255588627</c:v>
                      </c:pt>
                      <c:pt idx="6">
                        <c:v>377545.47807003994</c:v>
                      </c:pt>
                      <c:pt idx="7">
                        <c:v>385096.38763144077</c:v>
                      </c:pt>
                      <c:pt idx="8">
                        <c:v>392798.31538406957</c:v>
                      </c:pt>
                      <c:pt idx="9">
                        <c:v>400654.28169175098</c:v>
                      </c:pt>
                      <c:pt idx="10">
                        <c:v>408667.36732558603</c:v>
                      </c:pt>
                      <c:pt idx="11">
                        <c:v>416840.7146720977</c:v>
                      </c:pt>
                      <c:pt idx="12">
                        <c:v>425177.52896553965</c:v>
                      </c:pt>
                      <c:pt idx="13">
                        <c:v>433681.07954485045</c:v>
                      </c:pt>
                      <c:pt idx="14">
                        <c:v>442354.70113574748</c:v>
                      </c:pt>
                      <c:pt idx="15">
                        <c:v>451201.79515846248</c:v>
                      </c:pt>
                      <c:pt idx="16">
                        <c:v>460225.83106163173</c:v>
                      </c:pt>
                      <c:pt idx="17">
                        <c:v>469430.34768286441</c:v>
                      </c:pt>
                      <c:pt idx="18">
                        <c:v>478818.9546365217</c:v>
                      </c:pt>
                    </c:numCache>
                  </c:numRef>
                </c:val>
                <c:smooth val="0"/>
                <c:extLst xmlns:c15="http://schemas.microsoft.com/office/drawing/2012/chart">
                  <c:ext xmlns:c16="http://schemas.microsoft.com/office/drawing/2014/chart" uri="{C3380CC4-5D6E-409C-BE32-E72D297353CC}">
                    <c16:uniqueId val="{00000001-79BC-400B-ACDB-1FF8BD01BB1B}"/>
                  </c:ext>
                </c:extLst>
              </c15:ser>
            </c15:filteredLineSeries>
          </c:ext>
        </c:extLst>
      </c:lineChart>
      <c:catAx>
        <c:axId val="516831856"/>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6832248"/>
        <c:crosses val="autoZero"/>
        <c:auto val="1"/>
        <c:lblAlgn val="ctr"/>
        <c:lblOffset val="100"/>
        <c:noMultiLvlLbl val="0"/>
      </c:catAx>
      <c:valAx>
        <c:axId val="516832248"/>
        <c:scaling>
          <c:orientation val="minMax"/>
        </c:scaling>
        <c:delete val="0"/>
        <c:axPos val="l"/>
        <c:majorGridlines/>
        <c:numFmt formatCode="&quot;$&quot;#,##0.00" sourceLinked="1"/>
        <c:majorTickMark val="out"/>
        <c:minorTickMark val="none"/>
        <c:tickLblPos val="nextTo"/>
        <c:crossAx val="516831856"/>
        <c:crosses val="autoZero"/>
        <c:crossBetween val="between"/>
      </c:valAx>
    </c:plotArea>
    <c:legend>
      <c:legendPos val="r"/>
      <c:layout>
        <c:manualLayout>
          <c:xMode val="edge"/>
          <c:yMode val="edge"/>
          <c:x val="0.21208612466958501"/>
          <c:y val="0.60381960553685976"/>
          <c:w val="0.31016739166345514"/>
          <c:h val="0.17046427287875324"/>
        </c:manualLayout>
      </c:layout>
      <c:overlay val="0"/>
      <c:spPr>
        <a:solidFill>
          <a:schemeClr val="accent1">
            <a:lumMod val="20000"/>
            <a:lumOff val="80000"/>
          </a:schemeClr>
        </a:solidFill>
        <a:ln>
          <a:solidFill>
            <a:schemeClr val="tx1"/>
          </a:solidFill>
        </a:ln>
      </c:spPr>
      <c:txPr>
        <a:bodyPr/>
        <a:lstStyle/>
        <a:p>
          <a:pPr>
            <a:defRPr sz="1400"/>
          </a:pPr>
          <a:endParaRPr lang="en-US"/>
        </a:p>
      </c:tx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Annual Inflows into the Reserve for Replacements</a:t>
            </a:r>
          </a:p>
        </c:rich>
      </c:tx>
      <c:layout>
        <c:manualLayout>
          <c:xMode val="edge"/>
          <c:yMode val="edge"/>
          <c:x val="0.13370573961273718"/>
          <c:y val="5.6224899598393545E-2"/>
        </c:manualLayout>
      </c:layout>
      <c:overlay val="1"/>
    </c:title>
    <c:autoTitleDeleted val="0"/>
    <c:plotArea>
      <c:layout>
        <c:manualLayout>
          <c:layoutTarget val="inner"/>
          <c:xMode val="edge"/>
          <c:yMode val="edge"/>
          <c:x val="0.12832174103237096"/>
          <c:y val="0.28044208329380554"/>
          <c:w val="0.74787204724409506"/>
          <c:h val="0.60865277382495853"/>
        </c:manualLayout>
      </c:layout>
      <c:barChart>
        <c:barDir val="col"/>
        <c:grouping val="stacked"/>
        <c:varyColors val="0"/>
        <c:ser>
          <c:idx val="1"/>
          <c:order val="0"/>
          <c:tx>
            <c:strRef>
              <c:f>'Trial Deposits Engine'!$G$211</c:f>
              <c:strCache>
                <c:ptCount val="1"/>
                <c:pt idx="0">
                  <c:v>Inflationary Increase in Annual Deposit</c:v>
                </c:pt>
              </c:strCache>
            </c:strRef>
          </c:tx>
          <c:invertIfNegative val="0"/>
          <c:cat>
            <c:numRef>
              <c:f>'Trial Deposits Engine'!$H$208:$Q$208</c:f>
              <c:numCache>
                <c:formatCode>0</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Engine'!$H$211:$Q$211</c:f>
              <c:numCache>
                <c:formatCode>"$"#,##0.0_);[Red]\("$"#,##0.0\)</c:formatCode>
                <c:ptCount val="10"/>
                <c:pt idx="0">
                  <c:v>0</c:v>
                </c:pt>
                <c:pt idx="1">
                  <c:v>5070.7200000000048</c:v>
                </c:pt>
                <c:pt idx="2">
                  <c:v>10242.854399999998</c:v>
                </c:pt>
                <c:pt idx="3">
                  <c:v>15518.431487999982</c:v>
                </c:pt>
                <c:pt idx="4">
                  <c:v>20899.520117759996</c:v>
                </c:pt>
                <c:pt idx="5">
                  <c:v>26388.230520115205</c:v>
                </c:pt>
                <c:pt idx="6">
                  <c:v>31986.715130517521</c:v>
                </c:pt>
                <c:pt idx="7">
                  <c:v>37697.169433127863</c:v>
                </c:pt>
                <c:pt idx="8">
                  <c:v>43521.832821790449</c:v>
                </c:pt>
                <c:pt idx="9">
                  <c:v>49462.989478226256</c:v>
                </c:pt>
              </c:numCache>
            </c:numRef>
          </c:val>
          <c:extLst>
            <c:ext xmlns:c16="http://schemas.microsoft.com/office/drawing/2014/chart" uri="{C3380CC4-5D6E-409C-BE32-E72D297353CC}">
              <c16:uniqueId val="{00000000-9D86-4C24-B6C6-B9E04A5A804A}"/>
            </c:ext>
          </c:extLst>
        </c:ser>
        <c:ser>
          <c:idx val="0"/>
          <c:order val="1"/>
          <c:tx>
            <c:strRef>
              <c:f>'Trial Deposits Engine'!$G$210</c:f>
              <c:strCache>
                <c:ptCount val="1"/>
                <c:pt idx="0">
                  <c:v>Base Annual RfR Deposit</c:v>
                </c:pt>
              </c:strCache>
            </c:strRef>
          </c:tx>
          <c:invertIfNegative val="0"/>
          <c:cat>
            <c:numRef>
              <c:f>'Trial Deposits Engine'!$H$208:$Q$208</c:f>
              <c:numCache>
                <c:formatCode>0</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Engine'!$H$210:$Q$210</c:f>
              <c:numCache>
                <c:formatCode>"$"#,##0.0_);[Red]\("$"#,##0.0\)</c:formatCode>
                <c:ptCount val="10"/>
                <c:pt idx="0">
                  <c:v>253536</c:v>
                </c:pt>
                <c:pt idx="1">
                  <c:v>253536</c:v>
                </c:pt>
                <c:pt idx="2">
                  <c:v>253536</c:v>
                </c:pt>
                <c:pt idx="3">
                  <c:v>253536</c:v>
                </c:pt>
                <c:pt idx="4">
                  <c:v>253536</c:v>
                </c:pt>
                <c:pt idx="5">
                  <c:v>253536</c:v>
                </c:pt>
                <c:pt idx="6">
                  <c:v>253536</c:v>
                </c:pt>
                <c:pt idx="7">
                  <c:v>253536</c:v>
                </c:pt>
                <c:pt idx="8">
                  <c:v>253536</c:v>
                </c:pt>
                <c:pt idx="9">
                  <c:v>253536</c:v>
                </c:pt>
              </c:numCache>
            </c:numRef>
          </c:val>
          <c:extLst>
            <c:ext xmlns:c16="http://schemas.microsoft.com/office/drawing/2014/chart" uri="{C3380CC4-5D6E-409C-BE32-E72D297353CC}">
              <c16:uniqueId val="{00000001-9D86-4C24-B6C6-B9E04A5A804A}"/>
            </c:ext>
          </c:extLst>
        </c:ser>
        <c:ser>
          <c:idx val="2"/>
          <c:order val="2"/>
          <c:tx>
            <c:strRef>
              <c:f>'Trial Deposits Engine'!$G$209</c:f>
              <c:strCache>
                <c:ptCount val="1"/>
                <c:pt idx="0">
                  <c:v>Interest Income on RfR balance</c:v>
                </c:pt>
              </c:strCache>
            </c:strRef>
          </c:tx>
          <c:spPr>
            <a:ln w="25400">
              <a:noFill/>
            </a:ln>
          </c:spPr>
          <c:invertIfNegative val="0"/>
          <c:cat>
            <c:numRef>
              <c:f>'Trial Deposits Engine'!$H$208:$Q$208</c:f>
              <c:numCache>
                <c:formatCode>0</c:formatCode>
                <c:ptCount val="10"/>
                <c:pt idx="0">
                  <c:v>1</c:v>
                </c:pt>
                <c:pt idx="1">
                  <c:v>2</c:v>
                </c:pt>
                <c:pt idx="2">
                  <c:v>3</c:v>
                </c:pt>
                <c:pt idx="3">
                  <c:v>4</c:v>
                </c:pt>
                <c:pt idx="4">
                  <c:v>5</c:v>
                </c:pt>
                <c:pt idx="5">
                  <c:v>6</c:v>
                </c:pt>
                <c:pt idx="6">
                  <c:v>7</c:v>
                </c:pt>
                <c:pt idx="7">
                  <c:v>8</c:v>
                </c:pt>
                <c:pt idx="8">
                  <c:v>9</c:v>
                </c:pt>
                <c:pt idx="9">
                  <c:v>10</c:v>
                </c:pt>
              </c:numCache>
            </c:numRef>
          </c:cat>
          <c:val>
            <c:numRef>
              <c:f>'Trial Deposits Engine'!$H$209:$Q$209</c:f>
              <c:numCache>
                <c:formatCode>"$"#,##0.0_);[Red]\("$"#,##0.0\)</c:formatCode>
                <c:ptCount val="10"/>
                <c:pt idx="0">
                  <c:v>4669.25</c:v>
                </c:pt>
                <c:pt idx="1">
                  <c:v>7251.3024999999998</c:v>
                </c:pt>
                <c:pt idx="2">
                  <c:v>14864.824087499999</c:v>
                </c:pt>
                <c:pt idx="3">
                  <c:v>13868.0629648125</c:v>
                </c:pt>
                <c:pt idx="4">
                  <c:v>13794.174081604688</c:v>
                </c:pt>
                <c:pt idx="5">
                  <c:v>10406.167194595157</c:v>
                </c:pt>
                <c:pt idx="6">
                  <c:v>7660.1303603158112</c:v>
                </c:pt>
                <c:pt idx="7">
                  <c:v>5668.4110926783096</c:v>
                </c:pt>
                <c:pt idx="8">
                  <c:v>6022.5408505654032</c:v>
                </c:pt>
                <c:pt idx="9">
                  <c:v>7214.7290556507396</c:v>
                </c:pt>
              </c:numCache>
            </c:numRef>
          </c:val>
          <c:extLst>
            <c:ext xmlns:c16="http://schemas.microsoft.com/office/drawing/2014/chart" uri="{C3380CC4-5D6E-409C-BE32-E72D297353CC}">
              <c16:uniqueId val="{00000002-9D86-4C24-B6C6-B9E04A5A804A}"/>
            </c:ext>
          </c:extLst>
        </c:ser>
        <c:ser>
          <c:idx val="3"/>
          <c:order val="3"/>
          <c:tx>
            <c:strRef>
              <c:f>'Trial Deposits Engine'!$G$212</c:f>
              <c:strCache>
                <c:ptCount val="1"/>
                <c:pt idx="0">
                  <c:v>Note: Highest Annual Withdrawal to equalize Sources and Needs graphs scales</c:v>
                </c:pt>
              </c:strCache>
            </c:strRef>
          </c:tx>
          <c:invertIfNegative val="0"/>
          <c:cat>
            <c:numRef>
              <c:f>'Trial Deposits Engine'!$H$208:$Q$208</c:f>
              <c:numCache>
                <c:formatCode>0</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Engine'!$H$212:$R$212</c:f>
              <c:numCache>
                <c:formatCode>"$"#,##0.0_);[Red]\("$"#,##0.0\)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3-9D86-4C24-B6C6-B9E04A5A804A}"/>
            </c:ext>
          </c:extLst>
        </c:ser>
        <c:dLbls>
          <c:showLegendKey val="0"/>
          <c:showVal val="0"/>
          <c:showCatName val="0"/>
          <c:showSerName val="0"/>
          <c:showPercent val="0"/>
          <c:showBubbleSize val="0"/>
        </c:dLbls>
        <c:gapWidth val="150"/>
        <c:overlap val="100"/>
        <c:axId val="516831464"/>
        <c:axId val="516830288"/>
      </c:barChart>
      <c:catAx>
        <c:axId val="516831464"/>
        <c:scaling>
          <c:orientation val="minMax"/>
        </c:scaling>
        <c:delete val="0"/>
        <c:axPos val="b"/>
        <c:title>
          <c:tx>
            <c:rich>
              <a:bodyPr/>
              <a:lstStyle/>
              <a:p>
                <a:pPr>
                  <a:defRPr/>
                </a:pPr>
                <a:r>
                  <a:rPr lang="en-US"/>
                  <a:t>Relative Year</a:t>
                </a:r>
              </a:p>
            </c:rich>
          </c:tx>
          <c:overlay val="0"/>
        </c:title>
        <c:numFmt formatCode="0" sourceLinked="1"/>
        <c:majorTickMark val="out"/>
        <c:minorTickMark val="none"/>
        <c:tickLblPos val="nextTo"/>
        <c:crossAx val="516830288"/>
        <c:crosses val="autoZero"/>
        <c:auto val="1"/>
        <c:lblAlgn val="ctr"/>
        <c:lblOffset val="100"/>
        <c:noMultiLvlLbl val="0"/>
      </c:catAx>
      <c:valAx>
        <c:axId val="516830288"/>
        <c:scaling>
          <c:orientation val="minMax"/>
        </c:scaling>
        <c:delete val="0"/>
        <c:axPos val="l"/>
        <c:majorGridlines/>
        <c:numFmt formatCode="&quot;$&quot;#,##0_);[Red]\(&quot;$&quot;#,##0\)" sourceLinked="0"/>
        <c:majorTickMark val="out"/>
        <c:minorTickMark val="none"/>
        <c:tickLblPos val="nextTo"/>
        <c:crossAx val="516831464"/>
        <c:crosses val="autoZero"/>
        <c:crossBetween val="between"/>
      </c:valAx>
    </c:plotArea>
    <c:legend>
      <c:legendPos val="r"/>
      <c:layout>
        <c:manualLayout>
          <c:xMode val="edge"/>
          <c:yMode val="edge"/>
          <c:x val="0.14731441588669364"/>
          <c:y val="0.21501017192128091"/>
          <c:w val="0.46143271278318077"/>
          <c:h val="0.31591689593017791"/>
        </c:manualLayout>
      </c:layout>
      <c:overlay val="0"/>
      <c:spPr>
        <a:solidFill>
          <a:schemeClr val="accent1">
            <a:lumMod val="20000"/>
            <a:lumOff val="80000"/>
          </a:schemeClr>
        </a:solidFill>
        <a:ln>
          <a:solidFill>
            <a:schemeClr val="tx1"/>
          </a:solidFill>
        </a:ln>
      </c:spPr>
      <c:txPr>
        <a:bodyPr/>
        <a:lstStyle/>
        <a:p>
          <a:pPr>
            <a:defRPr lang="en-US" sz="1000" b="0" i="0" u="none" strike="noStrike" kern="1200" baseline="0">
              <a:solidFill>
                <a:sysClr val="windowText" lastClr="000000"/>
              </a:solidFill>
              <a:latin typeface="+mn-lt"/>
              <a:ea typeface="+mn-ea"/>
              <a:cs typeface="+mn-cs"/>
            </a:defRPr>
          </a:pPr>
          <a:endParaRPr lang="en-US"/>
        </a:p>
      </c:tx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400" b="1" i="0" u="sng" baseline="0">
                <a:effectLst/>
              </a:rPr>
              <a:t>eTool Data Results: </a:t>
            </a:r>
          </a:p>
          <a:p>
            <a:pPr>
              <a:defRPr sz="1200"/>
            </a:pPr>
            <a:r>
              <a:rPr lang="en-US" sz="1200" b="0" i="0" baseline="0">
                <a:effectLst/>
              </a:rPr>
              <a:t>Average Annual Deposits Per Unit + Interest Income vs. Capital Needs Withdrawals</a:t>
            </a:r>
            <a:endParaRPr lang="en-US" sz="1200">
              <a:effectLst/>
            </a:endParaRPr>
          </a:p>
        </c:rich>
      </c:tx>
      <c:layout>
        <c:manualLayout>
          <c:xMode val="edge"/>
          <c:yMode val="edge"/>
          <c:x val="0.12229286116780365"/>
          <c:y val="1.1461359149194106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6548455448313887"/>
          <c:y val="0.44907555803891586"/>
          <c:w val="0.78071219513176704"/>
          <c:h val="0.45220390605414695"/>
        </c:manualLayout>
      </c:layout>
      <c:barChart>
        <c:barDir val="col"/>
        <c:grouping val="clustered"/>
        <c:varyColors val="0"/>
        <c:ser>
          <c:idx val="0"/>
          <c:order val="0"/>
          <c:tx>
            <c:strRef>
              <c:f>'eTool Data Analysis'!$L$6</c:f>
              <c:strCache>
                <c:ptCount val="1"/>
                <c:pt idx="0">
                  <c:v>Total Income (Into the RfR)</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'eTool Data Analysis'!$L$13:$L$14</c:f>
              <c:strCache>
                <c:ptCount val="2"/>
                <c:pt idx="0">
                  <c:v>RY 1-10</c:v>
                </c:pt>
                <c:pt idx="1">
                  <c:v>RY 11+</c:v>
                </c:pt>
              </c:strCache>
            </c:strRef>
          </c:cat>
          <c:val>
            <c:numRef>
              <c:f>'eTool Data Analysis'!$M$13:$M$14</c:f>
              <c:numCache>
                <c:formatCode>"$"#,##0_);[Red]\("$"#,##0\)</c:formatCode>
                <c:ptCount val="2"/>
                <c:pt idx="0">
                  <c:v>731.24847368421058</c:v>
                </c:pt>
                <c:pt idx="1">
                  <c:v>743.55616228070176</c:v>
                </c:pt>
              </c:numCache>
            </c:numRef>
          </c:val>
          <c:extLst>
            <c:ext xmlns:c16="http://schemas.microsoft.com/office/drawing/2014/chart" uri="{C3380CC4-5D6E-409C-BE32-E72D297353CC}">
              <c16:uniqueId val="{00000000-BEF5-4E52-A62D-9DF4D6510020}"/>
            </c:ext>
          </c:extLst>
        </c:ser>
        <c:ser>
          <c:idx val="1"/>
          <c:order val="1"/>
          <c:tx>
            <c:strRef>
              <c:f>'eTool Data Analysis'!$O$6</c:f>
              <c:strCache>
                <c:ptCount val="1"/>
                <c:pt idx="0">
                  <c:v>Total Uses of Funds (Out of the  RfR)</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'eTool Data Analysis'!$L$13:$L$14</c:f>
              <c:strCache>
                <c:ptCount val="2"/>
                <c:pt idx="0">
                  <c:v>RY 1-10</c:v>
                </c:pt>
                <c:pt idx="1">
                  <c:v>RY 11+</c:v>
                </c:pt>
              </c:strCache>
            </c:strRef>
          </c:cat>
          <c:val>
            <c:numRef>
              <c:f>'eTool Data Analysis'!$P$13:$P$14</c:f>
              <c:numCache>
                <c:formatCode>"$"#,##0_);[Red]\("$"#,##0\)</c:formatCode>
                <c:ptCount val="2"/>
                <c:pt idx="0">
                  <c:v>636.12268421052636</c:v>
                </c:pt>
                <c:pt idx="1">
                  <c:v>1168.1814035087718</c:v>
                </c:pt>
              </c:numCache>
            </c:numRef>
          </c:val>
          <c:extLst>
            <c:ext xmlns:c16="http://schemas.microsoft.com/office/drawing/2014/chart" uri="{C3380CC4-5D6E-409C-BE32-E72D297353CC}">
              <c16:uniqueId val="{00000001-BEF5-4E52-A62D-9DF4D6510020}"/>
            </c:ext>
          </c:extLst>
        </c:ser>
        <c:ser>
          <c:idx val="2"/>
          <c:order val="2"/>
          <c:tx>
            <c:strRef>
              <c:f>'eTool Data Analysis'!$Q$12:$Q$14</c:f>
              <c:strCache>
                <c:ptCount val="3"/>
                <c:pt idx="0">
                  <c:v>Change in Avg Needs  (Yr.11+ vs Yr.1-10)</c:v>
                </c:pt>
                <c:pt idx="2">
                  <c:v>83.6%</c:v>
                </c:pt>
              </c:strCache>
            </c:strRef>
          </c:tx>
          <c:spPr>
            <a:solidFill>
              <a:schemeClr val="accent3"/>
            </a:solidFill>
            <a:ln>
              <a:noFill/>
            </a:ln>
            <a:effectLst/>
          </c:spPr>
          <c:invertIfNegative val="0"/>
          <c:val>
            <c:numRef>
              <c:f>#REF!</c:f>
              <c:numCache>
                <c:formatCode>General</c:formatCode>
                <c:ptCount val="1"/>
                <c:pt idx="0">
                  <c:v>1</c:v>
                </c:pt>
              </c:numCache>
            </c:numRef>
          </c:val>
          <c:extLst>
            <c:ext xmlns:c16="http://schemas.microsoft.com/office/drawing/2014/chart" uri="{C3380CC4-5D6E-409C-BE32-E72D297353CC}">
              <c16:uniqueId val="{00000002-BEF5-4E52-A62D-9DF4D6510020}"/>
            </c:ext>
          </c:extLst>
        </c:ser>
        <c:dLbls>
          <c:showLegendKey val="0"/>
          <c:showVal val="0"/>
          <c:showCatName val="0"/>
          <c:showSerName val="0"/>
          <c:showPercent val="0"/>
          <c:showBubbleSize val="0"/>
        </c:dLbls>
        <c:gapWidth val="219"/>
        <c:overlap val="-27"/>
        <c:axId val="442845112"/>
        <c:axId val="442841976"/>
      </c:barChart>
      <c:catAx>
        <c:axId val="442845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841976"/>
        <c:crosses val="autoZero"/>
        <c:auto val="1"/>
        <c:lblAlgn val="ctr"/>
        <c:lblOffset val="100"/>
        <c:noMultiLvlLbl val="0"/>
      </c:catAx>
      <c:valAx>
        <c:axId val="44284197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845112"/>
        <c:crosses val="autoZero"/>
        <c:crossBetween val="between"/>
      </c:valAx>
      <c:spPr>
        <a:solidFill>
          <a:schemeClr val="bg1">
            <a:lumMod val="95000"/>
          </a:schemeClr>
        </a:solidFill>
        <a:ln>
          <a:noFill/>
        </a:ln>
        <a:effectLst/>
      </c:spPr>
    </c:plotArea>
    <c:legend>
      <c:legendPos val="b"/>
      <c:layout>
        <c:manualLayout>
          <c:xMode val="edge"/>
          <c:yMode val="edge"/>
          <c:x val="0.16001126146291578"/>
          <c:y val="0.183829118015364"/>
          <c:w val="0.64740546227881535"/>
          <c:h val="0.14443496867367814"/>
        </c:manualLayout>
      </c:layout>
      <c:overlay val="0"/>
      <c:spPr>
        <a:solidFill>
          <a:schemeClr val="bg1">
            <a:lumMod val="95000"/>
          </a:schemeClr>
        </a:solidFill>
        <a:ln>
          <a:solidFill>
            <a:srgbClr val="0070C0"/>
          </a:solidFill>
        </a:ln>
        <a:effectLst/>
      </c:spPr>
      <c:txPr>
        <a:bodyPr rot="0" spcFirstLastPara="1" vertOverflow="ellipsis" vert="horz" wrap="square" anchor="ctr" anchorCtr="0"/>
        <a:lstStyle/>
        <a:p>
          <a:pPr>
            <a:defRPr sz="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chemeClr val="bg1">
            <a:lumMod val="85000"/>
          </a:schemeClr>
        </a:gs>
        <a:gs pos="100000">
          <a:schemeClr val="bg1">
            <a:lumMod val="75000"/>
          </a:schemeClr>
        </a:gs>
      </a:gsLst>
      <a:lin ang="5400000" scaled="1"/>
    </a:gra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Annual Needs Showing Inflationary Adjustments</a:t>
            </a:r>
          </a:p>
        </c:rich>
      </c:tx>
      <c:layout>
        <c:manualLayout>
          <c:xMode val="edge"/>
          <c:yMode val="edge"/>
          <c:x val="0.13341805516627958"/>
          <c:y val="6.7476383265856948E-2"/>
        </c:manualLayout>
      </c:layout>
      <c:overlay val="1"/>
    </c:title>
    <c:autoTitleDeleted val="0"/>
    <c:plotArea>
      <c:layout>
        <c:manualLayout>
          <c:layoutTarget val="inner"/>
          <c:xMode val="edge"/>
          <c:yMode val="edge"/>
          <c:x val="0.12752471158496492"/>
          <c:y val="0.26862009595739328"/>
          <c:w val="0.81055650652364108"/>
          <c:h val="0.63399738298018915"/>
        </c:manualLayout>
      </c:layout>
      <c:barChart>
        <c:barDir val="col"/>
        <c:grouping val="stacked"/>
        <c:varyColors val="0"/>
        <c:ser>
          <c:idx val="0"/>
          <c:order val="0"/>
          <c:tx>
            <c:strRef>
              <c:f>'Trial Deposits Engine'!$G$216</c:f>
              <c:strCache>
                <c:ptCount val="1"/>
                <c:pt idx="0">
                  <c:v>Duration Adjusted Uninflated Needs</c:v>
                </c:pt>
              </c:strCache>
            </c:strRef>
          </c:tx>
          <c:invertIfNegative val="0"/>
          <c:cat>
            <c:numRef>
              <c:f>'Trial Deposits Engine'!$H$215:$Q$215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Engine'!$H$216:$Q$216</c:f>
              <c:numCache>
                <c:formatCode>"$"#,##0_);[Red]\("$"#,##0\)</c:formatCode>
                <c:ptCount val="10"/>
                <c:pt idx="0">
                  <c:v>0</c:v>
                </c:pt>
                <c:pt idx="1">
                  <c:v>0</c:v>
                </c:pt>
                <c:pt idx="2">
                  <c:v>-331693.98308342946</c:v>
                </c:pt>
                <c:pt idx="3">
                  <c:v>-271245.99513007817</c:v>
                </c:pt>
                <c:pt idx="4">
                  <c:v>-474945.99569177622</c:v>
                </c:pt>
                <c:pt idx="5">
                  <c:v>-428772.53062269348</c:v>
                </c:pt>
                <c:pt idx="6">
                  <c:v>-378243.95727783878</c:v>
                </c:pt>
                <c:pt idx="7">
                  <c:v>-237917.94195471983</c:v>
                </c:pt>
                <c:pt idx="8">
                  <c:v>-190841.43704693948</c:v>
                </c:pt>
                <c:pt idx="9">
                  <c:v>-299074.7741089479</c:v>
                </c:pt>
              </c:numCache>
            </c:numRef>
          </c:val>
          <c:extLst>
            <c:ext xmlns:c16="http://schemas.microsoft.com/office/drawing/2014/chart" uri="{C3380CC4-5D6E-409C-BE32-E72D297353CC}">
              <c16:uniqueId val="{00000000-CA03-4C18-A846-0BE31801BA01}"/>
            </c:ext>
          </c:extLst>
        </c:ser>
        <c:ser>
          <c:idx val="1"/>
          <c:order val="1"/>
          <c:tx>
            <c:strRef>
              <c:f>'Trial Deposits Engine'!$G$217</c:f>
              <c:strCache>
                <c:ptCount val="1"/>
                <c:pt idx="0">
                  <c:v>Inflation in Needs Amount</c:v>
                </c:pt>
              </c:strCache>
            </c:strRef>
          </c:tx>
          <c:invertIfNegative val="0"/>
          <c:cat>
            <c:numRef>
              <c:f>'Trial Deposits Engine'!$H$215:$Q$215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Engine'!$H$217:$Q$217</c:f>
              <c:numCache>
                <c:formatCode>"$"#,##0_);[Red]\("$"#,##0\)</c:formatCode>
                <c:ptCount val="10"/>
                <c:pt idx="0">
                  <c:v>0</c:v>
                </c:pt>
                <c:pt idx="1">
                  <c:v>0</c:v>
                </c:pt>
                <c:pt idx="2">
                  <c:v>-13400.436916570547</c:v>
                </c:pt>
                <c:pt idx="3">
                  <c:v>-16602.424869921804</c:v>
                </c:pt>
                <c:pt idx="4">
                  <c:v>-39150.824308223797</c:v>
                </c:pt>
                <c:pt idx="5">
                  <c:v>-44626.989377306541</c:v>
                </c:pt>
                <c:pt idx="6">
                  <c:v>-47720.172722161224</c:v>
                </c:pt>
                <c:pt idx="7">
                  <c:v>-35374.988045280174</c:v>
                </c:pt>
                <c:pt idx="8">
                  <c:v>-32759.722953060496</c:v>
                </c:pt>
                <c:pt idx="9">
                  <c:v>-58347.265891052099</c:v>
                </c:pt>
              </c:numCache>
            </c:numRef>
          </c:val>
          <c:extLst>
            <c:ext xmlns:c16="http://schemas.microsoft.com/office/drawing/2014/chart" uri="{C3380CC4-5D6E-409C-BE32-E72D297353CC}">
              <c16:uniqueId val="{00000001-CA03-4C18-A846-0BE31801BA01}"/>
            </c:ext>
          </c:extLst>
        </c:ser>
        <c:dLbls>
          <c:showLegendKey val="0"/>
          <c:showVal val="0"/>
          <c:showCatName val="0"/>
          <c:showSerName val="0"/>
          <c:showPercent val="0"/>
          <c:showBubbleSize val="0"/>
        </c:dLbls>
        <c:gapWidth val="150"/>
        <c:overlap val="100"/>
        <c:axId val="516831072"/>
        <c:axId val="516829896"/>
      </c:barChart>
      <c:catAx>
        <c:axId val="516831072"/>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6829896"/>
        <c:crosses val="autoZero"/>
        <c:auto val="1"/>
        <c:lblAlgn val="ctr"/>
        <c:lblOffset val="100"/>
        <c:noMultiLvlLbl val="0"/>
      </c:catAx>
      <c:valAx>
        <c:axId val="516829896"/>
        <c:scaling>
          <c:orientation val="minMax"/>
        </c:scaling>
        <c:delete val="0"/>
        <c:axPos val="l"/>
        <c:majorGridlines/>
        <c:numFmt formatCode="&quot;$&quot;#,##0_);[Red]\(&quot;$&quot;#,##0\)" sourceLinked="1"/>
        <c:majorTickMark val="out"/>
        <c:minorTickMark val="none"/>
        <c:tickLblPos val="nextTo"/>
        <c:crossAx val="516831072"/>
        <c:crosses val="autoZero"/>
        <c:crossBetween val="between"/>
      </c:valAx>
    </c:plotArea>
    <c:legend>
      <c:legendPos val="r"/>
      <c:layout>
        <c:manualLayout>
          <c:xMode val="edge"/>
          <c:yMode val="edge"/>
          <c:x val="0.18189074191812979"/>
          <c:y val="0.32442811995439397"/>
          <c:w val="0.21993796967990625"/>
          <c:h val="9.7416368408494464E-2"/>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1196342392684828"/>
          <c:y val="6.0606060606060622E-2"/>
        </c:manualLayout>
      </c:layout>
      <c:overlay val="0"/>
    </c:title>
    <c:autoTitleDeleted val="0"/>
    <c:plotArea>
      <c:layout>
        <c:manualLayout>
          <c:layoutTarget val="inner"/>
          <c:xMode val="edge"/>
          <c:yMode val="edge"/>
          <c:x val="0.1343073700640155"/>
          <c:y val="0.27576859795510655"/>
          <c:w val="0.79370549929505663"/>
          <c:h val="0.62726720727073304"/>
        </c:manualLayout>
      </c:layout>
      <c:barChart>
        <c:barDir val="col"/>
        <c:grouping val="stacked"/>
        <c:varyColors val="0"/>
        <c:ser>
          <c:idx val="0"/>
          <c:order val="0"/>
          <c:tx>
            <c:strRef>
              <c:f>'Trial Deposits Engine'!$G$222</c:f>
              <c:strCache>
                <c:ptCount val="1"/>
                <c:pt idx="0">
                  <c:v>Net Annual Change in R4R</c:v>
                </c:pt>
              </c:strCache>
            </c:strRef>
          </c:tx>
          <c:invertIfNegative val="0"/>
          <c:cat>
            <c:numRef>
              <c:f>'Trial Deposits Engine'!$H$221:$Q$221</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Engine'!$H$222:$Q$222</c:f>
              <c:numCache>
                <c:formatCode>"$"#,##0.00_);[Red]\("$"#,##0.00\)</c:formatCode>
                <c:ptCount val="10"/>
                <c:pt idx="0">
                  <c:v>258205.25</c:v>
                </c:pt>
                <c:pt idx="1">
                  <c:v>265858.02250000002</c:v>
                </c:pt>
                <c:pt idx="2">
                  <c:v>-66450.741512499982</c:v>
                </c:pt>
                <c:pt idx="3">
                  <c:v>-4925.9255471875076</c:v>
                </c:pt>
                <c:pt idx="4">
                  <c:v>-225867.12580063532</c:v>
                </c:pt>
                <c:pt idx="5">
                  <c:v>-183069.12228528969</c:v>
                </c:pt>
                <c:pt idx="6">
                  <c:v>-132781.28450916667</c:v>
                </c:pt>
                <c:pt idx="7">
                  <c:v>23608.650525806181</c:v>
                </c:pt>
                <c:pt idx="8">
                  <c:v>79479.213672355865</c:v>
                </c:pt>
                <c:pt idx="9">
                  <c:v>-47208.321466122987</c:v>
                </c:pt>
              </c:numCache>
            </c:numRef>
          </c:val>
          <c:extLst>
            <c:ext xmlns:c16="http://schemas.microsoft.com/office/drawing/2014/chart" uri="{C3380CC4-5D6E-409C-BE32-E72D297353CC}">
              <c16:uniqueId val="{00000000-8D36-4E97-87C2-96353899185A}"/>
            </c:ext>
          </c:extLst>
        </c:ser>
        <c:dLbls>
          <c:showLegendKey val="0"/>
          <c:showVal val="0"/>
          <c:showCatName val="0"/>
          <c:showSerName val="0"/>
          <c:showPercent val="0"/>
          <c:showBubbleSize val="0"/>
        </c:dLbls>
        <c:gapWidth val="150"/>
        <c:overlap val="100"/>
        <c:axId val="442842760"/>
        <c:axId val="442844328"/>
      </c:barChart>
      <c:catAx>
        <c:axId val="442842760"/>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442844328"/>
        <c:crosses val="autoZero"/>
        <c:auto val="1"/>
        <c:lblAlgn val="ctr"/>
        <c:lblOffset val="100"/>
        <c:noMultiLvlLbl val="0"/>
      </c:catAx>
      <c:valAx>
        <c:axId val="442844328"/>
        <c:scaling>
          <c:orientation val="minMax"/>
        </c:scaling>
        <c:delete val="0"/>
        <c:axPos val="l"/>
        <c:majorGridlines/>
        <c:numFmt formatCode="&quot;$&quot;#,##0.00_);[Red]\(&quot;$&quot;#,##0.00\)" sourceLinked="1"/>
        <c:majorTickMark val="out"/>
        <c:minorTickMark val="none"/>
        <c:tickLblPos val="nextTo"/>
        <c:crossAx val="442842760"/>
        <c:crosses val="autoZero"/>
        <c:crossBetween val="between"/>
      </c:valAx>
    </c:plotArea>
    <c:legend>
      <c:legendPos val="r"/>
      <c:layout>
        <c:manualLayout>
          <c:xMode val="edge"/>
          <c:yMode val="edge"/>
          <c:x val="0.53611938760109401"/>
          <c:y val="0.32135033493947629"/>
          <c:w val="0.22334387388104793"/>
          <c:h val="4.98495091955026E-2"/>
        </c:manualLayout>
      </c:layout>
      <c:overlay val="0"/>
      <c:spPr>
        <a:solidFill>
          <a:schemeClr val="accent1">
            <a:lumMod val="20000"/>
            <a:lumOff val="80000"/>
          </a:schemeClr>
        </a:solidFill>
        <a:ln>
          <a:solidFill>
            <a:schemeClr val="tx1"/>
          </a:solidFill>
        </a:ln>
      </c:spPr>
    </c:legend>
    <c:plotVisOnly val="1"/>
    <c:dispBlanksAs val="gap"/>
    <c:showDLblsOverMax val="0"/>
  </c:chart>
  <c:printSettings>
    <c:headerFooter/>
    <c:pageMargins b="0.75000000000000044" l="0.7000000000000004" r="0.7000000000000004" t="0.75000000000000044" header="0.30000000000000021" footer="0.30000000000000021"/>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Sources for funding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2143028945421086"/>
          <c:y val="0.19705063390421468"/>
          <c:w val="0.8249284204515418"/>
          <c:h val="0.70448937581491911"/>
        </c:manualLayout>
      </c:layout>
      <c:areaChart>
        <c:grouping val="stacked"/>
        <c:varyColors val="0"/>
        <c:ser>
          <c:idx val="1"/>
          <c:order val="0"/>
          <c:tx>
            <c:strRef>
              <c:f>'Trial Deposits Engine'!$G$227</c:f>
              <c:strCache>
                <c:ptCount val="1"/>
                <c:pt idx="0">
                  <c:v>Initial Deposit</c:v>
                </c:pt>
              </c:strCache>
            </c:strRef>
          </c:tx>
          <c:val>
            <c:numRef>
              <c:f>'Trial Deposits Engine'!$H$227:$Q$227</c:f>
              <c:numCache>
                <c:formatCode>"$"#,##0</c:formatCode>
                <c:ptCount val="10"/>
                <c:pt idx="0">
                  <c:v>466925</c:v>
                </c:pt>
                <c:pt idx="1">
                  <c:v>466925</c:v>
                </c:pt>
                <c:pt idx="2">
                  <c:v>466925</c:v>
                </c:pt>
                <c:pt idx="3">
                  <c:v>466925</c:v>
                </c:pt>
                <c:pt idx="4">
                  <c:v>466925</c:v>
                </c:pt>
                <c:pt idx="5">
                  <c:v>466925</c:v>
                </c:pt>
                <c:pt idx="6">
                  <c:v>466925</c:v>
                </c:pt>
                <c:pt idx="7">
                  <c:v>466925</c:v>
                </c:pt>
                <c:pt idx="8">
                  <c:v>466925</c:v>
                </c:pt>
                <c:pt idx="9">
                  <c:v>466925</c:v>
                </c:pt>
              </c:numCache>
            </c:numRef>
          </c:val>
          <c:extLst>
            <c:ext xmlns:c16="http://schemas.microsoft.com/office/drawing/2014/chart" uri="{C3380CC4-5D6E-409C-BE32-E72D297353CC}">
              <c16:uniqueId val="{00000000-5C6E-48EB-8AAD-6BF6ED8D93B5}"/>
            </c:ext>
          </c:extLst>
        </c:ser>
        <c:ser>
          <c:idx val="2"/>
          <c:order val="1"/>
          <c:tx>
            <c:strRef>
              <c:f>'Trial Deposits Engine'!$G$228</c:f>
              <c:strCache>
                <c:ptCount val="1"/>
                <c:pt idx="0">
                  <c:v>Interest Income on RfR balance</c:v>
                </c:pt>
              </c:strCache>
            </c:strRef>
          </c:tx>
          <c:val>
            <c:numRef>
              <c:f>'Trial Deposits Engine'!$H$228:$Q$228</c:f>
              <c:numCache>
                <c:formatCode>"$"#,##0</c:formatCode>
                <c:ptCount val="10"/>
                <c:pt idx="0">
                  <c:v>4669.25</c:v>
                </c:pt>
                <c:pt idx="1">
                  <c:v>11920.5525</c:v>
                </c:pt>
                <c:pt idx="2">
                  <c:v>26785.376587499999</c:v>
                </c:pt>
                <c:pt idx="3">
                  <c:v>40653.439552312499</c:v>
                </c:pt>
                <c:pt idx="4">
                  <c:v>54447.613633917186</c:v>
                </c:pt>
                <c:pt idx="5">
                  <c:v>64853.780828512346</c:v>
                </c:pt>
                <c:pt idx="6">
                  <c:v>72513.911188828162</c:v>
                </c:pt>
                <c:pt idx="7">
                  <c:v>78182.322281506466</c:v>
                </c:pt>
                <c:pt idx="8">
                  <c:v>84204.86313207187</c:v>
                </c:pt>
                <c:pt idx="9">
                  <c:v>91419.592187722606</c:v>
                </c:pt>
              </c:numCache>
            </c:numRef>
          </c:val>
          <c:extLst>
            <c:ext xmlns:c16="http://schemas.microsoft.com/office/drawing/2014/chart" uri="{C3380CC4-5D6E-409C-BE32-E72D297353CC}">
              <c16:uniqueId val="{00000001-5C6E-48EB-8AAD-6BF6ED8D93B5}"/>
            </c:ext>
          </c:extLst>
        </c:ser>
        <c:ser>
          <c:idx val="3"/>
          <c:order val="2"/>
          <c:tx>
            <c:strRef>
              <c:f>'Trial Deposits Engine'!$G$229</c:f>
              <c:strCache>
                <c:ptCount val="1"/>
                <c:pt idx="0">
                  <c:v>Base Annual RfR Deposit</c:v>
                </c:pt>
              </c:strCache>
            </c:strRef>
          </c:tx>
          <c:val>
            <c:numRef>
              <c:f>'Trial Deposits Engine'!$H$229:$Q$229</c:f>
              <c:numCache>
                <c:formatCode>"$"#,##0</c:formatCode>
                <c:ptCount val="10"/>
                <c:pt idx="0">
                  <c:v>253536</c:v>
                </c:pt>
                <c:pt idx="1">
                  <c:v>507072</c:v>
                </c:pt>
                <c:pt idx="2">
                  <c:v>760608</c:v>
                </c:pt>
                <c:pt idx="3">
                  <c:v>1014144</c:v>
                </c:pt>
                <c:pt idx="4">
                  <c:v>1267680</c:v>
                </c:pt>
                <c:pt idx="5">
                  <c:v>1521216</c:v>
                </c:pt>
                <c:pt idx="6">
                  <c:v>1774752</c:v>
                </c:pt>
                <c:pt idx="7">
                  <c:v>2028288</c:v>
                </c:pt>
                <c:pt idx="8">
                  <c:v>2281824</c:v>
                </c:pt>
                <c:pt idx="9">
                  <c:v>2535360</c:v>
                </c:pt>
              </c:numCache>
            </c:numRef>
          </c:val>
          <c:extLst>
            <c:ext xmlns:c16="http://schemas.microsoft.com/office/drawing/2014/chart" uri="{C3380CC4-5D6E-409C-BE32-E72D297353CC}">
              <c16:uniqueId val="{00000002-5C6E-48EB-8AAD-6BF6ED8D93B5}"/>
            </c:ext>
          </c:extLst>
        </c:ser>
        <c:ser>
          <c:idx val="4"/>
          <c:order val="3"/>
          <c:tx>
            <c:strRef>
              <c:f>'Trial Deposits Engine'!$G$230</c:f>
              <c:strCache>
                <c:ptCount val="1"/>
                <c:pt idx="0">
                  <c:v>Inflationary Increase in Annual Deposit</c:v>
                </c:pt>
              </c:strCache>
            </c:strRef>
          </c:tx>
          <c:val>
            <c:numRef>
              <c:f>'Trial Deposits Engine'!$H$230:$Q$230</c:f>
              <c:numCache>
                <c:formatCode>"$"#,##0</c:formatCode>
                <c:ptCount val="10"/>
                <c:pt idx="0">
                  <c:v>0</c:v>
                </c:pt>
                <c:pt idx="1">
                  <c:v>5070.7200000000048</c:v>
                </c:pt>
                <c:pt idx="2">
                  <c:v>15313.574400000003</c:v>
                </c:pt>
                <c:pt idx="3">
                  <c:v>30832.005887999985</c:v>
                </c:pt>
                <c:pt idx="4">
                  <c:v>51731.526005759981</c:v>
                </c:pt>
                <c:pt idx="5">
                  <c:v>78119.756525875186</c:v>
                </c:pt>
                <c:pt idx="6">
                  <c:v>110106.47165639271</c:v>
                </c:pt>
                <c:pt idx="7">
                  <c:v>147803.64108952056</c:v>
                </c:pt>
                <c:pt idx="8">
                  <c:v>191325.47391131101</c:v>
                </c:pt>
                <c:pt idx="9">
                  <c:v>240788.46338953727</c:v>
                </c:pt>
              </c:numCache>
            </c:numRef>
          </c:val>
          <c:extLst>
            <c:ext xmlns:c16="http://schemas.microsoft.com/office/drawing/2014/chart" uri="{C3380CC4-5D6E-409C-BE32-E72D297353CC}">
              <c16:uniqueId val="{00000003-5C6E-48EB-8AAD-6BF6ED8D93B5}"/>
            </c:ext>
          </c:extLst>
        </c:ser>
        <c:dLbls>
          <c:showLegendKey val="0"/>
          <c:showVal val="0"/>
          <c:showCatName val="0"/>
          <c:showSerName val="0"/>
          <c:showPercent val="0"/>
          <c:showBubbleSize val="0"/>
        </c:dLbls>
        <c:axId val="519892648"/>
        <c:axId val="519892256"/>
      </c:areaChart>
      <c:lineChart>
        <c:grouping val="standard"/>
        <c:varyColors val="0"/>
        <c:ser>
          <c:idx val="0"/>
          <c:order val="4"/>
          <c:tx>
            <c:strRef>
              <c:f>'Trial Deposits Engine'!$G$231</c:f>
              <c:strCache>
                <c:ptCount val="1"/>
                <c:pt idx="0">
                  <c:v>Accumulated Sources</c:v>
                </c:pt>
              </c:strCache>
            </c:strRef>
          </c:tx>
          <c:spPr>
            <a:ln>
              <a:solidFill>
                <a:srgbClr val="C00000"/>
              </a:solidFill>
            </a:ln>
          </c:spPr>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'Trial Deposits Engine'!$H$231:$Q$231</c:f>
              <c:numCache>
                <c:formatCode>"$"#,##0</c:formatCode>
                <c:ptCount val="10"/>
                <c:pt idx="0">
                  <c:v>725130.25</c:v>
                </c:pt>
                <c:pt idx="1">
                  <c:v>990988.27249999996</c:v>
                </c:pt>
                <c:pt idx="2">
                  <c:v>1269631.9509874999</c:v>
                </c:pt>
                <c:pt idx="3">
                  <c:v>1552554.4454403124</c:v>
                </c:pt>
                <c:pt idx="4">
                  <c:v>1840784.1396396772</c:v>
                </c:pt>
                <c:pt idx="5">
                  <c:v>2131114.5373543873</c:v>
                </c:pt>
                <c:pt idx="6">
                  <c:v>2424297.3828452211</c:v>
                </c:pt>
                <c:pt idx="7">
                  <c:v>2721198.9633710268</c:v>
                </c:pt>
                <c:pt idx="8">
                  <c:v>3024279.3370433827</c:v>
                </c:pt>
                <c:pt idx="9">
                  <c:v>3334493.05557726</c:v>
                </c:pt>
              </c:numCache>
            </c:numRef>
          </c:val>
          <c:smooth val="0"/>
          <c:extLst>
            <c:ext xmlns:c16="http://schemas.microsoft.com/office/drawing/2014/chart" uri="{C3380CC4-5D6E-409C-BE32-E72D297353CC}">
              <c16:uniqueId val="{00000004-5C6E-48EB-8AAD-6BF6ED8D93B5}"/>
            </c:ext>
          </c:extLst>
        </c:ser>
        <c:dLbls>
          <c:showLegendKey val="0"/>
          <c:showVal val="0"/>
          <c:showCatName val="0"/>
          <c:showSerName val="0"/>
          <c:showPercent val="0"/>
          <c:showBubbleSize val="0"/>
        </c:dLbls>
        <c:marker val="1"/>
        <c:smooth val="0"/>
        <c:axId val="519892648"/>
        <c:axId val="519892256"/>
      </c:lineChart>
      <c:catAx>
        <c:axId val="519892648"/>
        <c:scaling>
          <c:orientation val="minMax"/>
        </c:scaling>
        <c:delete val="0"/>
        <c:axPos val="b"/>
        <c:title>
          <c:tx>
            <c:rich>
              <a:bodyPr/>
              <a:lstStyle/>
              <a:p>
                <a:pPr>
                  <a:defRPr/>
                </a:pPr>
                <a:r>
                  <a:rPr lang="en-US"/>
                  <a:t>Relative Year</a:t>
                </a:r>
              </a:p>
            </c:rich>
          </c:tx>
          <c:overlay val="0"/>
        </c:title>
        <c:majorTickMark val="out"/>
        <c:minorTickMark val="none"/>
        <c:tickLblPos val="nextTo"/>
        <c:crossAx val="519892256"/>
        <c:crosses val="autoZero"/>
        <c:auto val="1"/>
        <c:lblAlgn val="ctr"/>
        <c:lblOffset val="100"/>
        <c:tickLblSkip val="1"/>
        <c:noMultiLvlLbl val="0"/>
      </c:catAx>
      <c:valAx>
        <c:axId val="519892256"/>
        <c:scaling>
          <c:orientation val="minMax"/>
        </c:scaling>
        <c:delete val="0"/>
        <c:axPos val="l"/>
        <c:majorGridlines/>
        <c:numFmt formatCode="&quot;$&quot;#,##0" sourceLinked="1"/>
        <c:majorTickMark val="out"/>
        <c:minorTickMark val="none"/>
        <c:tickLblPos val="nextTo"/>
        <c:crossAx val="519892648"/>
        <c:crosses val="autoZero"/>
        <c:crossBetween val="between"/>
      </c:valAx>
    </c:plotArea>
    <c:legend>
      <c:legendPos val="r"/>
      <c:layout>
        <c:manualLayout>
          <c:xMode val="edge"/>
          <c:yMode val="edge"/>
          <c:x val="0.14421465273330988"/>
          <c:y val="0.18514192987274006"/>
          <c:w val="0.35117063117889352"/>
          <c:h val="0.2414281270433784"/>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Needs withdrawn</a:t>
            </a:r>
            <a:r>
              <a:rPr lang="en-US" baseline="0"/>
              <a:t> from</a:t>
            </a:r>
            <a:r>
              <a:rPr lang="en-US"/>
              <a:t>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3527792014163911"/>
          <c:y val="0.20230971128608918"/>
          <c:w val="0.78787398347201998"/>
          <c:h val="0.69465612696850432"/>
        </c:manualLayout>
      </c:layout>
      <c:areaChart>
        <c:grouping val="stacked"/>
        <c:varyColors val="0"/>
        <c:ser>
          <c:idx val="1"/>
          <c:order val="0"/>
          <c:tx>
            <c:strRef>
              <c:f>'Trial Deposits Engine'!$G$235</c:f>
              <c:strCache>
                <c:ptCount val="1"/>
                <c:pt idx="0">
                  <c:v>Duration Adjusted Uninflated Needs</c:v>
                </c:pt>
              </c:strCache>
            </c:strRef>
          </c:tx>
          <c:val>
            <c:numRef>
              <c:f>'Trial Deposits Engine'!$H$235:$Q$235</c:f>
              <c:numCache>
                <c:formatCode>"$"#,##0_);[Red]\("$"#,##0\)</c:formatCode>
                <c:ptCount val="10"/>
                <c:pt idx="0">
                  <c:v>0</c:v>
                </c:pt>
                <c:pt idx="1">
                  <c:v>0</c:v>
                </c:pt>
                <c:pt idx="2">
                  <c:v>-331693.98308342946</c:v>
                </c:pt>
                <c:pt idx="3">
                  <c:v>-602939.97821350768</c:v>
                </c:pt>
                <c:pt idx="4">
                  <c:v>-1077885.973905284</c:v>
                </c:pt>
                <c:pt idx="5">
                  <c:v>-1506658.5045279774</c:v>
                </c:pt>
                <c:pt idx="6">
                  <c:v>-1884902.4618058163</c:v>
                </c:pt>
                <c:pt idx="7">
                  <c:v>-2122820.4037605361</c:v>
                </c:pt>
                <c:pt idx="8">
                  <c:v>-2313661.8408074756</c:v>
                </c:pt>
                <c:pt idx="9">
                  <c:v>-2612736.6149164233</c:v>
                </c:pt>
              </c:numCache>
            </c:numRef>
          </c:val>
          <c:extLst>
            <c:ext xmlns:c16="http://schemas.microsoft.com/office/drawing/2014/chart" uri="{C3380CC4-5D6E-409C-BE32-E72D297353CC}">
              <c16:uniqueId val="{00000000-15C3-4201-AD60-844F85AD6C46}"/>
            </c:ext>
          </c:extLst>
        </c:ser>
        <c:ser>
          <c:idx val="2"/>
          <c:order val="1"/>
          <c:tx>
            <c:strRef>
              <c:f>'Trial Deposits Engine'!$G$236</c:f>
              <c:strCache>
                <c:ptCount val="1"/>
                <c:pt idx="0">
                  <c:v>Inflation in Needs Amount</c:v>
                </c:pt>
              </c:strCache>
            </c:strRef>
          </c:tx>
          <c:val>
            <c:numRef>
              <c:f>'Trial Deposits Engine'!$H$236:$Q$236</c:f>
              <c:numCache>
                <c:formatCode>"$"#,##0_);[Red]\("$"#,##0\)</c:formatCode>
                <c:ptCount val="10"/>
                <c:pt idx="0">
                  <c:v>0</c:v>
                </c:pt>
                <c:pt idx="1">
                  <c:v>0</c:v>
                </c:pt>
                <c:pt idx="2">
                  <c:v>-13400.436916570547</c:v>
                </c:pt>
                <c:pt idx="3">
                  <c:v>-30002.861786492351</c:v>
                </c:pt>
                <c:pt idx="4">
                  <c:v>-69153.686094716148</c:v>
                </c:pt>
                <c:pt idx="5">
                  <c:v>-113780.67547202269</c:v>
                </c:pt>
                <c:pt idx="6">
                  <c:v>-161500.8481941839</c:v>
                </c:pt>
                <c:pt idx="7">
                  <c:v>-196875.83623946406</c:v>
                </c:pt>
                <c:pt idx="8">
                  <c:v>-229635.55919252455</c:v>
                </c:pt>
                <c:pt idx="9">
                  <c:v>-287982.82508357667</c:v>
                </c:pt>
              </c:numCache>
            </c:numRef>
          </c:val>
          <c:extLst>
            <c:ext xmlns:c16="http://schemas.microsoft.com/office/drawing/2014/chart" uri="{C3380CC4-5D6E-409C-BE32-E72D297353CC}">
              <c16:uniqueId val="{00000001-15C3-4201-AD60-844F85AD6C46}"/>
            </c:ext>
          </c:extLst>
        </c:ser>
        <c:dLbls>
          <c:showLegendKey val="0"/>
          <c:showVal val="0"/>
          <c:showCatName val="0"/>
          <c:showSerName val="0"/>
          <c:showPercent val="0"/>
          <c:showBubbleSize val="0"/>
        </c:dLbls>
        <c:axId val="519889512"/>
        <c:axId val="519884808"/>
      </c:areaChart>
      <c:lineChart>
        <c:grouping val="stacked"/>
        <c:varyColors val="0"/>
        <c:ser>
          <c:idx val="0"/>
          <c:order val="2"/>
          <c:tx>
            <c:strRef>
              <c:f>'Trial Deposits Engine'!$G$237</c:f>
              <c:strCache>
                <c:ptCount val="1"/>
                <c:pt idx="0">
                  <c:v>Accumulated Uses</c:v>
                </c:pt>
              </c:strCache>
            </c:strRef>
          </c:tx>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'Trial Deposits Engine'!$H$237:$Q$237</c:f>
              <c:numCache>
                <c:formatCode>"$"#,##0</c:formatCode>
                <c:ptCount val="10"/>
                <c:pt idx="0">
                  <c:v>0</c:v>
                </c:pt>
                <c:pt idx="1">
                  <c:v>0</c:v>
                </c:pt>
                <c:pt idx="2">
                  <c:v>-345094.42</c:v>
                </c:pt>
                <c:pt idx="3">
                  <c:v>-632942.84000000008</c:v>
                </c:pt>
                <c:pt idx="4">
                  <c:v>-1147039.6600000001</c:v>
                </c:pt>
                <c:pt idx="5">
                  <c:v>-1620439.1800000002</c:v>
                </c:pt>
                <c:pt idx="6">
                  <c:v>-2046403.31</c:v>
                </c:pt>
                <c:pt idx="7">
                  <c:v>-2319696.2400000002</c:v>
                </c:pt>
                <c:pt idx="8">
                  <c:v>-2543297.4000000004</c:v>
                </c:pt>
                <c:pt idx="9">
                  <c:v>-2900719.44</c:v>
                </c:pt>
              </c:numCache>
            </c:numRef>
          </c:val>
          <c:smooth val="0"/>
          <c:extLst>
            <c:ext xmlns:c16="http://schemas.microsoft.com/office/drawing/2014/chart" uri="{C3380CC4-5D6E-409C-BE32-E72D297353CC}">
              <c16:uniqueId val="{00000002-15C3-4201-AD60-844F85AD6C46}"/>
            </c:ext>
          </c:extLst>
        </c:ser>
        <c:ser>
          <c:idx val="3"/>
          <c:order val="3"/>
          <c:tx>
            <c:strRef>
              <c:f>'Trial Deposits Engine'!$G$238</c:f>
              <c:strCache>
                <c:ptCount val="1"/>
                <c:pt idx="0">
                  <c:v>Note: Gap between highest cumulative R4R Sources and Needs to equalize graphs scales</c:v>
                </c:pt>
              </c:strCache>
            </c:strRef>
          </c:tx>
          <c:spPr>
            <a:ln>
              <a:noFill/>
            </a:ln>
          </c:spPr>
          <c:marker>
            <c:symbol val="none"/>
          </c:marker>
          <c:dPt>
            <c:idx val="9"/>
            <c:marker>
              <c:symbol val="auto"/>
              <c:spPr>
                <a:solidFill>
                  <a:schemeClr val="accent3">
                    <a:lumMod val="40000"/>
                    <a:lumOff val="60000"/>
                  </a:schemeClr>
                </a:solidFill>
              </c:spPr>
            </c:marker>
            <c:bubble3D val="0"/>
            <c:extLst>
              <c:ext xmlns:c16="http://schemas.microsoft.com/office/drawing/2014/chart" uri="{C3380CC4-5D6E-409C-BE32-E72D297353CC}">
                <c16:uniqueId val="{00000003-15C3-4201-AD60-844F85AD6C46}"/>
              </c:ext>
            </c:extLst>
          </c:dPt>
          <c:dLbls>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5C3-4201-AD60-844F85AD6C4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val>
            <c:numRef>
              <c:f>'Trial Deposits Engine'!$H$238:$Q$238</c:f>
              <c:numCache>
                <c:formatCode>General</c:formatCode>
                <c:ptCount val="10"/>
                <c:pt idx="9" formatCode="&quot;$&quot;#,##0">
                  <c:v>3334493.05557726</c:v>
                </c:pt>
              </c:numCache>
            </c:numRef>
          </c:val>
          <c:smooth val="0"/>
          <c:extLst>
            <c:ext xmlns:c16="http://schemas.microsoft.com/office/drawing/2014/chart" uri="{C3380CC4-5D6E-409C-BE32-E72D297353CC}">
              <c16:uniqueId val="{00000004-15C3-4201-AD60-844F85AD6C46}"/>
            </c:ext>
          </c:extLst>
        </c:ser>
        <c:dLbls>
          <c:showLegendKey val="0"/>
          <c:showVal val="0"/>
          <c:showCatName val="0"/>
          <c:showSerName val="0"/>
          <c:showPercent val="0"/>
          <c:showBubbleSize val="0"/>
        </c:dLbls>
        <c:marker val="1"/>
        <c:smooth val="0"/>
        <c:axId val="519889512"/>
        <c:axId val="519884808"/>
      </c:lineChart>
      <c:catAx>
        <c:axId val="519889512"/>
        <c:scaling>
          <c:orientation val="minMax"/>
        </c:scaling>
        <c:delete val="0"/>
        <c:axPos val="b"/>
        <c:title>
          <c:tx>
            <c:rich>
              <a:bodyPr/>
              <a:lstStyle/>
              <a:p>
                <a:pPr>
                  <a:defRPr/>
                </a:pPr>
                <a:r>
                  <a:rPr lang="en-US"/>
                  <a:t>Relative Year</a:t>
                </a:r>
              </a:p>
            </c:rich>
          </c:tx>
          <c:overlay val="0"/>
        </c:title>
        <c:majorTickMark val="out"/>
        <c:minorTickMark val="none"/>
        <c:tickLblPos val="nextTo"/>
        <c:crossAx val="519884808"/>
        <c:crosses val="autoZero"/>
        <c:auto val="1"/>
        <c:lblAlgn val="ctr"/>
        <c:lblOffset val="100"/>
        <c:tickLblSkip val="1"/>
        <c:noMultiLvlLbl val="0"/>
      </c:catAx>
      <c:valAx>
        <c:axId val="519884808"/>
        <c:scaling>
          <c:orientation val="minMax"/>
        </c:scaling>
        <c:delete val="0"/>
        <c:axPos val="l"/>
        <c:majorGridlines/>
        <c:numFmt formatCode="&quot;$&quot;#,##0_);[Red]\(&quot;$&quot;#,##0\)" sourceLinked="1"/>
        <c:majorTickMark val="out"/>
        <c:minorTickMark val="none"/>
        <c:tickLblPos val="nextTo"/>
        <c:crossAx val="519889512"/>
        <c:crosses val="autoZero"/>
        <c:crossBetween val="between"/>
      </c:valAx>
    </c:plotArea>
    <c:legend>
      <c:legendPos val="r"/>
      <c:layout>
        <c:manualLayout>
          <c:xMode val="edge"/>
          <c:yMode val="edge"/>
          <c:x val="0.15071233606639101"/>
          <c:y val="0.23441108923884521"/>
          <c:w val="0.43577913740030239"/>
          <c:h val="0.30467437664042024"/>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Sources Funding</a:t>
            </a:r>
            <a:r>
              <a:rPr lang="en-US" baseline="0"/>
              <a:t> the Reserve for Replacements and Cumulative</a:t>
            </a:r>
            <a:r>
              <a:rPr lang="en-US"/>
              <a:t> Needs withdrawn</a:t>
            </a:r>
            <a:r>
              <a:rPr lang="en-US" baseline="0"/>
              <a:t> from</a:t>
            </a:r>
            <a:r>
              <a:rPr lang="en-US"/>
              <a:t>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2732030397026819"/>
          <c:y val="0.18143082991819004"/>
          <c:w val="0.80872345502266751"/>
          <c:h val="0.6972389270054693"/>
        </c:manualLayout>
      </c:layout>
      <c:lineChart>
        <c:grouping val="standard"/>
        <c:varyColors val="0"/>
        <c:ser>
          <c:idx val="1"/>
          <c:order val="0"/>
          <c:tx>
            <c:strRef>
              <c:f>'Trial Deposits Engine'!$G$231</c:f>
              <c:strCache>
                <c:ptCount val="1"/>
                <c:pt idx="0">
                  <c:v>Accumulated Sources</c:v>
                </c:pt>
              </c:strCache>
            </c:strRef>
          </c:tx>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'Trial Deposits Engine'!$H$240:$Q$240</c:f>
              <c:numCache>
                <c:formatCode>"$"#,##0</c:formatCode>
                <c:ptCount val="10"/>
                <c:pt idx="0">
                  <c:v>725130.25</c:v>
                </c:pt>
                <c:pt idx="1">
                  <c:v>990988.27249999996</c:v>
                </c:pt>
                <c:pt idx="2">
                  <c:v>924537.53098749998</c:v>
                </c:pt>
                <c:pt idx="3">
                  <c:v>919611.6054403123</c:v>
                </c:pt>
                <c:pt idx="4">
                  <c:v>693744.4796396771</c:v>
                </c:pt>
                <c:pt idx="5">
                  <c:v>510675.35735438718</c:v>
                </c:pt>
                <c:pt idx="6">
                  <c:v>377894.07284522103</c:v>
                </c:pt>
                <c:pt idx="7">
                  <c:v>401502.72337102657</c:v>
                </c:pt>
                <c:pt idx="8">
                  <c:v>480981.93704338232</c:v>
                </c:pt>
                <c:pt idx="9">
                  <c:v>433773.61557726003</c:v>
                </c:pt>
              </c:numCache>
            </c:numRef>
          </c:cat>
          <c:val>
            <c:numRef>
              <c:f>'Trial Deposits Engine'!$H$231:$Q$231</c:f>
              <c:numCache>
                <c:formatCode>"$"#,##0</c:formatCode>
                <c:ptCount val="10"/>
                <c:pt idx="0">
                  <c:v>725130.25</c:v>
                </c:pt>
                <c:pt idx="1">
                  <c:v>990988.27249999996</c:v>
                </c:pt>
                <c:pt idx="2">
                  <c:v>1269631.9509874999</c:v>
                </c:pt>
                <c:pt idx="3">
                  <c:v>1552554.4454403124</c:v>
                </c:pt>
                <c:pt idx="4">
                  <c:v>1840784.1396396772</c:v>
                </c:pt>
                <c:pt idx="5">
                  <c:v>2131114.5373543873</c:v>
                </c:pt>
                <c:pt idx="6">
                  <c:v>2424297.3828452211</c:v>
                </c:pt>
                <c:pt idx="7">
                  <c:v>2721198.9633710268</c:v>
                </c:pt>
                <c:pt idx="8">
                  <c:v>3024279.3370433827</c:v>
                </c:pt>
                <c:pt idx="9">
                  <c:v>3334493.05557726</c:v>
                </c:pt>
              </c:numCache>
            </c:numRef>
          </c:val>
          <c:smooth val="0"/>
          <c:extLst>
            <c:ext xmlns:c16="http://schemas.microsoft.com/office/drawing/2014/chart" uri="{C3380CC4-5D6E-409C-BE32-E72D297353CC}">
              <c16:uniqueId val="{00000000-DE30-4367-9273-46895898FC94}"/>
            </c:ext>
          </c:extLst>
        </c:ser>
        <c:ser>
          <c:idx val="2"/>
          <c:order val="1"/>
          <c:tx>
            <c:strRef>
              <c:f>'Trial Deposits Engine'!$G$240</c:f>
              <c:strCache>
                <c:ptCount val="1"/>
                <c:pt idx="0">
                  <c:v>Accumulated Gap</c:v>
                </c:pt>
              </c:strCache>
            </c:strRef>
          </c:tx>
          <c:marker>
            <c:symbol val="none"/>
          </c:marker>
          <c:dLbls>
            <c:spPr>
              <a:solidFill>
                <a:schemeClr val="accent3">
                  <a:lumMod val="40000"/>
                  <a:lumOff val="60000"/>
                </a:schemeClr>
              </a:solidFill>
              <a:ln>
                <a:solidFill>
                  <a:schemeClr val="tx1"/>
                </a:solidFill>
              </a:ln>
            </c:spPr>
            <c:txPr>
              <a:bodyPr/>
              <a:lstStyle/>
              <a:p>
                <a:pPr>
                  <a:defRPr sz="800"/>
                </a:pPr>
                <a:endParaRPr lang="en-US"/>
              </a:p>
            </c:txPr>
            <c:dLblPos val="ctr"/>
            <c:showLegendKey val="0"/>
            <c:showVal val="0"/>
            <c:showCatName val="1"/>
            <c:showSerName val="1"/>
            <c:showPercent val="0"/>
            <c:showBubbleSize val="0"/>
            <c:separator>
</c:separator>
            <c:showLeaderLines val="0"/>
            <c:extLst>
              <c:ext xmlns:c15="http://schemas.microsoft.com/office/drawing/2012/chart" uri="{CE6537A1-D6FC-4f65-9D91-7224C49458BB}">
                <c15:showLeaderLines val="0"/>
              </c:ext>
            </c:extLst>
          </c:dLbls>
          <c:cat>
            <c:numRef>
              <c:f>'Trial Deposits Engine'!$H$240:$Q$240</c:f>
              <c:numCache>
                <c:formatCode>"$"#,##0</c:formatCode>
                <c:ptCount val="10"/>
                <c:pt idx="0">
                  <c:v>725130.25</c:v>
                </c:pt>
                <c:pt idx="1">
                  <c:v>990988.27249999996</c:v>
                </c:pt>
                <c:pt idx="2">
                  <c:v>924537.53098749998</c:v>
                </c:pt>
                <c:pt idx="3">
                  <c:v>919611.6054403123</c:v>
                </c:pt>
                <c:pt idx="4">
                  <c:v>693744.4796396771</c:v>
                </c:pt>
                <c:pt idx="5">
                  <c:v>510675.35735438718</c:v>
                </c:pt>
                <c:pt idx="6">
                  <c:v>377894.07284522103</c:v>
                </c:pt>
                <c:pt idx="7">
                  <c:v>401502.72337102657</c:v>
                </c:pt>
                <c:pt idx="8">
                  <c:v>480981.93704338232</c:v>
                </c:pt>
                <c:pt idx="9">
                  <c:v>433773.61557726003</c:v>
                </c:pt>
              </c:numCache>
            </c:numRef>
          </c:cat>
          <c:val>
            <c:numRef>
              <c:f>'Trial Deposits Engine'!$H$241:$Q$241</c:f>
              <c:numCache>
                <c:formatCode>"$"#,##0</c:formatCode>
                <c:ptCount val="10"/>
                <c:pt idx="0" formatCode="General">
                  <c:v>362565.125</c:v>
                </c:pt>
                <c:pt idx="1">
                  <c:v>495494.13624999998</c:v>
                </c:pt>
                <c:pt idx="2">
                  <c:v>462268.76549374999</c:v>
                </c:pt>
                <c:pt idx="3">
                  <c:v>459805.80272015615</c:v>
                </c:pt>
                <c:pt idx="4">
                  <c:v>346872.23981983855</c:v>
                </c:pt>
                <c:pt idx="5">
                  <c:v>255337.67867719359</c:v>
                </c:pt>
                <c:pt idx="6">
                  <c:v>188947.03642261052</c:v>
                </c:pt>
                <c:pt idx="7">
                  <c:v>200751.36168551329</c:v>
                </c:pt>
                <c:pt idx="8">
                  <c:v>240490.96852169116</c:v>
                </c:pt>
                <c:pt idx="9">
                  <c:v>216886.80778863002</c:v>
                </c:pt>
              </c:numCache>
            </c:numRef>
          </c:val>
          <c:smooth val="0"/>
          <c:extLst>
            <c:ext xmlns:c16="http://schemas.microsoft.com/office/drawing/2014/chart" uri="{C3380CC4-5D6E-409C-BE32-E72D297353CC}">
              <c16:uniqueId val="{00000001-DE30-4367-9273-46895898FC94}"/>
            </c:ext>
          </c:extLst>
        </c:ser>
        <c:ser>
          <c:idx val="0"/>
          <c:order val="2"/>
          <c:tx>
            <c:strRef>
              <c:f>'Trial Deposits Engine'!$G$237</c:f>
              <c:strCache>
                <c:ptCount val="1"/>
                <c:pt idx="0">
                  <c:v>Accumulated Uses</c:v>
                </c:pt>
              </c:strCache>
            </c:strRef>
          </c:tx>
          <c:marker>
            <c:symbol val="none"/>
          </c:marker>
          <c:dLbls>
            <c:spPr>
              <a:solidFill>
                <a:schemeClr val="accent6">
                  <a:lumMod val="40000"/>
                  <a:lumOff val="60000"/>
                </a:schemeClr>
              </a:solidFill>
              <a:ln>
                <a:solidFill>
                  <a:schemeClr val="tx1"/>
                </a:solidFill>
              </a:ln>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'Trial Deposits Engine'!$H$240:$Q$240</c:f>
              <c:numCache>
                <c:formatCode>"$"#,##0</c:formatCode>
                <c:ptCount val="10"/>
                <c:pt idx="0">
                  <c:v>725130.25</c:v>
                </c:pt>
                <c:pt idx="1">
                  <c:v>990988.27249999996</c:v>
                </c:pt>
                <c:pt idx="2">
                  <c:v>924537.53098749998</c:v>
                </c:pt>
                <c:pt idx="3">
                  <c:v>919611.6054403123</c:v>
                </c:pt>
                <c:pt idx="4">
                  <c:v>693744.4796396771</c:v>
                </c:pt>
                <c:pt idx="5">
                  <c:v>510675.35735438718</c:v>
                </c:pt>
                <c:pt idx="6">
                  <c:v>377894.07284522103</c:v>
                </c:pt>
                <c:pt idx="7">
                  <c:v>401502.72337102657</c:v>
                </c:pt>
                <c:pt idx="8">
                  <c:v>480981.93704338232</c:v>
                </c:pt>
                <c:pt idx="9">
                  <c:v>433773.61557726003</c:v>
                </c:pt>
              </c:numCache>
            </c:numRef>
          </c:cat>
          <c:val>
            <c:numRef>
              <c:f>'Trial Deposits Engine'!$H$237:$Q$237</c:f>
              <c:numCache>
                <c:formatCode>"$"#,##0</c:formatCode>
                <c:ptCount val="10"/>
                <c:pt idx="0">
                  <c:v>0</c:v>
                </c:pt>
                <c:pt idx="1">
                  <c:v>0</c:v>
                </c:pt>
                <c:pt idx="2">
                  <c:v>-345094.42</c:v>
                </c:pt>
                <c:pt idx="3">
                  <c:v>-632942.84000000008</c:v>
                </c:pt>
                <c:pt idx="4">
                  <c:v>-1147039.6600000001</c:v>
                </c:pt>
                <c:pt idx="5">
                  <c:v>-1620439.1800000002</c:v>
                </c:pt>
                <c:pt idx="6">
                  <c:v>-2046403.31</c:v>
                </c:pt>
                <c:pt idx="7">
                  <c:v>-2319696.2400000002</c:v>
                </c:pt>
                <c:pt idx="8">
                  <c:v>-2543297.4000000004</c:v>
                </c:pt>
                <c:pt idx="9">
                  <c:v>-2900719.44</c:v>
                </c:pt>
              </c:numCache>
            </c:numRef>
          </c:val>
          <c:smooth val="0"/>
          <c:extLst>
            <c:ext xmlns:c16="http://schemas.microsoft.com/office/drawing/2014/chart" uri="{C3380CC4-5D6E-409C-BE32-E72D297353CC}">
              <c16:uniqueId val="{00000002-DE30-4367-9273-46895898FC94}"/>
            </c:ext>
          </c:extLst>
        </c:ser>
        <c:dLbls>
          <c:showLegendKey val="0"/>
          <c:showVal val="0"/>
          <c:showCatName val="0"/>
          <c:showSerName val="0"/>
          <c:showPercent val="0"/>
          <c:showBubbleSize val="0"/>
        </c:dLbls>
        <c:smooth val="0"/>
        <c:axId val="519885200"/>
        <c:axId val="519891864"/>
      </c:lineChart>
      <c:catAx>
        <c:axId val="519885200"/>
        <c:scaling>
          <c:orientation val="minMax"/>
        </c:scaling>
        <c:delete val="0"/>
        <c:axPos val="b"/>
        <c:majorGridlines/>
        <c:title>
          <c:tx>
            <c:rich>
              <a:bodyPr/>
              <a:lstStyle/>
              <a:p>
                <a:pPr>
                  <a:defRPr/>
                </a:pPr>
                <a:r>
                  <a:rPr lang="en-US"/>
                  <a:t>Relative Year</a:t>
                </a:r>
              </a:p>
            </c:rich>
          </c:tx>
          <c:overlay val="0"/>
        </c:title>
        <c:numFmt formatCode="&quot;$&quot;#,##0" sourceLinked="1"/>
        <c:majorTickMark val="cross"/>
        <c:minorTickMark val="none"/>
        <c:tickLblPos val="none"/>
        <c:crossAx val="519891864"/>
        <c:crosses val="autoZero"/>
        <c:auto val="1"/>
        <c:lblAlgn val="ctr"/>
        <c:lblOffset val="100"/>
        <c:tickLblSkip val="1"/>
        <c:noMultiLvlLbl val="0"/>
      </c:catAx>
      <c:valAx>
        <c:axId val="519891864"/>
        <c:scaling>
          <c:orientation val="minMax"/>
        </c:scaling>
        <c:delete val="0"/>
        <c:axPos val="l"/>
        <c:majorGridlines/>
        <c:numFmt formatCode="&quot;$&quot;#,##0" sourceLinked="1"/>
        <c:majorTickMark val="out"/>
        <c:minorTickMark val="none"/>
        <c:tickLblPos val="nextTo"/>
        <c:crossAx val="519885200"/>
        <c:crosses val="autoZero"/>
        <c:crossBetween val="between"/>
      </c:valAx>
    </c:plotArea>
    <c:legend>
      <c:legendPos val="r"/>
      <c:layout>
        <c:manualLayout>
          <c:xMode val="edge"/>
          <c:yMode val="edge"/>
          <c:x val="0.18448306242421464"/>
          <c:y val="0.34639024324360851"/>
          <c:w val="0.20768763037747232"/>
          <c:h val="0.14044981270545079"/>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Reserve Balances</a:t>
            </a:r>
            <a:r>
              <a:rPr lang="en-US" baseline="0"/>
              <a:t> and the 10-year average inflated minimum requirement</a:t>
            </a:r>
            <a:endParaRPr lang="en-US"/>
          </a:p>
        </c:rich>
      </c:tx>
      <c:layout>
        <c:manualLayout>
          <c:xMode val="edge"/>
          <c:yMode val="edge"/>
          <c:x val="0.13341805516627958"/>
          <c:y val="6.7476383265856948E-2"/>
        </c:manualLayout>
      </c:layout>
      <c:overlay val="1"/>
    </c:title>
    <c:autoTitleDeleted val="0"/>
    <c:plotArea>
      <c:layout>
        <c:manualLayout>
          <c:layoutTarget val="inner"/>
          <c:xMode val="edge"/>
          <c:yMode val="edge"/>
          <c:x val="0.12752471158496492"/>
          <c:y val="0.26862009595739328"/>
          <c:w val="0.81055650652364108"/>
          <c:h val="0.63399738298018915"/>
        </c:manualLayout>
      </c:layout>
      <c:lineChart>
        <c:grouping val="standard"/>
        <c:varyColors val="0"/>
        <c:ser>
          <c:idx val="0"/>
          <c:order val="0"/>
          <c:tx>
            <c:strRef>
              <c:f>'Trial Deposits Engine'!$G$246</c:f>
              <c:strCache>
                <c:ptCount val="1"/>
                <c:pt idx="0">
                  <c:v>Ending RfR Balance</c:v>
                </c:pt>
              </c:strCache>
            </c:strRef>
          </c:tx>
          <c:marker>
            <c:symbol val="none"/>
          </c:marker>
          <c:cat>
            <c:numRef>
              <c:f>'Trial Deposits Engine'!$H$245:$Q$245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Engine'!$H$246:$Q$246</c:f>
              <c:numCache>
                <c:formatCode>"$"#,##0.00_);[Red]\("$"#,##0.00\)</c:formatCode>
                <c:ptCount val="10"/>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numCache>
            </c:numRef>
          </c:val>
          <c:smooth val="0"/>
          <c:extLst>
            <c:ext xmlns:c16="http://schemas.microsoft.com/office/drawing/2014/chart" uri="{C3380CC4-5D6E-409C-BE32-E72D297353CC}">
              <c16:uniqueId val="{00000000-2D5F-447A-8B3F-E039631FFED2}"/>
            </c:ext>
          </c:extLst>
        </c:ser>
        <c:ser>
          <c:idx val="1"/>
          <c:order val="1"/>
          <c:tx>
            <c:strRef>
              <c:f>'Trial Deposits Engine'!$G$247</c:f>
              <c:strCache>
                <c:ptCount val="1"/>
                <c:pt idx="0">
                  <c:v>20 year equal to eTool (NOT 10 Yr) Minimum Balance-inflated</c:v>
                </c:pt>
              </c:strCache>
            </c:strRef>
          </c:tx>
          <c:marker>
            <c:symbol val="none"/>
          </c:marker>
          <c:cat>
            <c:numRef>
              <c:f>'Trial Deposits Engine'!$H$245:$Q$245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Engine'!$H$247:$Q$247</c:f>
              <c:numCache>
                <c:formatCode>"$"#,##0.00</c:formatCode>
                <c:ptCount val="10"/>
                <c:pt idx="0">
                  <c:v>-261273.66149164233</c:v>
                </c:pt>
                <c:pt idx="1">
                  <c:v>-261273.66149164233</c:v>
                </c:pt>
                <c:pt idx="2">
                  <c:v>-261273.66149164233</c:v>
                </c:pt>
                <c:pt idx="3">
                  <c:v>-261273.66149164233</c:v>
                </c:pt>
                <c:pt idx="4">
                  <c:v>-261273.66149164233</c:v>
                </c:pt>
                <c:pt idx="5">
                  <c:v>-261273.66149164233</c:v>
                </c:pt>
                <c:pt idx="6">
                  <c:v>-261273.66149164233</c:v>
                </c:pt>
                <c:pt idx="7">
                  <c:v>-261273.66149164233</c:v>
                </c:pt>
                <c:pt idx="8">
                  <c:v>-261273.66149164233</c:v>
                </c:pt>
                <c:pt idx="9">
                  <c:v>-261273.66149164233</c:v>
                </c:pt>
              </c:numCache>
            </c:numRef>
          </c:val>
          <c:smooth val="0"/>
          <c:extLst>
            <c:ext xmlns:c16="http://schemas.microsoft.com/office/drawing/2014/chart" uri="{C3380CC4-5D6E-409C-BE32-E72D297353CC}">
              <c16:uniqueId val="{00000001-2D5F-447A-8B3F-E039631FFED2}"/>
            </c:ext>
          </c:extLst>
        </c:ser>
        <c:ser>
          <c:idx val="2"/>
          <c:order val="2"/>
          <c:tx>
            <c:strRef>
              <c:f>'Trial Deposits Engine'!$G$248</c:f>
              <c:strCache>
                <c:ptCount val="1"/>
                <c:pt idx="0">
                  <c:v>Margin exceeding Minimum Balance</c:v>
                </c:pt>
              </c:strCache>
            </c:strRef>
          </c:tx>
          <c:marker>
            <c:symbol val="none"/>
          </c:marker>
          <c:cat>
            <c:numRef>
              <c:f>'Trial Deposits Engine'!$H$245:$Q$245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Engine'!$H$248:$Q$248</c:f>
              <c:numCache>
                <c:formatCode>"$"#,##0.00</c:formatCode>
                <c:ptCount val="10"/>
                <c:pt idx="0">
                  <c:v>986403.91149164236</c:v>
                </c:pt>
                <c:pt idx="1">
                  <c:v>1252261.9339916422</c:v>
                </c:pt>
                <c:pt idx="2">
                  <c:v>1185811.1924791422</c:v>
                </c:pt>
                <c:pt idx="3">
                  <c:v>1180885.2669319548</c:v>
                </c:pt>
                <c:pt idx="4">
                  <c:v>955018.14113131945</c:v>
                </c:pt>
                <c:pt idx="5">
                  <c:v>771949.01884602976</c:v>
                </c:pt>
                <c:pt idx="6">
                  <c:v>639167.73433686304</c:v>
                </c:pt>
                <c:pt idx="7">
                  <c:v>662776.38486266916</c:v>
                </c:pt>
                <c:pt idx="8">
                  <c:v>742255.59853502503</c:v>
                </c:pt>
                <c:pt idx="9">
                  <c:v>695047.27706890204</c:v>
                </c:pt>
              </c:numCache>
            </c:numRef>
          </c:val>
          <c:smooth val="0"/>
          <c:extLst>
            <c:ext xmlns:c16="http://schemas.microsoft.com/office/drawing/2014/chart" uri="{C3380CC4-5D6E-409C-BE32-E72D297353CC}">
              <c16:uniqueId val="{00000002-2D5F-447A-8B3F-E039631FFED2}"/>
            </c:ext>
          </c:extLst>
        </c:ser>
        <c:dLbls>
          <c:showLegendKey val="0"/>
          <c:showVal val="0"/>
          <c:showCatName val="0"/>
          <c:showSerName val="0"/>
          <c:showPercent val="0"/>
          <c:showBubbleSize val="0"/>
        </c:dLbls>
        <c:smooth val="0"/>
        <c:axId val="519893040"/>
        <c:axId val="519887160"/>
      </c:lineChart>
      <c:catAx>
        <c:axId val="519893040"/>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9887160"/>
        <c:crosses val="autoZero"/>
        <c:auto val="1"/>
        <c:lblAlgn val="ctr"/>
        <c:lblOffset val="100"/>
        <c:noMultiLvlLbl val="0"/>
      </c:catAx>
      <c:valAx>
        <c:axId val="519887160"/>
        <c:scaling>
          <c:orientation val="minMax"/>
        </c:scaling>
        <c:delete val="0"/>
        <c:axPos val="l"/>
        <c:majorGridlines/>
        <c:numFmt formatCode="&quot;$&quot;#,##0.00_);[Red]\(&quot;$&quot;#,##0.00\)" sourceLinked="1"/>
        <c:majorTickMark val="out"/>
        <c:minorTickMark val="none"/>
        <c:tickLblPos val="nextTo"/>
        <c:crossAx val="519893040"/>
        <c:crosses val="autoZero"/>
        <c:crossBetween val="between"/>
      </c:valAx>
    </c:plotArea>
    <c:legend>
      <c:legendPos val="r"/>
      <c:layout>
        <c:manualLayout>
          <c:xMode val="edge"/>
          <c:yMode val="edge"/>
          <c:x val="0.18189074191812979"/>
          <c:y val="0.32442811995439397"/>
          <c:w val="0.31016739166345497"/>
          <c:h val="0.2506855410386723"/>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Reserve Balances</a:t>
            </a:r>
            <a:r>
              <a:rPr lang="en-US" baseline="0"/>
              <a:t> and the 20-year average inflated minimum requirement</a:t>
            </a:r>
            <a:endParaRPr lang="en-US"/>
          </a:p>
        </c:rich>
      </c:tx>
      <c:layout>
        <c:manualLayout>
          <c:xMode val="edge"/>
          <c:yMode val="edge"/>
          <c:x val="0.13341805516627958"/>
          <c:y val="6.7476383265856948E-2"/>
        </c:manualLayout>
      </c:layout>
      <c:overlay val="1"/>
    </c:title>
    <c:autoTitleDeleted val="0"/>
    <c:plotArea>
      <c:layout>
        <c:manualLayout>
          <c:layoutTarget val="inner"/>
          <c:xMode val="edge"/>
          <c:yMode val="edge"/>
          <c:x val="0.12752471158496492"/>
          <c:y val="0.26862009595739328"/>
          <c:w val="0.81055650652364108"/>
          <c:h val="0.63399738298018915"/>
        </c:manualLayout>
      </c:layout>
      <c:lineChart>
        <c:grouping val="standard"/>
        <c:varyColors val="0"/>
        <c:ser>
          <c:idx val="0"/>
          <c:order val="0"/>
          <c:tx>
            <c:strRef>
              <c:f>'Trial Deposits Engine'!$G$251</c:f>
              <c:strCache>
                <c:ptCount val="1"/>
                <c:pt idx="0">
                  <c:v>Year of Deposit or Withdraw</c:v>
                </c:pt>
              </c:strCache>
            </c:strRef>
          </c:tx>
          <c:marker>
            <c:symbol val="none"/>
          </c:marker>
          <c:val>
            <c:numRef>
              <c:f>'Trial Deposits Engine'!$H$251:$AA$251</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val>
          <c:smooth val="0"/>
          <c:extLst>
            <c:ext xmlns:c16="http://schemas.microsoft.com/office/drawing/2014/chart" uri="{C3380CC4-5D6E-409C-BE32-E72D297353CC}">
              <c16:uniqueId val="{00000000-1E26-4E23-8BFF-45EBB53884CE}"/>
            </c:ext>
          </c:extLst>
        </c:ser>
        <c:ser>
          <c:idx val="1"/>
          <c:order val="1"/>
          <c:tx>
            <c:strRef>
              <c:f>'Trial Deposits Engine'!$G$252</c:f>
              <c:strCache>
                <c:ptCount val="1"/>
                <c:pt idx="0">
                  <c:v>Ending RfR Balance</c:v>
                </c:pt>
              </c:strCache>
            </c:strRef>
          </c:tx>
          <c:marker>
            <c:symbol val="none"/>
          </c:marker>
          <c:val>
            <c:numRef>
              <c:f>'Trial Deposits Engine'!$H$252:$AA$252</c:f>
              <c:numCache>
                <c:formatCode>"$"#,##0.00_);[Red]\("$"#,##0.00\)</c:formatCode>
                <c:ptCount val="20"/>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pt idx="10">
                  <c:v>-110703.27092129062</c:v>
                </c:pt>
                <c:pt idx="11">
                  <c:v>-610983.27226814406</c:v>
                </c:pt>
                <c:pt idx="12">
                  <c:v>-1017555.9606419345</c:v>
                </c:pt>
                <c:pt idx="13">
                  <c:v>-966079.49998320092</c:v>
                </c:pt>
                <c:pt idx="14">
                  <c:v>-1341212.1823112925</c:v>
                </c:pt>
                <c:pt idx="15">
                  <c:v>-1670061.927285946</c:v>
                </c:pt>
                <c:pt idx="16">
                  <c:v>-1956866.8807600925</c:v>
                </c:pt>
                <c:pt idx="17">
                  <c:v>-1910382.6323037217</c:v>
                </c:pt>
                <c:pt idx="18">
                  <c:v>-1717781.0116782237</c:v>
                </c:pt>
                <c:pt idx="19">
                  <c:v>-1502517.4942402157</c:v>
                </c:pt>
              </c:numCache>
            </c:numRef>
          </c:val>
          <c:smooth val="0"/>
          <c:extLst>
            <c:ext xmlns:c16="http://schemas.microsoft.com/office/drawing/2014/chart" uri="{C3380CC4-5D6E-409C-BE32-E72D297353CC}">
              <c16:uniqueId val="{00000001-1E26-4E23-8BFF-45EBB53884CE}"/>
            </c:ext>
          </c:extLst>
        </c:ser>
        <c:ser>
          <c:idx val="2"/>
          <c:order val="2"/>
          <c:tx>
            <c:strRef>
              <c:f>'Trial Deposits Engine'!$G$253</c:f>
              <c:strCache>
                <c:ptCount val="1"/>
                <c:pt idx="0">
                  <c:v>Estimate Period Minimum Balance-inflated</c:v>
                </c:pt>
              </c:strCache>
            </c:strRef>
          </c:tx>
          <c:marker>
            <c:symbol val="none"/>
          </c:marker>
          <c:val>
            <c:numRef>
              <c:f>'Trial Deposits Engine'!$H$253:$AA$253</c:f>
              <c:numCache>
                <c:formatCode>"$"#,##0.00</c:formatCode>
                <c:ptCount val="20"/>
                <c:pt idx="0">
                  <c:v>335249.58</c:v>
                </c:pt>
                <c:pt idx="1">
                  <c:v>341954.57160000002</c:v>
                </c:pt>
                <c:pt idx="2">
                  <c:v>348793.66303200001</c:v>
                </c:pt>
                <c:pt idx="3">
                  <c:v>355769.53629263997</c:v>
                </c:pt>
                <c:pt idx="4">
                  <c:v>362884.92701849283</c:v>
                </c:pt>
                <c:pt idx="5">
                  <c:v>370142.6255588627</c:v>
                </c:pt>
                <c:pt idx="6">
                  <c:v>377545.47807003994</c:v>
                </c:pt>
                <c:pt idx="7">
                  <c:v>385096.38763144077</c:v>
                </c:pt>
                <c:pt idx="8">
                  <c:v>392798.31538406957</c:v>
                </c:pt>
                <c:pt idx="9">
                  <c:v>400654.28169175098</c:v>
                </c:pt>
                <c:pt idx="10">
                  <c:v>408667.36732558603</c:v>
                </c:pt>
                <c:pt idx="11">
                  <c:v>416840.7146720977</c:v>
                </c:pt>
                <c:pt idx="12">
                  <c:v>425177.52896553965</c:v>
                </c:pt>
                <c:pt idx="13">
                  <c:v>433681.07954485045</c:v>
                </c:pt>
                <c:pt idx="14">
                  <c:v>442354.70113574748</c:v>
                </c:pt>
                <c:pt idx="15">
                  <c:v>451201.79515846248</c:v>
                </c:pt>
                <c:pt idx="16">
                  <c:v>460225.83106163173</c:v>
                </c:pt>
                <c:pt idx="17">
                  <c:v>469430.34768286441</c:v>
                </c:pt>
                <c:pt idx="18">
                  <c:v>478818.9546365217</c:v>
                </c:pt>
                <c:pt idx="19">
                  <c:v>488395.3337292521</c:v>
                </c:pt>
              </c:numCache>
            </c:numRef>
          </c:val>
          <c:smooth val="0"/>
          <c:extLst>
            <c:ext xmlns:c16="http://schemas.microsoft.com/office/drawing/2014/chart" uri="{C3380CC4-5D6E-409C-BE32-E72D297353CC}">
              <c16:uniqueId val="{00000002-1E26-4E23-8BFF-45EBB53884CE}"/>
            </c:ext>
          </c:extLst>
        </c:ser>
        <c:ser>
          <c:idx val="3"/>
          <c:order val="3"/>
          <c:tx>
            <c:strRef>
              <c:f>'Trial Deposits Engine'!$G$254</c:f>
              <c:strCache>
                <c:ptCount val="1"/>
                <c:pt idx="0">
                  <c:v>Margin exceeding Minimum Balance</c:v>
                </c:pt>
              </c:strCache>
            </c:strRef>
          </c:tx>
          <c:marker>
            <c:symbol val="none"/>
          </c:marker>
          <c:val>
            <c:numRef>
              <c:f>'Trial Deposits Engine'!$H$254:$AA$254</c:f>
              <c:numCache>
                <c:formatCode>"$"#,##0.00</c:formatCode>
                <c:ptCount val="20"/>
                <c:pt idx="0">
                  <c:v>389880.67</c:v>
                </c:pt>
                <c:pt idx="1">
                  <c:v>649033.70089999994</c:v>
                </c:pt>
                <c:pt idx="2">
                  <c:v>575743.86795550003</c:v>
                </c:pt>
                <c:pt idx="3">
                  <c:v>563842.0691476725</c:v>
                </c:pt>
                <c:pt idx="4">
                  <c:v>330859.55262118427</c:v>
                </c:pt>
                <c:pt idx="5">
                  <c:v>140532.73179552471</c:v>
                </c:pt>
                <c:pt idx="6">
                  <c:v>348.59477518073982</c:v>
                </c:pt>
                <c:pt idx="7">
                  <c:v>16406.335739586095</c:v>
                </c:pt>
                <c:pt idx="8">
                  <c:v>88183.621659313096</c:v>
                </c:pt>
                <c:pt idx="9">
                  <c:v>33119.333885508764</c:v>
                </c:pt>
                <c:pt idx="10">
                  <c:v>-519370.63824687665</c:v>
                </c:pt>
                <c:pt idx="11">
                  <c:v>-1027823.9869402418</c:v>
                </c:pt>
                <c:pt idx="12">
                  <c:v>-1442733.4896074743</c:v>
                </c:pt>
                <c:pt idx="13">
                  <c:v>-1399760.5795280514</c:v>
                </c:pt>
                <c:pt idx="14">
                  <c:v>-1783566.8834470399</c:v>
                </c:pt>
                <c:pt idx="15">
                  <c:v>-2121263.7224444086</c:v>
                </c:pt>
                <c:pt idx="16">
                  <c:v>-2417092.7118217242</c:v>
                </c:pt>
                <c:pt idx="17">
                  <c:v>-2379812.9799865861</c:v>
                </c:pt>
                <c:pt idx="18">
                  <c:v>-2196599.9663147456</c:v>
                </c:pt>
                <c:pt idx="19">
                  <c:v>-1990912.8279694677</c:v>
                </c:pt>
              </c:numCache>
            </c:numRef>
          </c:val>
          <c:smooth val="0"/>
          <c:extLst>
            <c:ext xmlns:c16="http://schemas.microsoft.com/office/drawing/2014/chart" uri="{C3380CC4-5D6E-409C-BE32-E72D297353CC}">
              <c16:uniqueId val="{00000000-A678-407D-A232-F7F90DFDEBEF}"/>
            </c:ext>
          </c:extLst>
        </c:ser>
        <c:dLbls>
          <c:showLegendKey val="0"/>
          <c:showVal val="0"/>
          <c:showCatName val="0"/>
          <c:showSerName val="0"/>
          <c:showPercent val="0"/>
          <c:showBubbleSize val="0"/>
        </c:dLbls>
        <c:smooth val="0"/>
        <c:axId val="519893824"/>
        <c:axId val="519894216"/>
      </c:lineChart>
      <c:catAx>
        <c:axId val="519893824"/>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9894216"/>
        <c:crosses val="autoZero"/>
        <c:auto val="1"/>
        <c:lblAlgn val="ctr"/>
        <c:lblOffset val="100"/>
        <c:noMultiLvlLbl val="0"/>
      </c:catAx>
      <c:valAx>
        <c:axId val="519894216"/>
        <c:scaling>
          <c:orientation val="minMax"/>
        </c:scaling>
        <c:delete val="0"/>
        <c:axPos val="l"/>
        <c:majorGridlines/>
        <c:numFmt formatCode="General" sourceLinked="1"/>
        <c:majorTickMark val="out"/>
        <c:minorTickMark val="none"/>
        <c:tickLblPos val="nextTo"/>
        <c:crossAx val="519893824"/>
        <c:crosses val="autoZero"/>
        <c:crossBetween val="between"/>
      </c:valAx>
    </c:plotArea>
    <c:legend>
      <c:legendPos val="r"/>
      <c:layout>
        <c:manualLayout>
          <c:xMode val="edge"/>
          <c:yMode val="edge"/>
          <c:x val="0.18189074191812979"/>
          <c:y val="0.32442811995439397"/>
          <c:w val="0.31146310454799409"/>
          <c:h val="0.33424738805156279"/>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Reserve Balances</a:t>
            </a:r>
            <a:r>
              <a:rPr lang="en-US" baseline="0"/>
              <a:t> and the 11th-term-year Allowed %-of-paid-down-mortgage-principal offset for projected shortfall vs. required minimum RfR balances</a:t>
            </a:r>
            <a:endParaRPr lang="en-US"/>
          </a:p>
        </c:rich>
      </c:tx>
      <c:layout>
        <c:manualLayout>
          <c:xMode val="edge"/>
          <c:yMode val="edge"/>
          <c:x val="0.13341805516627958"/>
          <c:y val="6.7476383265856948E-2"/>
        </c:manualLayout>
      </c:layout>
      <c:overlay val="1"/>
    </c:title>
    <c:autoTitleDeleted val="0"/>
    <c:plotArea>
      <c:layout>
        <c:manualLayout>
          <c:layoutTarget val="inner"/>
          <c:xMode val="edge"/>
          <c:yMode val="edge"/>
          <c:x val="0.12752471158496492"/>
          <c:y val="0.26862009595739328"/>
          <c:w val="0.81055650652364108"/>
          <c:h val="0.63399738298018915"/>
        </c:manualLayout>
      </c:layout>
      <c:barChart>
        <c:barDir val="col"/>
        <c:grouping val="clustered"/>
        <c:varyColors val="0"/>
        <c:ser>
          <c:idx val="1"/>
          <c:order val="1"/>
          <c:tx>
            <c:strRef>
              <c:f>'Trial Deposits Engine'!$G$259</c:f>
              <c:strCache>
                <c:ptCount val="1"/>
                <c:pt idx="0">
                  <c:v>RfR shortfall vs. minimum requiring offset (inverse of green line below)</c:v>
                </c:pt>
              </c:strCache>
            </c:strRef>
          </c:tx>
          <c:spPr>
            <a:solidFill>
              <a:srgbClr val="92D050"/>
            </a:solidFill>
          </c:spPr>
          <c:invertIfNegative val="0"/>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Engine'!$H$259:$AA$259</c:f>
              <c:numCache>
                <c:formatCode>"$"#,##0.00</c:formatCode>
                <c:ptCount val="20"/>
                <c:pt idx="0">
                  <c:v>0</c:v>
                </c:pt>
                <c:pt idx="1">
                  <c:v>0</c:v>
                </c:pt>
                <c:pt idx="2">
                  <c:v>0</c:v>
                </c:pt>
                <c:pt idx="3">
                  <c:v>0</c:v>
                </c:pt>
                <c:pt idx="4">
                  <c:v>0</c:v>
                </c:pt>
                <c:pt idx="5">
                  <c:v>0</c:v>
                </c:pt>
                <c:pt idx="6">
                  <c:v>0</c:v>
                </c:pt>
                <c:pt idx="7">
                  <c:v>0</c:v>
                </c:pt>
                <c:pt idx="8">
                  <c:v>0</c:v>
                </c:pt>
                <c:pt idx="9">
                  <c:v>0</c:v>
                </c:pt>
                <c:pt idx="10">
                  <c:v>519370.63824687665</c:v>
                </c:pt>
                <c:pt idx="11">
                  <c:v>1027823.9869402418</c:v>
                </c:pt>
                <c:pt idx="12">
                  <c:v>1442733.4896074743</c:v>
                </c:pt>
                <c:pt idx="13">
                  <c:v>1399760.5795280514</c:v>
                </c:pt>
                <c:pt idx="14">
                  <c:v>1783566.8834470399</c:v>
                </c:pt>
                <c:pt idx="15">
                  <c:v>2121263.7224444086</c:v>
                </c:pt>
                <c:pt idx="16">
                  <c:v>2417092.7118217242</c:v>
                </c:pt>
                <c:pt idx="17">
                  <c:v>2379812.9799865861</c:v>
                </c:pt>
                <c:pt idx="18">
                  <c:v>2196599.9663147456</c:v>
                </c:pt>
                <c:pt idx="19">
                  <c:v>1990912.8279694677</c:v>
                </c:pt>
              </c:numCache>
            </c:numRef>
          </c:val>
          <c:extLst>
            <c:ext xmlns:c16="http://schemas.microsoft.com/office/drawing/2014/chart" uri="{C3380CC4-5D6E-409C-BE32-E72D297353CC}">
              <c16:uniqueId val="{00000000-2A8A-488A-B56D-51F08B7DBB1C}"/>
            </c:ext>
          </c:extLst>
        </c:ser>
        <c:ser>
          <c:idx val="2"/>
          <c:order val="2"/>
          <c:tx>
            <c:strRef>
              <c:f>'Trial Deposits Engine'!$G$260</c:f>
              <c:strCache>
                <c:ptCount val="1"/>
                <c:pt idx="0">
                  <c:v>Allowed % of cumulative amortization (beg. Yr 11)</c:v>
                </c:pt>
              </c:strCache>
            </c:strRef>
          </c:tx>
          <c:spPr>
            <a:solidFill>
              <a:schemeClr val="accent6"/>
            </a:solidFill>
          </c:spPr>
          <c:invertIfNegative val="0"/>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Engine'!$H$260:$AA$260</c:f>
              <c:numCache>
                <c:formatCode>"$"#,##0.00</c:formatCode>
                <c:ptCount val="20"/>
                <c:pt idx="0">
                  <c:v>181059.54421445596</c:v>
                </c:pt>
                <c:pt idx="1">
                  <c:v>366697.80492419301</c:v>
                </c:pt>
                <c:pt idx="2">
                  <c:v>557030.57080434088</c:v>
                </c:pt>
                <c:pt idx="3">
                  <c:v>752176.55864695914</c:v>
                </c:pt>
                <c:pt idx="4">
                  <c:v>952257.48740859702</c:v>
                </c:pt>
                <c:pt idx="5">
                  <c:v>1157398.1541303999</c:v>
                </c:pt>
                <c:pt idx="6">
                  <c:v>1367726.5117781204</c:v>
                </c:pt>
                <c:pt idx="7">
                  <c:v>1583373.7490505804</c:v>
                </c:pt>
                <c:pt idx="8">
                  <c:v>1804474.3722063706</c:v>
                </c:pt>
                <c:pt idx="9">
                  <c:v>2031166.2889598145</c:v>
                </c:pt>
                <c:pt idx="10">
                  <c:v>2263590.8944985373</c:v>
                </c:pt>
                <c:pt idx="11">
                  <c:v>2501893.1596762836</c:v>
                </c:pt>
                <c:pt idx="12">
                  <c:v>2746221.7214359976</c:v>
                </c:pt>
                <c:pt idx="13">
                  <c:v>2996728.9755195612</c:v>
                </c:pt>
                <c:pt idx="14">
                  <c:v>3253571.1715220185</c:v>
                </c:pt>
                <c:pt idx="15">
                  <c:v>3516908.5103495773</c:v>
                </c:pt>
                <c:pt idx="16">
                  <c:v>3786905.2441421705</c:v>
                </c:pt>
                <c:pt idx="17">
                  <c:v>4063729.778722907</c:v>
                </c:pt>
                <c:pt idx="18">
                  <c:v>4347554.7786383061</c:v>
                </c:pt>
                <c:pt idx="19">
                  <c:v>4638557.2748548482</c:v>
                </c:pt>
              </c:numCache>
            </c:numRef>
          </c:val>
          <c:extLst>
            <c:ext xmlns:c16="http://schemas.microsoft.com/office/drawing/2014/chart" uri="{C3380CC4-5D6E-409C-BE32-E72D297353CC}">
              <c16:uniqueId val="{00000001-2A8A-488A-B56D-51F08B7DBB1C}"/>
            </c:ext>
          </c:extLst>
        </c:ser>
        <c:dLbls>
          <c:showLegendKey val="0"/>
          <c:showVal val="0"/>
          <c:showCatName val="0"/>
          <c:showSerName val="0"/>
          <c:showPercent val="0"/>
          <c:showBubbleSize val="0"/>
        </c:dLbls>
        <c:gapWidth val="150"/>
        <c:axId val="519891080"/>
        <c:axId val="519891472"/>
      </c:barChart>
      <c:lineChart>
        <c:grouping val="standard"/>
        <c:varyColors val="0"/>
        <c:ser>
          <c:idx val="0"/>
          <c:order val="0"/>
          <c:tx>
            <c:strRef>
              <c:f>'Trial Deposits Engine'!$G$258</c:f>
              <c:strCache>
                <c:ptCount val="1"/>
                <c:pt idx="0">
                  <c:v>Ending RfR Balance</c:v>
                </c:pt>
              </c:strCache>
            </c:strRef>
          </c:tx>
          <c:marker>
            <c:symbol val="none"/>
          </c:marker>
          <c:cat>
            <c:numRef>
              <c:f>'Trial Deposits Engine'!$H$257:$AA$257</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Engine'!$H$258:$AA$258</c:f>
              <c:numCache>
                <c:formatCode>"$"#,##0.00_);[Red]\("$"#,##0.00\)</c:formatCode>
                <c:ptCount val="20"/>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pt idx="10">
                  <c:v>-110703.27092129062</c:v>
                </c:pt>
                <c:pt idx="11">
                  <c:v>-610983.27226814406</c:v>
                </c:pt>
                <c:pt idx="12">
                  <c:v>-1017555.9606419345</c:v>
                </c:pt>
                <c:pt idx="13">
                  <c:v>-966079.49998320092</c:v>
                </c:pt>
                <c:pt idx="14">
                  <c:v>-1341212.1823112925</c:v>
                </c:pt>
                <c:pt idx="15">
                  <c:v>-1670061.927285946</c:v>
                </c:pt>
                <c:pt idx="16">
                  <c:v>-1956866.8807600925</c:v>
                </c:pt>
                <c:pt idx="17">
                  <c:v>-1910382.6323037217</c:v>
                </c:pt>
                <c:pt idx="18">
                  <c:v>-1717781.0116782237</c:v>
                </c:pt>
                <c:pt idx="19">
                  <c:v>-1502517.4942402157</c:v>
                </c:pt>
              </c:numCache>
            </c:numRef>
          </c:val>
          <c:smooth val="0"/>
          <c:extLst>
            <c:ext xmlns:c16="http://schemas.microsoft.com/office/drawing/2014/chart" uri="{C3380CC4-5D6E-409C-BE32-E72D297353CC}">
              <c16:uniqueId val="{00000002-2A8A-488A-B56D-51F08B7DBB1C}"/>
            </c:ext>
          </c:extLst>
        </c:ser>
        <c:ser>
          <c:idx val="3"/>
          <c:order val="3"/>
          <c:tx>
            <c:strRef>
              <c:f>'Trial Deposits Engine'!$G$254</c:f>
              <c:strCache>
                <c:ptCount val="1"/>
                <c:pt idx="0">
                  <c:v>Margin exceeding Minimum Balance</c:v>
                </c:pt>
              </c:strCache>
            </c:strRef>
          </c:tx>
          <c:spPr>
            <a:ln>
              <a:solidFill>
                <a:srgbClr val="92D050"/>
              </a:solidFill>
            </a:ln>
          </c:spPr>
          <c:marker>
            <c:symbol val="none"/>
          </c:marker>
          <c:cat>
            <c:numRef>
              <c:f>'Trial Deposits Engine'!$H$257:$AA$257</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Engine'!$H$254:$AA$254</c:f>
              <c:numCache>
                <c:formatCode>"$"#,##0.00</c:formatCode>
                <c:ptCount val="20"/>
                <c:pt idx="0">
                  <c:v>389880.67</c:v>
                </c:pt>
                <c:pt idx="1">
                  <c:v>649033.70089999994</c:v>
                </c:pt>
                <c:pt idx="2">
                  <c:v>575743.86795550003</c:v>
                </c:pt>
                <c:pt idx="3">
                  <c:v>563842.0691476725</c:v>
                </c:pt>
                <c:pt idx="4">
                  <c:v>330859.55262118427</c:v>
                </c:pt>
                <c:pt idx="5">
                  <c:v>140532.73179552471</c:v>
                </c:pt>
                <c:pt idx="6">
                  <c:v>348.59477518073982</c:v>
                </c:pt>
                <c:pt idx="7">
                  <c:v>16406.335739586095</c:v>
                </c:pt>
                <c:pt idx="8">
                  <c:v>88183.621659313096</c:v>
                </c:pt>
                <c:pt idx="9">
                  <c:v>33119.333885508764</c:v>
                </c:pt>
                <c:pt idx="10">
                  <c:v>-519370.63824687665</c:v>
                </c:pt>
                <c:pt idx="11">
                  <c:v>-1027823.9869402418</c:v>
                </c:pt>
                <c:pt idx="12">
                  <c:v>-1442733.4896074743</c:v>
                </c:pt>
                <c:pt idx="13">
                  <c:v>-1399760.5795280514</c:v>
                </c:pt>
                <c:pt idx="14">
                  <c:v>-1783566.8834470399</c:v>
                </c:pt>
                <c:pt idx="15">
                  <c:v>-2121263.7224444086</c:v>
                </c:pt>
                <c:pt idx="16">
                  <c:v>-2417092.7118217242</c:v>
                </c:pt>
                <c:pt idx="17">
                  <c:v>-2379812.9799865861</c:v>
                </c:pt>
                <c:pt idx="18">
                  <c:v>-2196599.9663147456</c:v>
                </c:pt>
                <c:pt idx="19">
                  <c:v>-1990912.8279694677</c:v>
                </c:pt>
              </c:numCache>
            </c:numRef>
          </c:val>
          <c:smooth val="0"/>
          <c:extLst>
            <c:ext xmlns:c16="http://schemas.microsoft.com/office/drawing/2014/chart" uri="{C3380CC4-5D6E-409C-BE32-E72D297353CC}">
              <c16:uniqueId val="{00000000-ED2C-4BBD-9C33-69932DC80E64}"/>
            </c:ext>
          </c:extLst>
        </c:ser>
        <c:dLbls>
          <c:showLegendKey val="0"/>
          <c:showVal val="0"/>
          <c:showCatName val="0"/>
          <c:showSerName val="0"/>
          <c:showPercent val="0"/>
          <c:showBubbleSize val="0"/>
        </c:dLbls>
        <c:marker val="1"/>
        <c:smooth val="0"/>
        <c:axId val="519891080"/>
        <c:axId val="519891472"/>
      </c:lineChart>
      <c:catAx>
        <c:axId val="519891080"/>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519891472"/>
        <c:crosses val="autoZero"/>
        <c:auto val="1"/>
        <c:lblAlgn val="ctr"/>
        <c:lblOffset val="100"/>
        <c:noMultiLvlLbl val="0"/>
      </c:catAx>
      <c:valAx>
        <c:axId val="519891472"/>
        <c:scaling>
          <c:orientation val="minMax"/>
        </c:scaling>
        <c:delete val="0"/>
        <c:axPos val="l"/>
        <c:majorGridlines/>
        <c:numFmt formatCode="&quot;$&quot;#,##0.00" sourceLinked="1"/>
        <c:majorTickMark val="out"/>
        <c:minorTickMark val="none"/>
        <c:tickLblPos val="nextTo"/>
        <c:crossAx val="519891080"/>
        <c:crosses val="autoZero"/>
        <c:crossBetween val="between"/>
      </c:valAx>
    </c:plotArea>
    <c:legend>
      <c:legendPos val="r"/>
      <c:layout>
        <c:manualLayout>
          <c:xMode val="edge"/>
          <c:yMode val="edge"/>
          <c:x val="0.12757630000586329"/>
          <c:y val="0.24686587999214779"/>
          <c:w val="0.36761410079981788"/>
          <c:h val="0.28715597530918052"/>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Ratio of Annual Deposit to Inflated Need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985892388451443"/>
          <c:y val="0.19721055701370663"/>
          <c:w val="0.84569663167104114"/>
          <c:h val="0.77736111111111106"/>
        </c:manualLayout>
      </c:layout>
      <c:barChart>
        <c:barDir val="col"/>
        <c:grouping val="clustered"/>
        <c:varyColors val="0"/>
        <c:ser>
          <c:idx val="0"/>
          <c:order val="0"/>
          <c:tx>
            <c:strRef>
              <c:f>'Trial Dep. Projections Sumry'!$C$65</c:f>
              <c:strCache>
                <c:ptCount val="1"/>
                <c:pt idx="0">
                  <c:v>Ratio of Inflated Need vs. Annual Dep.</c:v>
                </c:pt>
              </c:strCache>
            </c:strRef>
          </c:tx>
          <c:spPr>
            <a:solidFill>
              <a:schemeClr val="accent1"/>
            </a:solidFill>
            <a:ln>
              <a:noFill/>
            </a:ln>
            <a:effectLst/>
          </c:spPr>
          <c:invertIfNegative val="0"/>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3E5-4C3B-9397-FCFDF6227A77}"/>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3E5-4C3B-9397-FCFDF6227A77}"/>
                </c:ext>
              </c:extLst>
            </c:dLbl>
            <c:dLbl>
              <c:idx val="1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3E5-4C3B-9397-FCFDF6227A77}"/>
                </c:ext>
              </c:extLst>
            </c:dLbl>
            <c:dLbl>
              <c:idx val="1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3E5-4C3B-9397-FCFDF6227A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'Trial Dep. Projections Sumry'!$I$65:$AB$65</c:f>
              <c:numCache>
                <c:formatCode>0.0%</c:formatCode>
                <c:ptCount val="20"/>
                <c:pt idx="0">
                  <c:v>0</c:v>
                </c:pt>
                <c:pt idx="1">
                  <c:v>0</c:v>
                </c:pt>
                <c:pt idx="2">
                  <c:v>0.7643671966646115</c:v>
                </c:pt>
                <c:pt idx="3">
                  <c:v>0.93470873138021737</c:v>
                </c:pt>
                <c:pt idx="4">
                  <c:v>0.53382069182563707</c:v>
                </c:pt>
                <c:pt idx="5">
                  <c:v>0.59130653643272646</c:v>
                </c:pt>
                <c:pt idx="6">
                  <c:v>0.67029755564281313</c:v>
                </c:pt>
                <c:pt idx="7">
                  <c:v>1.0656447257275476</c:v>
                </c:pt>
                <c:pt idx="8">
                  <c:v>1.3285165104769157</c:v>
                </c:pt>
                <c:pt idx="9">
                  <c:v>0.84773448631826487</c:v>
                </c:pt>
                <c:pt idx="10">
                  <c:v>0.3593531524801587</c:v>
                </c:pt>
                <c:pt idx="11">
                  <c:v>0.38655102348255477</c:v>
                </c:pt>
                <c:pt idx="12">
                  <c:v>0.44161126439157489</c:v>
                </c:pt>
                <c:pt idx="13">
                  <c:v>1.186172058675188</c:v>
                </c:pt>
                <c:pt idx="14">
                  <c:v>0.47139696886721671</c:v>
                </c:pt>
                <c:pt idx="15">
                  <c:v>0.50923502212831173</c:v>
                </c:pt>
                <c:pt idx="16">
                  <c:v>0.54823588850385485</c:v>
                </c:pt>
                <c:pt idx="17">
                  <c:v>1.1506649149572039</c:v>
                </c:pt>
                <c:pt idx="18">
                  <c:v>2.1362242384293881</c:v>
                </c:pt>
                <c:pt idx="19">
                  <c:v>2.3969935435240677</c:v>
                </c:pt>
              </c:numCache>
            </c:numRef>
          </c:val>
          <c:extLst>
            <c:ext xmlns:c16="http://schemas.microsoft.com/office/drawing/2014/chart" uri="{C3380CC4-5D6E-409C-BE32-E72D297353CC}">
              <c16:uniqueId val="{00000000-63E5-4C3B-9397-FCFDF6227A77}"/>
            </c:ext>
          </c:extLst>
        </c:ser>
        <c:dLbls>
          <c:showLegendKey val="0"/>
          <c:showVal val="0"/>
          <c:showCatName val="0"/>
          <c:showSerName val="0"/>
          <c:showPercent val="0"/>
          <c:showBubbleSize val="0"/>
        </c:dLbls>
        <c:gapWidth val="219"/>
        <c:overlap val="-27"/>
        <c:axId val="519888336"/>
        <c:axId val="519894608"/>
      </c:barChart>
      <c:catAx>
        <c:axId val="519888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4608"/>
        <c:crosses val="autoZero"/>
        <c:auto val="1"/>
        <c:lblAlgn val="ctr"/>
        <c:lblOffset val="100"/>
        <c:noMultiLvlLbl val="0"/>
      </c:catAx>
      <c:valAx>
        <c:axId val="51989460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8833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Cumulative Inflated</a:t>
            </a:r>
            <a:r>
              <a:rPr lang="en-US" baseline="0"/>
              <a:t> Needs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'Trial Dep. Projections Sumry'!$C$63</c:f>
              <c:strCache>
                <c:ptCount val="1"/>
                <c:pt idx="0">
                  <c:v>Cumulative Annual Needs vs. Total</c:v>
                </c:pt>
              </c:strCache>
            </c:strRef>
          </c:tx>
          <c:spPr>
            <a:solidFill>
              <a:schemeClr val="accent1"/>
            </a:solidFill>
            <a:ln>
              <a:noFill/>
            </a:ln>
            <a:effectLst/>
          </c:spPr>
          <c:invertIfNegative val="0"/>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02E-48D7-8FCB-104FB8171577}"/>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02E-48D7-8FCB-104FB8171577}"/>
                </c:ext>
              </c:extLst>
            </c:dLbl>
            <c:dLbl>
              <c:idx val="1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02E-48D7-8FCB-104FB8171577}"/>
                </c:ext>
              </c:extLst>
            </c:dLbl>
            <c:dLbl>
              <c:idx val="1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02E-48D7-8FCB-104FB81715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'Trial Dep. Projections Sumry'!$I$63:$AB$63</c:f>
              <c:numCache>
                <c:formatCode>0.0%</c:formatCode>
                <c:ptCount val="20"/>
                <c:pt idx="0">
                  <c:v>0</c:v>
                </c:pt>
                <c:pt idx="1">
                  <c:v>0</c:v>
                </c:pt>
                <c:pt idx="2">
                  <c:v>4.1943373842739176E-2</c:v>
                </c:pt>
                <c:pt idx="3">
                  <c:v>7.6928969640265549E-2</c:v>
                </c:pt>
                <c:pt idx="4">
                  <c:v>0.13941318805394895</c:v>
                </c:pt>
                <c:pt idx="5">
                  <c:v>0.19695098609870806</c:v>
                </c:pt>
                <c:pt idx="6">
                  <c:v>0.24872340463908071</c:v>
                </c:pt>
                <c:pt idx="7">
                  <c:v>0.28193990095787819</c:v>
                </c:pt>
                <c:pt idx="8">
                  <c:v>0.30911677343686567</c:v>
                </c:pt>
                <c:pt idx="9">
                  <c:v>0.35255846757771697</c:v>
                </c:pt>
                <c:pt idx="10">
                  <c:v>0.45708951858807251</c:v>
                </c:pt>
                <c:pt idx="11">
                  <c:v>0.5562092508855021</c:v>
                </c:pt>
                <c:pt idx="12">
                  <c:v>0.64470593065219606</c:v>
                </c:pt>
                <c:pt idx="13">
                  <c:v>0.67831214567607079</c:v>
                </c:pt>
                <c:pt idx="14">
                  <c:v>0.76456643030170368</c:v>
                </c:pt>
                <c:pt idx="15">
                  <c:v>0.84600860668125799</c:v>
                </c:pt>
                <c:pt idx="16">
                  <c:v>0.92317005040957967</c:v>
                </c:pt>
                <c:pt idx="17">
                  <c:v>0.96066900041054859</c:v>
                </c:pt>
                <c:pt idx="18">
                  <c:v>0.98127156630432621</c:v>
                </c:pt>
                <c:pt idx="19">
                  <c:v>1</c:v>
                </c:pt>
              </c:numCache>
            </c:numRef>
          </c:val>
          <c:extLst>
            <c:ext xmlns:c16="http://schemas.microsoft.com/office/drawing/2014/chart" uri="{C3380CC4-5D6E-409C-BE32-E72D297353CC}">
              <c16:uniqueId val="{00000000-502E-48D7-8FCB-104FB8171577}"/>
            </c:ext>
          </c:extLst>
        </c:ser>
        <c:dLbls>
          <c:showLegendKey val="0"/>
          <c:showVal val="0"/>
          <c:showCatName val="0"/>
          <c:showSerName val="0"/>
          <c:showPercent val="0"/>
          <c:showBubbleSize val="0"/>
        </c:dLbls>
        <c:gapWidth val="150"/>
        <c:axId val="519895392"/>
        <c:axId val="519895784"/>
      </c:barChart>
      <c:catAx>
        <c:axId val="519895392"/>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5784"/>
        <c:crosses val="autoZero"/>
        <c:auto val="1"/>
        <c:lblAlgn val="ctr"/>
        <c:lblOffset val="100"/>
        <c:noMultiLvlLbl val="0"/>
      </c:catAx>
      <c:valAx>
        <c:axId val="51989578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539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u="sng"/>
              <a:t>eTool Data</a:t>
            </a:r>
            <a:r>
              <a:rPr lang="en-US" sz="1400" b="1" u="sng" baseline="0"/>
              <a:t> Results: </a:t>
            </a:r>
          </a:p>
          <a:p>
            <a:pPr>
              <a:defRPr/>
            </a:pPr>
            <a:r>
              <a:rPr lang="en-US" sz="1400"/>
              <a:t>Annual Per Unit RfR Sources</a:t>
            </a:r>
            <a:r>
              <a:rPr lang="en-US" sz="1400" baseline="0"/>
              <a:t> and Uses </a:t>
            </a:r>
            <a:r>
              <a:rPr lang="en-US" sz="1400"/>
              <a:t>Analysis</a:t>
            </a:r>
          </a:p>
        </c:rich>
      </c:tx>
      <c:layout>
        <c:manualLayout>
          <c:xMode val="edge"/>
          <c:yMode val="edge"/>
          <c:x val="0.2714556970414147"/>
          <c:y val="3.637113767824843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5910021691271691E-2"/>
          <c:y val="0.30917057800865433"/>
          <c:w val="0.87296384451500386"/>
          <c:h val="0.54859364289488743"/>
        </c:manualLayout>
      </c:layout>
      <c:lineChart>
        <c:grouping val="standard"/>
        <c:varyColors val="0"/>
        <c:ser>
          <c:idx val="0"/>
          <c:order val="0"/>
          <c:tx>
            <c:strRef>
              <c:f>'Paste Financial Sched.'!$A$13</c:f>
              <c:strCache>
                <c:ptCount val="1"/>
                <c:pt idx="0">
                  <c:v>RFR Deposit / Unit / Year</c:v>
                </c:pt>
              </c:strCache>
            </c:strRef>
          </c:tx>
          <c:spPr>
            <a:ln w="28575" cap="rnd">
              <a:solidFill>
                <a:schemeClr val="accent1"/>
              </a:solidFill>
              <a:round/>
            </a:ln>
            <a:effectLst/>
          </c:spPr>
          <c:marker>
            <c:symbol val="none"/>
          </c:marker>
          <c:val>
            <c:numRef>
              <c:f>'Paste Financial Sched.'!$B$13:$U$13</c:f>
              <c:numCache>
                <c:formatCode>General</c:formatCode>
                <c:ptCount val="20"/>
                <c:pt idx="0">
                  <c:v>556</c:v>
                </c:pt>
                <c:pt idx="1">
                  <c:v>567.12</c:v>
                </c:pt>
                <c:pt idx="2">
                  <c:v>578.46</c:v>
                </c:pt>
                <c:pt idx="3">
                  <c:v>590.03</c:v>
                </c:pt>
                <c:pt idx="4">
                  <c:v>601.83000000000004</c:v>
                </c:pt>
                <c:pt idx="5">
                  <c:v>613.87</c:v>
                </c:pt>
                <c:pt idx="6">
                  <c:v>626.15</c:v>
                </c:pt>
                <c:pt idx="7">
                  <c:v>638.66999999999996</c:v>
                </c:pt>
                <c:pt idx="8">
                  <c:v>651.44000000000005</c:v>
                </c:pt>
                <c:pt idx="9">
                  <c:v>664.47</c:v>
                </c:pt>
                <c:pt idx="10">
                  <c:v>677.76</c:v>
                </c:pt>
                <c:pt idx="11">
                  <c:v>691.32</c:v>
                </c:pt>
                <c:pt idx="12">
                  <c:v>705.14</c:v>
                </c:pt>
                <c:pt idx="13">
                  <c:v>719.25</c:v>
                </c:pt>
                <c:pt idx="14">
                  <c:v>733.63</c:v>
                </c:pt>
                <c:pt idx="15">
                  <c:v>748.3</c:v>
                </c:pt>
                <c:pt idx="16">
                  <c:v>763.27</c:v>
                </c:pt>
                <c:pt idx="17">
                  <c:v>778.53</c:v>
                </c:pt>
                <c:pt idx="18">
                  <c:v>794.1</c:v>
                </c:pt>
                <c:pt idx="19">
                  <c:v>809.99</c:v>
                </c:pt>
              </c:numCache>
            </c:numRef>
          </c:val>
          <c:smooth val="0"/>
          <c:extLst>
            <c:ext xmlns:c16="http://schemas.microsoft.com/office/drawing/2014/chart" uri="{C3380CC4-5D6E-409C-BE32-E72D297353CC}">
              <c16:uniqueId val="{00000000-0693-4BF8-907A-5421070CD5F4}"/>
            </c:ext>
          </c:extLst>
        </c:ser>
        <c:ser>
          <c:idx val="1"/>
          <c:order val="1"/>
          <c:tx>
            <c:strRef>
              <c:f>'Paste Financial Sched.'!$A$14</c:f>
              <c:strCache>
                <c:ptCount val="1"/>
                <c:pt idx="0">
                  <c:v>Inflated Needs / Unit / Year</c:v>
                </c:pt>
              </c:strCache>
            </c:strRef>
          </c:tx>
          <c:spPr>
            <a:ln w="28575" cap="rnd">
              <a:solidFill>
                <a:schemeClr val="accent2"/>
              </a:solidFill>
              <a:round/>
            </a:ln>
            <a:effectLst/>
          </c:spPr>
          <c:marker>
            <c:symbol val="none"/>
          </c:marker>
          <c:val>
            <c:numRef>
              <c:f>'Paste Financial Sched.'!$B$14:$U$14</c:f>
              <c:numCache>
                <c:formatCode>General</c:formatCode>
                <c:ptCount val="20"/>
                <c:pt idx="0">
                  <c:v>0</c:v>
                </c:pt>
                <c:pt idx="1">
                  <c:v>0</c:v>
                </c:pt>
                <c:pt idx="2">
                  <c:v>756.79</c:v>
                </c:pt>
                <c:pt idx="3">
                  <c:v>631.25</c:v>
                </c:pt>
                <c:pt idx="4">
                  <c:v>1127.4100000000001</c:v>
                </c:pt>
                <c:pt idx="5">
                  <c:v>1038.1600000000001</c:v>
                </c:pt>
                <c:pt idx="6">
                  <c:v>934.13</c:v>
                </c:pt>
                <c:pt idx="7">
                  <c:v>599.33000000000004</c:v>
                </c:pt>
                <c:pt idx="8">
                  <c:v>490.35</c:v>
                </c:pt>
                <c:pt idx="9">
                  <c:v>783.82</c:v>
                </c:pt>
                <c:pt idx="10">
                  <c:v>1886.06</c:v>
                </c:pt>
                <c:pt idx="11">
                  <c:v>1788.42</c:v>
                </c:pt>
                <c:pt idx="12">
                  <c:v>1596.75</c:v>
                </c:pt>
                <c:pt idx="13">
                  <c:v>606.36</c:v>
                </c:pt>
                <c:pt idx="14">
                  <c:v>1556.29</c:v>
                </c:pt>
                <c:pt idx="15">
                  <c:v>1469.46</c:v>
                </c:pt>
                <c:pt idx="16">
                  <c:v>1392.23</c:v>
                </c:pt>
                <c:pt idx="17">
                  <c:v>676.6</c:v>
                </c:pt>
                <c:pt idx="18">
                  <c:v>371.73</c:v>
                </c:pt>
                <c:pt idx="19">
                  <c:v>337.92</c:v>
                </c:pt>
              </c:numCache>
            </c:numRef>
          </c:val>
          <c:smooth val="0"/>
          <c:extLst>
            <c:ext xmlns:c16="http://schemas.microsoft.com/office/drawing/2014/chart" uri="{C3380CC4-5D6E-409C-BE32-E72D297353CC}">
              <c16:uniqueId val="{00000001-0693-4BF8-907A-5421070CD5F4}"/>
            </c:ext>
          </c:extLst>
        </c:ser>
        <c:ser>
          <c:idx val="2"/>
          <c:order val="2"/>
          <c:tx>
            <c:strRef>
              <c:f>'eTool Data Engine'!$E$16</c:f>
              <c:strCache>
                <c:ptCount val="1"/>
                <c:pt idx="0">
                  <c:v>Required Min. Bal. / Unit / Year</c:v>
                </c:pt>
              </c:strCache>
            </c:strRef>
          </c:tx>
          <c:spPr>
            <a:ln w="28575" cap="rnd">
              <a:solidFill>
                <a:schemeClr val="accent3"/>
              </a:solidFill>
              <a:round/>
            </a:ln>
            <a:effectLst/>
          </c:spPr>
          <c:marker>
            <c:symbol val="none"/>
          </c:marker>
          <c:val>
            <c:numRef>
              <c:f>'eTool Data Engine'!$F$16:$Y$16</c:f>
              <c:numCache>
                <c:formatCode>"$"#,##0_);[Red]\("$"#,##0\)</c:formatCode>
                <c:ptCount val="20"/>
                <c:pt idx="0">
                  <c:v>735.1964473684211</c:v>
                </c:pt>
                <c:pt idx="1">
                  <c:v>749.90037280701756</c:v>
                </c:pt>
                <c:pt idx="2">
                  <c:v>764.89837719298237</c:v>
                </c:pt>
                <c:pt idx="3">
                  <c:v>780.19635964912277</c:v>
                </c:pt>
                <c:pt idx="4">
                  <c:v>795.80028508771932</c:v>
                </c:pt>
                <c:pt idx="5">
                  <c:v>811.71629385964911</c:v>
                </c:pt>
                <c:pt idx="6">
                  <c:v>827.95061403508771</c:v>
                </c:pt>
                <c:pt idx="7">
                  <c:v>844.50962719298252</c:v>
                </c:pt>
                <c:pt idx="8">
                  <c:v>861.39982456140353</c:v>
                </c:pt>
                <c:pt idx="9">
                  <c:v>878.62780701754389</c:v>
                </c:pt>
                <c:pt idx="10">
                  <c:v>896.20037280701752</c:v>
                </c:pt>
                <c:pt idx="11">
                  <c:v>914.12436403508775</c:v>
                </c:pt>
                <c:pt idx="12">
                  <c:v>932.40686403508778</c:v>
                </c:pt>
                <c:pt idx="13">
                  <c:v>951.05500000000006</c:v>
                </c:pt>
                <c:pt idx="14">
                  <c:v>970.0760964912281</c:v>
                </c:pt>
                <c:pt idx="15">
                  <c:v>989.47763157894735</c:v>
                </c:pt>
                <c:pt idx="16">
                  <c:v>1009.2671710526316</c:v>
                </c:pt>
                <c:pt idx="17">
                  <c:v>1029.4525219298246</c:v>
                </c:pt>
                <c:pt idx="18">
                  <c:v>1050.0415570175439</c:v>
                </c:pt>
                <c:pt idx="19">
                  <c:v>1071.0423903508772</c:v>
                </c:pt>
              </c:numCache>
            </c:numRef>
          </c:val>
          <c:smooth val="0"/>
          <c:extLst>
            <c:ext xmlns:c16="http://schemas.microsoft.com/office/drawing/2014/chart" uri="{C3380CC4-5D6E-409C-BE32-E72D297353CC}">
              <c16:uniqueId val="{00000002-0693-4BF8-907A-5421070CD5F4}"/>
            </c:ext>
          </c:extLst>
        </c:ser>
        <c:dLbls>
          <c:showLegendKey val="0"/>
          <c:showVal val="0"/>
          <c:showCatName val="0"/>
          <c:showSerName val="0"/>
          <c:showPercent val="0"/>
          <c:showBubbleSize val="0"/>
        </c:dLbls>
        <c:smooth val="0"/>
        <c:axId val="442847464"/>
        <c:axId val="442843544"/>
      </c:lineChart>
      <c:catAx>
        <c:axId val="4428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843544"/>
        <c:crosses val="autoZero"/>
        <c:auto val="1"/>
        <c:lblAlgn val="ctr"/>
        <c:lblOffset val="100"/>
        <c:noMultiLvlLbl val="0"/>
      </c:catAx>
      <c:valAx>
        <c:axId val="4428435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2847464"/>
        <c:crosses val="autoZero"/>
        <c:crossBetween val="between"/>
      </c:valAx>
      <c:spPr>
        <a:solidFill>
          <a:schemeClr val="bg1">
            <a:lumMod val="95000"/>
          </a:schemeClr>
        </a:solidFill>
        <a:ln>
          <a:solidFill>
            <a:schemeClr val="bg1"/>
          </a:solidFill>
        </a:ln>
        <a:effectLst/>
      </c:spPr>
    </c:plotArea>
    <c:legend>
      <c:legendPos val="t"/>
      <c:layout>
        <c:manualLayout>
          <c:xMode val="edge"/>
          <c:yMode val="edge"/>
          <c:x val="0.2446378852628853"/>
          <c:y val="0.15454439559537661"/>
          <c:w val="0.54271966390110782"/>
          <c:h val="9.5688619426708518E-2"/>
        </c:manualLayout>
      </c:layout>
      <c:overlay val="0"/>
      <c:spPr>
        <a:solidFill>
          <a:schemeClr val="bg1"/>
        </a:solidFill>
        <a:ln>
          <a:solidFill>
            <a:srgbClr val="0070C0"/>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chemeClr val="bg1">
            <a:lumMod val="85000"/>
          </a:schemeClr>
        </a:gs>
        <a:gs pos="100000">
          <a:schemeClr val="bg1">
            <a:lumMod val="75000"/>
          </a:schemeClr>
        </a:gs>
      </a:gsLst>
      <a:lin ang="5400000" scaled="1"/>
    </a:gra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985892388451443"/>
          <c:y val="0.2587580198308545"/>
          <c:w val="0.84569663167104114"/>
          <c:h val="0.65699074074074071"/>
        </c:manualLayout>
      </c:layout>
      <c:barChart>
        <c:barDir val="col"/>
        <c:grouping val="clustered"/>
        <c:varyColors val="0"/>
        <c:ser>
          <c:idx val="0"/>
          <c:order val="0"/>
          <c:tx>
            <c:strRef>
              <c:f>'Trial Dep. Projections Sumry'!$C$62</c:f>
              <c:strCache>
                <c:ptCount val="1"/>
                <c:pt idx="0">
                  <c:v>Ratio of Period Needs vs. Total needs</c:v>
                </c:pt>
              </c:strCache>
            </c:strRef>
          </c:tx>
          <c:spPr>
            <a:solidFill>
              <a:schemeClr val="accent1"/>
            </a:solidFill>
            <a:ln>
              <a:noFill/>
            </a:ln>
            <a:effectLst/>
          </c:spPr>
          <c:invertIfNegative val="0"/>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A81-434D-B88D-9F71A0463A89}"/>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A81-434D-B88D-9F71A0463A89}"/>
                </c:ext>
              </c:extLst>
            </c:dLbl>
            <c:dLbl>
              <c:idx val="1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A81-434D-B88D-9F71A0463A89}"/>
                </c:ext>
              </c:extLst>
            </c:dLbl>
            <c:dLbl>
              <c:idx val="1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A81-434D-B88D-9F71A0463A8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'Trial Dep. Projections Sumry'!$I$62:$AB$62</c:f>
              <c:numCache>
                <c:formatCode>0.0%</c:formatCode>
                <c:ptCount val="20"/>
                <c:pt idx="0">
                  <c:v>0</c:v>
                </c:pt>
                <c:pt idx="1">
                  <c:v>0</c:v>
                </c:pt>
                <c:pt idx="2">
                  <c:v>4.1943373842739176E-2</c:v>
                </c:pt>
                <c:pt idx="3">
                  <c:v>3.4985595797526366E-2</c:v>
                </c:pt>
                <c:pt idx="4">
                  <c:v>6.2484218413683394E-2</c:v>
                </c:pt>
                <c:pt idx="5">
                  <c:v>5.7537798044759121E-2</c:v>
                </c:pt>
                <c:pt idx="6">
                  <c:v>5.1772418540372664E-2</c:v>
                </c:pt>
                <c:pt idx="7">
                  <c:v>3.3216496318797473E-2</c:v>
                </c:pt>
                <c:pt idx="8">
                  <c:v>2.7176872478987455E-2</c:v>
                </c:pt>
                <c:pt idx="9">
                  <c:v>4.3441694140851292E-2</c:v>
                </c:pt>
                <c:pt idx="10">
                  <c:v>0.10453105101035552</c:v>
                </c:pt>
                <c:pt idx="11">
                  <c:v>9.9119732297429583E-2</c:v>
                </c:pt>
                <c:pt idx="12">
                  <c:v>8.8496679766693939E-2</c:v>
                </c:pt>
                <c:pt idx="13">
                  <c:v>3.3606215023874737E-2</c:v>
                </c:pt>
                <c:pt idx="14">
                  <c:v>8.6254284625632949E-2</c:v>
                </c:pt>
                <c:pt idx="15">
                  <c:v>8.1442176379554337E-2</c:v>
                </c:pt>
                <c:pt idx="16">
                  <c:v>7.7161443728321649E-2</c:v>
                </c:pt>
                <c:pt idx="17">
                  <c:v>3.7498950000968929E-2</c:v>
                </c:pt>
                <c:pt idx="18">
                  <c:v>2.06025658937776E-2</c:v>
                </c:pt>
                <c:pt idx="19">
                  <c:v>1.8728433695673872E-2</c:v>
                </c:pt>
              </c:numCache>
            </c:numRef>
          </c:val>
          <c:extLst>
            <c:ext xmlns:c16="http://schemas.microsoft.com/office/drawing/2014/chart" uri="{C3380CC4-5D6E-409C-BE32-E72D297353CC}">
              <c16:uniqueId val="{00000000-2A81-434D-B88D-9F71A0463A89}"/>
            </c:ext>
          </c:extLst>
        </c:ser>
        <c:dLbls>
          <c:showLegendKey val="0"/>
          <c:showVal val="0"/>
          <c:showCatName val="0"/>
          <c:showSerName val="0"/>
          <c:showPercent val="0"/>
          <c:showBubbleSize val="0"/>
        </c:dLbls>
        <c:gapWidth val="219"/>
        <c:overlap val="-27"/>
        <c:axId val="519896568"/>
        <c:axId val="519896176"/>
      </c:barChart>
      <c:catAx>
        <c:axId val="519896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6176"/>
        <c:crosses val="autoZero"/>
        <c:auto val="1"/>
        <c:lblAlgn val="ctr"/>
        <c:lblOffset val="100"/>
        <c:noMultiLvlLbl val="0"/>
      </c:catAx>
      <c:valAx>
        <c:axId val="5198961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656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Annual RfR Sources</a:t>
            </a:r>
            <a:r>
              <a:rPr lang="en-US" baseline="0"/>
              <a:t> and Uses </a:t>
            </a:r>
            <a:r>
              <a:rPr lang="en-US"/>
              <a:t>Per Unit Analysis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985892388451443"/>
          <c:y val="0.19721055701370663"/>
          <c:w val="0.84569663167104114"/>
          <c:h val="0.77736111111111106"/>
        </c:manualLayout>
      </c:layout>
      <c:lineChart>
        <c:grouping val="standard"/>
        <c:varyColors val="0"/>
        <c:ser>
          <c:idx val="0"/>
          <c:order val="0"/>
          <c:tx>
            <c:strRef>
              <c:f>'Trial Dep. Projections Sumry'!$C$67</c:f>
              <c:strCache>
                <c:ptCount val="1"/>
                <c:pt idx="0">
                  <c:v>Annual Escalated Deposit per Unit</c:v>
                </c:pt>
              </c:strCache>
            </c:strRef>
          </c:tx>
          <c:spPr>
            <a:ln w="28575" cap="rnd">
              <a:solidFill>
                <a:schemeClr val="accent1"/>
              </a:solidFill>
              <a:round/>
            </a:ln>
            <a:effectLst/>
          </c:spPr>
          <c:marker>
            <c:symbol val="none"/>
          </c:marker>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DFE-43DD-9FD3-A2F3EB9C36A9}"/>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DFE-43DD-9FD3-A2F3EB9C36A9}"/>
                </c:ext>
              </c:extLst>
            </c:dLbl>
            <c:dLbl>
              <c:idx val="1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DFE-43DD-9FD3-A2F3EB9C36A9}"/>
                </c:ext>
              </c:extLst>
            </c:dLbl>
            <c:dLbl>
              <c:idx val="1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DFE-43DD-9FD3-A2F3EB9C36A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'Trial Dep. Projections Sumry'!$I$67:$AB$67</c:f>
              <c:numCache>
                <c:formatCode>"$"#,##0</c:formatCode>
                <c:ptCount val="20"/>
                <c:pt idx="0">
                  <c:v>556</c:v>
                </c:pt>
                <c:pt idx="1">
                  <c:v>567.12</c:v>
                </c:pt>
                <c:pt idx="2">
                  <c:v>578.4624</c:v>
                </c:pt>
                <c:pt idx="3">
                  <c:v>590.0316479999999</c:v>
                </c:pt>
                <c:pt idx="4">
                  <c:v>601.83228095999993</c:v>
                </c:pt>
                <c:pt idx="5">
                  <c:v>613.86892657920009</c:v>
                </c:pt>
                <c:pt idx="6">
                  <c:v>626.14630511078394</c:v>
                </c:pt>
                <c:pt idx="7">
                  <c:v>638.66923121299965</c:v>
                </c:pt>
                <c:pt idx="8">
                  <c:v>651.44261583725984</c:v>
                </c:pt>
                <c:pt idx="9">
                  <c:v>664.47146815400504</c:v>
                </c:pt>
                <c:pt idx="10">
                  <c:v>677.76089751708503</c:v>
                </c:pt>
                <c:pt idx="11">
                  <c:v>691.3161154674267</c:v>
                </c:pt>
                <c:pt idx="12">
                  <c:v>705.1424377767753</c:v>
                </c:pt>
                <c:pt idx="13">
                  <c:v>719.24528653231073</c:v>
                </c:pt>
                <c:pt idx="14">
                  <c:v>733.63019226295705</c:v>
                </c:pt>
                <c:pt idx="15">
                  <c:v>748.30279610821617</c:v>
                </c:pt>
                <c:pt idx="16">
                  <c:v>763.26885203038046</c:v>
                </c:pt>
                <c:pt idx="17">
                  <c:v>778.53422907098832</c:v>
                </c:pt>
                <c:pt idx="18">
                  <c:v>794.10491365240796</c:v>
                </c:pt>
                <c:pt idx="19">
                  <c:v>809.98701192545604</c:v>
                </c:pt>
              </c:numCache>
            </c:numRef>
          </c:val>
          <c:smooth val="0"/>
          <c:extLst>
            <c:ext xmlns:c16="http://schemas.microsoft.com/office/drawing/2014/chart" uri="{C3380CC4-5D6E-409C-BE32-E72D297353CC}">
              <c16:uniqueId val="{00000004-8DFE-43DD-9FD3-A2F3EB9C36A9}"/>
            </c:ext>
          </c:extLst>
        </c:ser>
        <c:ser>
          <c:idx val="1"/>
          <c:order val="1"/>
          <c:tx>
            <c:strRef>
              <c:f>'Trial Dep. Projections Sumry'!$C$69</c:f>
              <c:strCache>
                <c:ptCount val="1"/>
                <c:pt idx="0">
                  <c:v>Annual Inflated Needs per Unit</c:v>
                </c:pt>
              </c:strCache>
            </c:strRef>
          </c:tx>
          <c:spPr>
            <a:ln w="28575" cap="rnd">
              <a:solidFill>
                <a:schemeClr val="accent2"/>
              </a:solidFill>
              <a:round/>
            </a:ln>
            <a:effectLst/>
          </c:spPr>
          <c:marker>
            <c:symbol val="none"/>
          </c:marker>
          <c:val>
            <c:numRef>
              <c:f>'Trial Dep. Projections Sumry'!$I$69:$AB$69</c:f>
              <c:numCache>
                <c:formatCode>"$"#,##0</c:formatCode>
                <c:ptCount val="20"/>
                <c:pt idx="0">
                  <c:v>0</c:v>
                </c:pt>
                <c:pt idx="1">
                  <c:v>0</c:v>
                </c:pt>
                <c:pt idx="2">
                  <c:v>756.7860087719298</c:v>
                </c:pt>
                <c:pt idx="3">
                  <c:v>631.24653508771928</c:v>
                </c:pt>
                <c:pt idx="4">
                  <c:v>1127.4053070175439</c:v>
                </c:pt>
                <c:pt idx="5">
                  <c:v>1038.1568421052632</c:v>
                </c:pt>
                <c:pt idx="6">
                  <c:v>934.13186403508769</c:v>
                </c:pt>
                <c:pt idx="7">
                  <c:v>599.32660087719296</c:v>
                </c:pt>
                <c:pt idx="8">
                  <c:v>490.35342105263157</c:v>
                </c:pt>
                <c:pt idx="9">
                  <c:v>783.82026315789471</c:v>
                </c:pt>
                <c:pt idx="10">
                  <c:v>1886.0580263157894</c:v>
                </c:pt>
                <c:pt idx="11">
                  <c:v>1788.4213815789474</c:v>
                </c:pt>
                <c:pt idx="12">
                  <c:v>1596.7492105263159</c:v>
                </c:pt>
                <c:pt idx="13">
                  <c:v>606.35831140350876</c:v>
                </c:pt>
                <c:pt idx="14">
                  <c:v>1556.2895833333334</c:v>
                </c:pt>
                <c:pt idx="15">
                  <c:v>1469.4645175438595</c:v>
                </c:pt>
                <c:pt idx="16">
                  <c:v>1392.2270833333334</c:v>
                </c:pt>
                <c:pt idx="17">
                  <c:v>676.59508771929825</c:v>
                </c:pt>
                <c:pt idx="18">
                  <c:v>371.73293859649124</c:v>
                </c:pt>
                <c:pt idx="19">
                  <c:v>337.91789473684207</c:v>
                </c:pt>
              </c:numCache>
            </c:numRef>
          </c:val>
          <c:smooth val="0"/>
          <c:extLst>
            <c:ext xmlns:c16="http://schemas.microsoft.com/office/drawing/2014/chart" uri="{C3380CC4-5D6E-409C-BE32-E72D297353CC}">
              <c16:uniqueId val="{00000006-8DFE-43DD-9FD3-A2F3EB9C36A9}"/>
            </c:ext>
          </c:extLst>
        </c:ser>
        <c:ser>
          <c:idx val="2"/>
          <c:order val="2"/>
          <c:tx>
            <c:strRef>
              <c:f>'Trial Dep. Projections Sumry'!$C$70</c:f>
              <c:strCache>
                <c:ptCount val="1"/>
                <c:pt idx="0">
                  <c:v>Annual Minimum Balance per Unit</c:v>
                </c:pt>
              </c:strCache>
            </c:strRef>
          </c:tx>
          <c:spPr>
            <a:ln w="28575" cap="rnd">
              <a:solidFill>
                <a:schemeClr val="accent3"/>
              </a:solidFill>
              <a:round/>
            </a:ln>
            <a:effectLst/>
          </c:spPr>
          <c:marker>
            <c:symbol val="none"/>
          </c:marker>
          <c:val>
            <c:numRef>
              <c:f>'Trial Dep. Projections Sumry'!$I$70:$AB$70</c:f>
              <c:numCache>
                <c:formatCode>"$"#,##0</c:formatCode>
                <c:ptCount val="20"/>
                <c:pt idx="0">
                  <c:v>735.1964473684211</c:v>
                </c:pt>
                <c:pt idx="1">
                  <c:v>749.90037631578957</c:v>
                </c:pt>
                <c:pt idx="2">
                  <c:v>764.89838384210532</c:v>
                </c:pt>
                <c:pt idx="3">
                  <c:v>780.19635151894727</c:v>
                </c:pt>
                <c:pt idx="4">
                  <c:v>795.80027854932644</c:v>
                </c:pt>
                <c:pt idx="5">
                  <c:v>811.71628412031293</c:v>
                </c:pt>
                <c:pt idx="6">
                  <c:v>827.95060980271921</c:v>
                </c:pt>
                <c:pt idx="7">
                  <c:v>844.50962199877358</c:v>
                </c:pt>
                <c:pt idx="8">
                  <c:v>861.3998144387491</c:v>
                </c:pt>
                <c:pt idx="9">
                  <c:v>878.62781072752409</c:v>
                </c:pt>
                <c:pt idx="10">
                  <c:v>896.20036694207465</c:v>
                </c:pt>
                <c:pt idx="11">
                  <c:v>914.12437428091607</c:v>
                </c:pt>
                <c:pt idx="12">
                  <c:v>932.40686176653435</c:v>
                </c:pt>
                <c:pt idx="13">
                  <c:v>951.05499900186499</c:v>
                </c:pt>
                <c:pt idx="14">
                  <c:v>970.07609898190242</c:v>
                </c:pt>
                <c:pt idx="15">
                  <c:v>989.47762096154054</c:v>
                </c:pt>
                <c:pt idx="16">
                  <c:v>1009.2671733807714</c:v>
                </c:pt>
                <c:pt idx="17">
                  <c:v>1029.4525168483869</c:v>
                </c:pt>
                <c:pt idx="18">
                  <c:v>1050.0415671853546</c:v>
                </c:pt>
                <c:pt idx="19">
                  <c:v>1071.0423985290615</c:v>
                </c:pt>
              </c:numCache>
            </c:numRef>
          </c:val>
          <c:smooth val="0"/>
          <c:extLst>
            <c:ext xmlns:c16="http://schemas.microsoft.com/office/drawing/2014/chart" uri="{C3380CC4-5D6E-409C-BE32-E72D297353CC}">
              <c16:uniqueId val="{00000007-8DFE-43DD-9FD3-A2F3EB9C36A9}"/>
            </c:ext>
          </c:extLst>
        </c:ser>
        <c:ser>
          <c:idx val="3"/>
          <c:order val="3"/>
          <c:tx>
            <c:strRef>
              <c:f>'Trial Dep. Projections Sumry'!$C$68</c:f>
              <c:strCache>
                <c:ptCount val="1"/>
                <c:pt idx="0">
                  <c:v>Annual Transfers from Init. Dep. + Int. Inc.  per Unit</c:v>
                </c:pt>
              </c:strCache>
            </c:strRef>
          </c:tx>
          <c:spPr>
            <a:ln w="28575" cap="rnd">
              <a:solidFill>
                <a:schemeClr val="accent4"/>
              </a:solidFill>
              <a:round/>
            </a:ln>
            <a:effectLst/>
          </c:spPr>
          <c:marker>
            <c:symbol val="none"/>
          </c:marker>
          <c:val>
            <c:numRef>
              <c:f>'Trial Dep. Projections Sumry'!$I$68:$AB$68</c:f>
              <c:numCache>
                <c:formatCode>"$"#,##0</c:formatCode>
                <c:ptCount val="20"/>
                <c:pt idx="0">
                  <c:v>0</c:v>
                </c:pt>
                <c:pt idx="1">
                  <c:v>0</c:v>
                </c:pt>
                <c:pt idx="2">
                  <c:v>178.32360877192977</c:v>
                </c:pt>
                <c:pt idx="3">
                  <c:v>41.214887087719319</c:v>
                </c:pt>
                <c:pt idx="4">
                  <c:v>525.57302605754387</c:v>
                </c:pt>
                <c:pt idx="5">
                  <c:v>421.07001498743932</c:v>
                </c:pt>
                <c:pt idx="6">
                  <c:v>16.798531491920638</c:v>
                </c:pt>
                <c:pt idx="7">
                  <c:v>0</c:v>
                </c:pt>
                <c:pt idx="8">
                  <c:v>0</c:v>
                </c:pt>
                <c:pt idx="9">
                  <c:v>41.459826751961515</c:v>
                </c:pt>
                <c:pt idx="10">
                  <c:v>14.268868933462493</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8-8DFE-43DD-9FD3-A2F3EB9C36A9}"/>
            </c:ext>
          </c:extLst>
        </c:ser>
        <c:ser>
          <c:idx val="4"/>
          <c:order val="4"/>
          <c:tx>
            <c:strRef>
              <c:f>'Trial Dep. Projections Sumry'!$C$71</c:f>
              <c:strCache>
                <c:ptCount val="1"/>
                <c:pt idx="0">
                  <c:v>Annual RfR per Unit</c:v>
                </c:pt>
              </c:strCache>
            </c:strRef>
          </c:tx>
          <c:spPr>
            <a:ln w="28575" cap="rnd">
              <a:solidFill>
                <a:schemeClr val="accent5"/>
              </a:solidFill>
              <a:round/>
            </a:ln>
            <a:effectLst/>
          </c:spPr>
          <c:marker>
            <c:symbol val="none"/>
          </c:marker>
          <c:val>
            <c:numRef>
              <c:f>'Trial Dep. Projections Sumry'!$I$71:$AB$71</c:f>
              <c:numCache>
                <c:formatCode>"$"#,##0</c:formatCode>
                <c:ptCount val="20"/>
                <c:pt idx="0">
                  <c:v>1590.1979166666667</c:v>
                </c:pt>
                <c:pt idx="1">
                  <c:v>2173.2198958333333</c:v>
                </c:pt>
                <c:pt idx="2">
                  <c:v>2027.4945854989035</c:v>
                </c:pt>
                <c:pt idx="3">
                  <c:v>2016.6921171936679</c:v>
                </c:pt>
                <c:pt idx="4">
                  <c:v>1521.3694728940288</c:v>
                </c:pt>
                <c:pt idx="5">
                  <c:v>1119.9020994613761</c:v>
                </c:pt>
                <c:pt idx="6">
                  <c:v>828.71507202899295</c:v>
                </c:pt>
                <c:pt idx="7">
                  <c:v>880.4884284452346</c:v>
                </c:pt>
                <c:pt idx="8">
                  <c:v>1054.7849496565414</c:v>
                </c:pt>
                <c:pt idx="9">
                  <c:v>951.25792889749982</c:v>
                </c:pt>
                <c:pt idx="10">
                  <c:v>-242.77033096774207</c:v>
                </c:pt>
                <c:pt idx="11">
                  <c:v>-1339.8755970792629</c:v>
                </c:pt>
                <c:pt idx="12">
                  <c:v>-2231.4823698288033</c:v>
                </c:pt>
                <c:pt idx="13">
                  <c:v>-2118.5953947000012</c:v>
                </c:pt>
                <c:pt idx="14">
                  <c:v>-2941.2547857703776</c:v>
                </c:pt>
                <c:pt idx="15">
                  <c:v>-3662.4165072060209</c:v>
                </c:pt>
                <c:pt idx="16">
                  <c:v>-4291.3747385089737</c:v>
                </c:pt>
                <c:pt idx="17">
                  <c:v>-4189.4355971572832</c:v>
                </c:pt>
                <c:pt idx="18">
                  <c:v>-3767.0636221013669</c:v>
                </c:pt>
                <c:pt idx="19">
                  <c:v>-3294.9945049127527</c:v>
                </c:pt>
              </c:numCache>
            </c:numRef>
          </c:val>
          <c:smooth val="0"/>
          <c:extLst>
            <c:ext xmlns:c16="http://schemas.microsoft.com/office/drawing/2014/chart" uri="{C3380CC4-5D6E-409C-BE32-E72D297353CC}">
              <c16:uniqueId val="{00000000-EAD9-4C43-BAE6-E0759F7ECB6F}"/>
            </c:ext>
          </c:extLst>
        </c:ser>
        <c:dLbls>
          <c:showLegendKey val="0"/>
          <c:showVal val="0"/>
          <c:showCatName val="0"/>
          <c:showSerName val="0"/>
          <c:showPercent val="0"/>
          <c:showBubbleSize val="0"/>
        </c:dLbls>
        <c:smooth val="0"/>
        <c:axId val="519885592"/>
        <c:axId val="519885984"/>
      </c:lineChart>
      <c:catAx>
        <c:axId val="519885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85984"/>
        <c:crosses val="autoZero"/>
        <c:auto val="1"/>
        <c:lblAlgn val="ctr"/>
        <c:lblOffset val="100"/>
        <c:noMultiLvlLbl val="0"/>
      </c:catAx>
      <c:valAx>
        <c:axId val="51988598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8559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'Trial Dep. Projections Sumry'!$C$58</c:f>
              <c:strCache>
                <c:ptCount val="1"/>
                <c:pt idx="0">
                  <c:v>Ratio of Cumulative Total Flows into the RfR vs. Cumulative Inflated Needs</c:v>
                </c:pt>
              </c:strCache>
            </c:strRef>
          </c:tx>
          <c:spPr>
            <a:ln w="28575" cap="rnd">
              <a:solidFill>
                <a:schemeClr val="accent1"/>
              </a:solidFill>
              <a:round/>
            </a:ln>
            <a:effectLst/>
          </c:spPr>
          <c:marker>
            <c:symbol val="none"/>
          </c:marker>
          <c:val>
            <c:numRef>
              <c:f>'Trial Dep. Projections Sumry'!$I$58:$AB$58</c:f>
              <c:numCache>
                <c:formatCode>0.00%</c:formatCode>
                <c:ptCount val="20"/>
                <c:pt idx="0">
                  <c:v>0</c:v>
                </c:pt>
                <c:pt idx="1">
                  <c:v>0</c:v>
                </c:pt>
                <c:pt idx="2">
                  <c:v>2.6790857151138519</c:v>
                </c:pt>
                <c:pt idx="3">
                  <c:v>1.4529141453599705</c:v>
                </c:pt>
                <c:pt idx="4">
                  <c:v>0.60481298409479334</c:v>
                </c:pt>
                <c:pt idx="5">
                  <c:v>0.31514626630688314</c:v>
                </c:pt>
                <c:pt idx="6">
                  <c:v>0.18466255942735965</c:v>
                </c:pt>
                <c:pt idx="7">
                  <c:v>0.17308418078525079</c:v>
                </c:pt>
                <c:pt idx="8">
                  <c:v>0.18911745714181216</c:v>
                </c:pt>
                <c:pt idx="9">
                  <c:v>0.14954001052141019</c:v>
                </c:pt>
                <c:pt idx="10">
                  <c:v>-2.9436394503276397E-2</c:v>
                </c:pt>
                <c:pt idx="11">
                  <c:v>-0.13351084255572609</c:v>
                </c:pt>
                <c:pt idx="12">
                  <c:v>-0.19183244478357464</c:v>
                </c:pt>
                <c:pt idx="13">
                  <c:v>-0.17310463531678877</c:v>
                </c:pt>
                <c:pt idx="14">
                  <c:v>-0.21321005794771519</c:v>
                </c:pt>
                <c:pt idx="15">
                  <c:v>-0.2399292621791419</c:v>
                </c:pt>
                <c:pt idx="16">
                  <c:v>-0.2576350822477409</c:v>
                </c:pt>
                <c:pt idx="17">
                  <c:v>-0.24169741675209067</c:v>
                </c:pt>
                <c:pt idx="18">
                  <c:v>-0.21276687125156479</c:v>
                </c:pt>
                <c:pt idx="19">
                  <c:v>-0.18261858005751885</c:v>
                </c:pt>
              </c:numCache>
            </c:numRef>
          </c:val>
          <c:smooth val="0"/>
          <c:extLst>
            <c:ext xmlns:c16="http://schemas.microsoft.com/office/drawing/2014/chart" uri="{C3380CC4-5D6E-409C-BE32-E72D297353CC}">
              <c16:uniqueId val="{00000000-5527-429F-A55C-9AC5347E5CE6}"/>
            </c:ext>
          </c:extLst>
        </c:ser>
        <c:dLbls>
          <c:showLegendKey val="0"/>
          <c:showVal val="0"/>
          <c:showCatName val="0"/>
          <c:showSerName val="0"/>
          <c:showPercent val="0"/>
          <c:showBubbleSize val="0"/>
        </c:dLbls>
        <c:smooth val="0"/>
        <c:axId val="519886376"/>
        <c:axId val="519899704"/>
      </c:lineChart>
      <c:catAx>
        <c:axId val="519886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9704"/>
        <c:crosses val="autoZero"/>
        <c:auto val="1"/>
        <c:lblAlgn val="ctr"/>
        <c:lblOffset val="100"/>
        <c:noMultiLvlLbl val="0"/>
      </c:catAx>
      <c:valAx>
        <c:axId val="51989970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863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'Trial Dep. Projections Sumry'!$C$53</c:f>
              <c:strCache>
                <c:ptCount val="1"/>
                <c:pt idx="0">
                  <c:v>Cumulative Total Flows into RfR</c:v>
                </c:pt>
              </c:strCache>
            </c:strRef>
          </c:tx>
          <c:spPr>
            <a:ln w="28575" cap="rnd">
              <a:solidFill>
                <a:schemeClr val="accent1"/>
              </a:solidFill>
              <a:round/>
            </a:ln>
            <a:effectLst/>
          </c:spPr>
          <c:marker>
            <c:symbol val="none"/>
          </c:marker>
          <c:val>
            <c:numRef>
              <c:f>'Trial Dep. Projections Sumry'!$I$53:$AB$53</c:f>
              <c:numCache>
                <c:formatCode>"$"#,##0_);[Red]\("$"#,##0\)</c:formatCode>
                <c:ptCount val="20"/>
                <c:pt idx="0">
                  <c:v>725130.25</c:v>
                </c:pt>
                <c:pt idx="1">
                  <c:v>990988.27249999996</c:v>
                </c:pt>
                <c:pt idx="2">
                  <c:v>1269631.9509874999</c:v>
                </c:pt>
                <c:pt idx="3">
                  <c:v>1552554.4454403124</c:v>
                </c:pt>
                <c:pt idx="4">
                  <c:v>1840784.139639677</c:v>
                </c:pt>
                <c:pt idx="5">
                  <c:v>2131114.5373543873</c:v>
                </c:pt>
                <c:pt idx="6">
                  <c:v>2424297.3828452206</c:v>
                </c:pt>
                <c:pt idx="7">
                  <c:v>2721198.9633710268</c:v>
                </c:pt>
                <c:pt idx="8">
                  <c:v>3024279.3370433827</c:v>
                </c:pt>
                <c:pt idx="9">
                  <c:v>3334493.0555772595</c:v>
                </c:pt>
                <c:pt idx="10">
                  <c:v>3650058.6290787091</c:v>
                </c:pt>
                <c:pt idx="11">
                  <c:v>3965298.7777318554</c:v>
                </c:pt>
                <c:pt idx="12">
                  <c:v>4286843.7293580649</c:v>
                </c:pt>
                <c:pt idx="13">
                  <c:v>4614819.5800167983</c:v>
                </c:pt>
                <c:pt idx="14">
                  <c:v>4949354.9476887072</c:v>
                </c:pt>
                <c:pt idx="15">
                  <c:v>5290581.0227140542</c:v>
                </c:pt>
                <c:pt idx="16">
                  <c:v>5638631.6192399077</c:v>
                </c:pt>
                <c:pt idx="17">
                  <c:v>5993643.2276962781</c:v>
                </c:pt>
                <c:pt idx="18">
                  <c:v>6355755.0683217766</c:v>
                </c:pt>
                <c:pt idx="19">
                  <c:v>6725109.1457597846</c:v>
                </c:pt>
              </c:numCache>
            </c:numRef>
          </c:val>
          <c:smooth val="0"/>
          <c:extLst>
            <c:ext xmlns:c16="http://schemas.microsoft.com/office/drawing/2014/chart" uri="{C3380CC4-5D6E-409C-BE32-E72D297353CC}">
              <c16:uniqueId val="{00000000-A5BF-4C04-8F35-8CE9DCE836A0}"/>
            </c:ext>
          </c:extLst>
        </c:ser>
        <c:ser>
          <c:idx val="1"/>
          <c:order val="1"/>
          <c:tx>
            <c:strRef>
              <c:f>'Trial Dep. Projections Sumry'!$C$54</c:f>
              <c:strCache>
                <c:ptCount val="1"/>
                <c:pt idx="0">
                  <c:v>Cumulative Inflated Needs</c:v>
                </c:pt>
              </c:strCache>
            </c:strRef>
          </c:tx>
          <c:spPr>
            <a:ln w="28575" cap="rnd">
              <a:solidFill>
                <a:schemeClr val="accent2"/>
              </a:solidFill>
              <a:round/>
            </a:ln>
            <a:effectLst/>
          </c:spPr>
          <c:marker>
            <c:symbol val="none"/>
          </c:marker>
          <c:val>
            <c:numRef>
              <c:f>'Trial Dep. Projections Sumry'!$I$54:$AB$54</c:f>
              <c:numCache>
                <c:formatCode>"$"#,##0_);[Red]\("$"#,##0\)</c:formatCode>
                <c:ptCount val="20"/>
                <c:pt idx="0">
                  <c:v>0</c:v>
                </c:pt>
                <c:pt idx="1">
                  <c:v>0</c:v>
                </c:pt>
                <c:pt idx="2">
                  <c:v>-345094.42</c:v>
                </c:pt>
                <c:pt idx="3">
                  <c:v>-632942.84</c:v>
                </c:pt>
                <c:pt idx="4">
                  <c:v>-1147039.6599999999</c:v>
                </c:pt>
                <c:pt idx="5">
                  <c:v>-1620439.18</c:v>
                </c:pt>
                <c:pt idx="6">
                  <c:v>-2046403.31</c:v>
                </c:pt>
                <c:pt idx="7">
                  <c:v>-2319696.2400000002</c:v>
                </c:pt>
                <c:pt idx="8">
                  <c:v>-2543297.4000000004</c:v>
                </c:pt>
                <c:pt idx="9">
                  <c:v>-2900719.4400000004</c:v>
                </c:pt>
                <c:pt idx="10">
                  <c:v>-3760761.9000000004</c:v>
                </c:pt>
                <c:pt idx="11">
                  <c:v>-4576282.0500000007</c:v>
                </c:pt>
                <c:pt idx="12">
                  <c:v>-5304399.6900000004</c:v>
                </c:pt>
                <c:pt idx="13">
                  <c:v>-5580899.0800000001</c:v>
                </c:pt>
                <c:pt idx="14">
                  <c:v>-6290567.1299999999</c:v>
                </c:pt>
                <c:pt idx="15">
                  <c:v>-6960642.9500000002</c:v>
                </c:pt>
                <c:pt idx="16">
                  <c:v>-7595498.5</c:v>
                </c:pt>
                <c:pt idx="17">
                  <c:v>-7904025.8600000003</c:v>
                </c:pt>
                <c:pt idx="18">
                  <c:v>-8073536.0800000001</c:v>
                </c:pt>
                <c:pt idx="19">
                  <c:v>-8227626.6399999997</c:v>
                </c:pt>
              </c:numCache>
            </c:numRef>
          </c:val>
          <c:smooth val="0"/>
          <c:extLst>
            <c:ext xmlns:c16="http://schemas.microsoft.com/office/drawing/2014/chart" uri="{C3380CC4-5D6E-409C-BE32-E72D297353CC}">
              <c16:uniqueId val="{00000001-A5BF-4C04-8F35-8CE9DCE836A0}"/>
            </c:ext>
          </c:extLst>
        </c:ser>
        <c:dLbls>
          <c:showLegendKey val="0"/>
          <c:showVal val="0"/>
          <c:showCatName val="0"/>
          <c:showSerName val="0"/>
          <c:showPercent val="0"/>
          <c:showBubbleSize val="0"/>
        </c:dLbls>
        <c:smooth val="0"/>
        <c:axId val="519897352"/>
        <c:axId val="519898920"/>
      </c:lineChart>
      <c:catAx>
        <c:axId val="519897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8920"/>
        <c:crosses val="autoZero"/>
        <c:auto val="1"/>
        <c:lblAlgn val="ctr"/>
        <c:lblOffset val="100"/>
        <c:noMultiLvlLbl val="0"/>
      </c:catAx>
      <c:valAx>
        <c:axId val="51989892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73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853937007874016"/>
          <c:y val="0.17351975888497531"/>
          <c:w val="0.81812729658792649"/>
          <c:h val="0.70129870129870131"/>
        </c:manualLayout>
      </c:layout>
      <c:barChart>
        <c:barDir val="col"/>
        <c:grouping val="clustered"/>
        <c:varyColors val="0"/>
        <c:ser>
          <c:idx val="0"/>
          <c:order val="0"/>
          <c:tx>
            <c:strRef>
              <c:f>'Trial Dep. Projections Sumry'!$C$55</c:f>
              <c:strCache>
                <c:ptCount val="1"/>
                <c:pt idx="0">
                  <c:v>Cumulative Funding Surplus (Shortfall)</c:v>
                </c:pt>
              </c:strCache>
            </c:strRef>
          </c:tx>
          <c:spPr>
            <a:solidFill>
              <a:schemeClr val="accent1"/>
            </a:solidFill>
            <a:ln>
              <a:noFill/>
            </a:ln>
            <a:effectLst/>
          </c:spPr>
          <c:invertIfNegative val="0"/>
          <c:val>
            <c:numRef>
              <c:f>'Trial Dep. Projections Sumry'!$I$55:$AB$55</c:f>
              <c:numCache>
                <c:formatCode>"$"#,##0_);[Red]\("$"#,##0\)</c:formatCode>
                <c:ptCount val="20"/>
                <c:pt idx="0">
                  <c:v>725130.25</c:v>
                </c:pt>
                <c:pt idx="1">
                  <c:v>990988.27249999996</c:v>
                </c:pt>
                <c:pt idx="2">
                  <c:v>924537.53098749998</c:v>
                </c:pt>
                <c:pt idx="3">
                  <c:v>919611.60544031241</c:v>
                </c:pt>
                <c:pt idx="4">
                  <c:v>693744.4796396771</c:v>
                </c:pt>
                <c:pt idx="5">
                  <c:v>510675.35735438741</c:v>
                </c:pt>
                <c:pt idx="6">
                  <c:v>377894.07284522057</c:v>
                </c:pt>
                <c:pt idx="7">
                  <c:v>401502.72337102657</c:v>
                </c:pt>
                <c:pt idx="8">
                  <c:v>480981.93704338232</c:v>
                </c:pt>
                <c:pt idx="9">
                  <c:v>433773.6155772591</c:v>
                </c:pt>
                <c:pt idx="10">
                  <c:v>-110703.27092129132</c:v>
                </c:pt>
                <c:pt idx="11">
                  <c:v>-610983.27226814535</c:v>
                </c:pt>
                <c:pt idx="12">
                  <c:v>-1017555.9606419355</c:v>
                </c:pt>
                <c:pt idx="13">
                  <c:v>-966079.49998320173</c:v>
                </c:pt>
                <c:pt idx="14">
                  <c:v>-1341212.1823112927</c:v>
                </c:pt>
                <c:pt idx="15">
                  <c:v>-1670061.927285946</c:v>
                </c:pt>
                <c:pt idx="16">
                  <c:v>-1956866.8807600923</c:v>
                </c:pt>
                <c:pt idx="17">
                  <c:v>-1910382.6323037222</c:v>
                </c:pt>
                <c:pt idx="18">
                  <c:v>-1717781.0116782235</c:v>
                </c:pt>
                <c:pt idx="19">
                  <c:v>-1502517.494240215</c:v>
                </c:pt>
              </c:numCache>
            </c:numRef>
          </c:val>
          <c:extLst>
            <c:ext xmlns:c16="http://schemas.microsoft.com/office/drawing/2014/chart" uri="{C3380CC4-5D6E-409C-BE32-E72D297353CC}">
              <c16:uniqueId val="{00000000-01E9-46C7-97F0-CC94122CA856}"/>
            </c:ext>
          </c:extLst>
        </c:ser>
        <c:dLbls>
          <c:showLegendKey val="0"/>
          <c:showVal val="0"/>
          <c:showCatName val="0"/>
          <c:showSerName val="0"/>
          <c:showPercent val="0"/>
          <c:showBubbleSize val="0"/>
        </c:dLbls>
        <c:gapWidth val="219"/>
        <c:overlap val="-27"/>
        <c:axId val="519899312"/>
        <c:axId val="519900096"/>
      </c:barChart>
      <c:lineChart>
        <c:grouping val="standard"/>
        <c:varyColors val="0"/>
        <c:ser>
          <c:idx val="1"/>
          <c:order val="1"/>
          <c:tx>
            <c:strRef>
              <c:f>'Trial Dep. Projections Sumry'!$C$56</c:f>
              <c:strCache>
                <c:ptCount val="1"/>
                <c:pt idx="0">
                  <c:v>Change in Cumulative Funding Surplus (Shortfall)</c:v>
                </c:pt>
              </c:strCache>
            </c:strRef>
          </c:tx>
          <c:spPr>
            <a:ln w="28575" cap="rnd">
              <a:solidFill>
                <a:schemeClr val="accent2"/>
              </a:solidFill>
              <a:round/>
            </a:ln>
            <a:effectLst/>
          </c:spPr>
          <c:marker>
            <c:symbol val="none"/>
          </c:marker>
          <c:val>
            <c:numRef>
              <c:f>'Trial Dep. Projections Sumry'!$I$56:$AB$56</c:f>
              <c:numCache>
                <c:formatCode>"$"#,##0_);[Red]\("$"#,##0\)</c:formatCode>
                <c:ptCount val="20"/>
                <c:pt idx="1">
                  <c:v>265858.02249999996</c:v>
                </c:pt>
                <c:pt idx="2">
                  <c:v>-66450.741512499982</c:v>
                </c:pt>
                <c:pt idx="3">
                  <c:v>-4925.9255471875658</c:v>
                </c:pt>
                <c:pt idx="4">
                  <c:v>-225867.12580063532</c:v>
                </c:pt>
                <c:pt idx="5">
                  <c:v>-183069.12228528969</c:v>
                </c:pt>
                <c:pt idx="6">
                  <c:v>-132781.28450916684</c:v>
                </c:pt>
                <c:pt idx="7">
                  <c:v>23608.650525806006</c:v>
                </c:pt>
                <c:pt idx="8">
                  <c:v>79479.213672355749</c:v>
                </c:pt>
                <c:pt idx="9">
                  <c:v>-47208.32146612322</c:v>
                </c:pt>
                <c:pt idx="10">
                  <c:v>-544476.88649855042</c:v>
                </c:pt>
                <c:pt idx="11">
                  <c:v>-500280.00134685403</c:v>
                </c:pt>
                <c:pt idx="12">
                  <c:v>-406572.68837379012</c:v>
                </c:pt>
                <c:pt idx="13">
                  <c:v>51476.460658733733</c:v>
                </c:pt>
                <c:pt idx="14">
                  <c:v>-375132.682328091</c:v>
                </c:pt>
                <c:pt idx="15">
                  <c:v>-328849.74497465324</c:v>
                </c:pt>
                <c:pt idx="16">
                  <c:v>-286804.95347414631</c:v>
                </c:pt>
                <c:pt idx="17">
                  <c:v>46484.248456370085</c:v>
                </c:pt>
                <c:pt idx="18">
                  <c:v>192601.6206254987</c:v>
                </c:pt>
                <c:pt idx="19">
                  <c:v>215263.51743800845</c:v>
                </c:pt>
              </c:numCache>
            </c:numRef>
          </c:val>
          <c:smooth val="0"/>
          <c:extLst>
            <c:ext xmlns:c16="http://schemas.microsoft.com/office/drawing/2014/chart" uri="{C3380CC4-5D6E-409C-BE32-E72D297353CC}">
              <c16:uniqueId val="{00000001-01E9-46C7-97F0-CC94122CA856}"/>
            </c:ext>
          </c:extLst>
        </c:ser>
        <c:dLbls>
          <c:showLegendKey val="0"/>
          <c:showVal val="0"/>
          <c:showCatName val="0"/>
          <c:showSerName val="0"/>
          <c:showPercent val="0"/>
          <c:showBubbleSize val="0"/>
        </c:dLbls>
        <c:marker val="1"/>
        <c:smooth val="0"/>
        <c:axId val="519899312"/>
        <c:axId val="519900096"/>
      </c:lineChart>
      <c:catAx>
        <c:axId val="519899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900096"/>
        <c:crosses val="autoZero"/>
        <c:auto val="1"/>
        <c:lblAlgn val="ctr"/>
        <c:lblOffset val="100"/>
        <c:noMultiLvlLbl val="0"/>
      </c:catAx>
      <c:valAx>
        <c:axId val="51990009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8993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US" sz="1400" u="sng">
                <a:solidFill>
                  <a:schemeClr val="tx1">
                    <a:lumMod val="65000"/>
                    <a:lumOff val="35000"/>
                  </a:schemeClr>
                </a:solidFill>
              </a:rPr>
              <a:t>eTool Data Results:</a:t>
            </a:r>
            <a:r>
              <a:rPr lang="en-US" sz="1400" u="sng" baseline="0">
                <a:solidFill>
                  <a:schemeClr val="tx1">
                    <a:lumMod val="65000"/>
                    <a:lumOff val="35000"/>
                  </a:schemeClr>
                </a:solidFill>
              </a:rPr>
              <a:t> </a:t>
            </a:r>
          </a:p>
          <a:p>
            <a:pPr>
              <a:defRPr sz="1400">
                <a:solidFill>
                  <a:schemeClr val="tx1">
                    <a:lumMod val="65000"/>
                    <a:lumOff val="35000"/>
                  </a:schemeClr>
                </a:solidFill>
              </a:defRPr>
            </a:pPr>
            <a:r>
              <a:rPr lang="en-US" sz="1400" b="0">
                <a:solidFill>
                  <a:schemeClr val="tx1">
                    <a:lumMod val="65000"/>
                    <a:lumOff val="35000"/>
                  </a:schemeClr>
                </a:solidFill>
              </a:rPr>
              <a:t>Ending Balance vs. Required Minimum Balance</a:t>
            </a:r>
            <a:endParaRPr lang="en-US" sz="1400" b="0" baseline="0">
              <a:solidFill>
                <a:schemeClr val="tx1">
                  <a:lumMod val="65000"/>
                  <a:lumOff val="35000"/>
                </a:schemeClr>
              </a:solidFill>
            </a:endParaRPr>
          </a:p>
        </c:rich>
      </c:tx>
      <c:layout>
        <c:manualLayout>
          <c:xMode val="edge"/>
          <c:yMode val="edge"/>
          <c:x val="0.33150768590362217"/>
          <c:y val="2.6742020480606445E-2"/>
        </c:manualLayout>
      </c:layout>
      <c:overlay val="1"/>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235250075879842"/>
          <c:y val="0.16571446641887549"/>
          <c:w val="0.82158994684831266"/>
          <c:h val="0.55130911162501528"/>
        </c:manualLayout>
      </c:layout>
      <c:lineChart>
        <c:grouping val="standard"/>
        <c:varyColors val="0"/>
        <c:ser>
          <c:idx val="0"/>
          <c:order val="0"/>
          <c:tx>
            <c:strRef>
              <c:f>'Paste Financial Sched.'!$A$8</c:f>
              <c:strCache>
                <c:ptCount val="1"/>
                <c:pt idx="0">
                  <c:v>Ending Balance</c:v>
                </c:pt>
              </c:strCache>
            </c:strRef>
          </c:tx>
          <c:spPr>
            <a:ln w="28575" cap="rnd" cmpd="sng" algn="ctr">
              <a:solidFill>
                <a:schemeClr val="accent1">
                  <a:shade val="95000"/>
                  <a:satMod val="105000"/>
                </a:schemeClr>
              </a:solidFill>
              <a:prstDash val="solid"/>
              <a:round/>
            </a:ln>
            <a:effectLst/>
          </c:spPr>
          <c:marker>
            <c:symbol val="none"/>
          </c:marker>
          <c:cat>
            <c:strRef>
              <c:f>'Paste Financial Sched.'!$B$1:$U$1</c:f>
              <c:strCache>
                <c:ptCount val="20"/>
                <c:pt idx="0">
                  <c:v>Year 01</c:v>
                </c:pt>
                <c:pt idx="1">
                  <c:v>Year 02</c:v>
                </c:pt>
                <c:pt idx="2">
                  <c:v>Year 03</c:v>
                </c:pt>
                <c:pt idx="3">
                  <c:v>Year 04</c:v>
                </c:pt>
                <c:pt idx="4">
                  <c:v>Year 05</c:v>
                </c:pt>
                <c:pt idx="5">
                  <c:v>Year 06</c:v>
                </c:pt>
                <c:pt idx="6">
                  <c:v>Year 07</c:v>
                </c:pt>
                <c:pt idx="7">
                  <c:v>Year 08</c:v>
                </c:pt>
                <c:pt idx="8">
                  <c:v>Year 09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strCache>
            </c:strRef>
          </c:cat>
          <c:val>
            <c:numRef>
              <c:f>'Paste Financial Sched.'!$B$8:$U$8</c:f>
              <c:numCache>
                <c:formatCode>General</c:formatCode>
                <c:ptCount val="20"/>
                <c:pt idx="0">
                  <c:v>725130.25</c:v>
                </c:pt>
                <c:pt idx="1">
                  <c:v>990988.27</c:v>
                </c:pt>
                <c:pt idx="2">
                  <c:v>924537.53</c:v>
                </c:pt>
                <c:pt idx="3">
                  <c:v>919611.61</c:v>
                </c:pt>
                <c:pt idx="4">
                  <c:v>693744.48</c:v>
                </c:pt>
                <c:pt idx="5">
                  <c:v>510675.36</c:v>
                </c:pt>
                <c:pt idx="6">
                  <c:v>377894.07</c:v>
                </c:pt>
                <c:pt idx="7">
                  <c:v>401502.71999999997</c:v>
                </c:pt>
                <c:pt idx="8">
                  <c:v>480981.94</c:v>
                </c:pt>
                <c:pt idx="9">
                  <c:v>433773.62</c:v>
                </c:pt>
                <c:pt idx="10">
                  <c:v>-110703.27</c:v>
                </c:pt>
                <c:pt idx="11">
                  <c:v>-610983.27</c:v>
                </c:pt>
                <c:pt idx="12">
                  <c:v>-1017555.96</c:v>
                </c:pt>
                <c:pt idx="13">
                  <c:v>-966079.5</c:v>
                </c:pt>
                <c:pt idx="14">
                  <c:v>-1341212.18</c:v>
                </c:pt>
                <c:pt idx="15">
                  <c:v>-1670061.93</c:v>
                </c:pt>
                <c:pt idx="16">
                  <c:v>-1956866.88</c:v>
                </c:pt>
                <c:pt idx="17">
                  <c:v>-1910382.63</c:v>
                </c:pt>
                <c:pt idx="18">
                  <c:v>-1717781.01</c:v>
                </c:pt>
                <c:pt idx="19">
                  <c:v>-1502517.49</c:v>
                </c:pt>
              </c:numCache>
            </c:numRef>
          </c:val>
          <c:smooth val="0"/>
          <c:extLst xmlns:c15="http://schemas.microsoft.com/office/drawing/2012/chart">
            <c:ext xmlns:c16="http://schemas.microsoft.com/office/drawing/2014/chart" uri="{C3380CC4-5D6E-409C-BE32-E72D297353CC}">
              <c16:uniqueId val="{00000000-23E8-47C0-B847-D354912E73EF}"/>
            </c:ext>
          </c:extLst>
        </c:ser>
        <c:ser>
          <c:idx val="1"/>
          <c:order val="1"/>
          <c:tx>
            <c:strRef>
              <c:f>'Paste Financial Sched.'!$A$9</c:f>
              <c:strCache>
                <c:ptCount val="1"/>
                <c:pt idx="0">
                  <c:v>Required Minimum Balance</c:v>
                </c:pt>
              </c:strCache>
            </c:strRef>
          </c:tx>
          <c:spPr>
            <a:ln w="28575" cap="rnd" cmpd="sng" algn="ctr">
              <a:solidFill>
                <a:schemeClr val="accent3">
                  <a:shade val="95000"/>
                  <a:satMod val="105000"/>
                </a:schemeClr>
              </a:solidFill>
              <a:prstDash val="solid"/>
              <a:round/>
            </a:ln>
            <a:effectLst/>
          </c:spPr>
          <c:marker>
            <c:symbol val="none"/>
          </c:marker>
          <c:cat>
            <c:strRef>
              <c:f>'Paste Financial Sched.'!$B$1:$U$1</c:f>
              <c:strCache>
                <c:ptCount val="20"/>
                <c:pt idx="0">
                  <c:v>Year 01</c:v>
                </c:pt>
                <c:pt idx="1">
                  <c:v>Year 02</c:v>
                </c:pt>
                <c:pt idx="2">
                  <c:v>Year 03</c:v>
                </c:pt>
                <c:pt idx="3">
                  <c:v>Year 04</c:v>
                </c:pt>
                <c:pt idx="4">
                  <c:v>Year 05</c:v>
                </c:pt>
                <c:pt idx="5">
                  <c:v>Year 06</c:v>
                </c:pt>
                <c:pt idx="6">
                  <c:v>Year 07</c:v>
                </c:pt>
                <c:pt idx="7">
                  <c:v>Year 08</c:v>
                </c:pt>
                <c:pt idx="8">
                  <c:v>Year 09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strCache>
            </c:strRef>
          </c:cat>
          <c:val>
            <c:numRef>
              <c:f>'Paste Financial Sched.'!$B$9:$U$9</c:f>
              <c:numCache>
                <c:formatCode>General</c:formatCode>
                <c:ptCount val="20"/>
                <c:pt idx="0">
                  <c:v>335249.58</c:v>
                </c:pt>
                <c:pt idx="1">
                  <c:v>341954.57</c:v>
                </c:pt>
                <c:pt idx="2">
                  <c:v>348793.66</c:v>
                </c:pt>
                <c:pt idx="3">
                  <c:v>355769.54</c:v>
                </c:pt>
                <c:pt idx="4">
                  <c:v>362884.93</c:v>
                </c:pt>
                <c:pt idx="5">
                  <c:v>370142.63</c:v>
                </c:pt>
                <c:pt idx="6">
                  <c:v>377545.48</c:v>
                </c:pt>
                <c:pt idx="7">
                  <c:v>385096.39</c:v>
                </c:pt>
                <c:pt idx="8">
                  <c:v>392798.32</c:v>
                </c:pt>
                <c:pt idx="9">
                  <c:v>400654.28</c:v>
                </c:pt>
                <c:pt idx="10">
                  <c:v>408667.37</c:v>
                </c:pt>
                <c:pt idx="11">
                  <c:v>416840.71</c:v>
                </c:pt>
                <c:pt idx="12">
                  <c:v>425177.53</c:v>
                </c:pt>
                <c:pt idx="13">
                  <c:v>433681.08</c:v>
                </c:pt>
                <c:pt idx="14">
                  <c:v>442354.7</c:v>
                </c:pt>
                <c:pt idx="15">
                  <c:v>451201.8</c:v>
                </c:pt>
                <c:pt idx="16">
                  <c:v>460225.83</c:v>
                </c:pt>
                <c:pt idx="17">
                  <c:v>469430.35</c:v>
                </c:pt>
                <c:pt idx="18">
                  <c:v>478818.95</c:v>
                </c:pt>
                <c:pt idx="19">
                  <c:v>488395.33</c:v>
                </c:pt>
              </c:numCache>
            </c:numRef>
          </c:val>
          <c:smooth val="0"/>
          <c:extLst>
            <c:ext xmlns:c16="http://schemas.microsoft.com/office/drawing/2014/chart" uri="{C3380CC4-5D6E-409C-BE32-E72D297353CC}">
              <c16:uniqueId val="{00000001-23E8-47C0-B847-D354912E73EF}"/>
            </c:ext>
          </c:extLst>
        </c:ser>
        <c:dLbls>
          <c:showLegendKey val="0"/>
          <c:showVal val="0"/>
          <c:showCatName val="0"/>
          <c:showSerName val="0"/>
          <c:showPercent val="0"/>
          <c:showBubbleSize val="0"/>
        </c:dLbls>
        <c:smooth val="0"/>
        <c:axId val="442845504"/>
        <c:axId val="442852168"/>
        <c:extLst>
          <c:ext xmlns:c15="http://schemas.microsoft.com/office/drawing/2012/chart" uri="{02D57815-91ED-43cb-92C2-25804820EDAC}">
            <c15:filteredLineSeries>
              <c15:ser>
                <c:idx val="2"/>
                <c:order val="2"/>
                <c:tx>
                  <c:strRef>
                    <c:extLst>
                      <c:ext uri="{02D57815-91ED-43cb-92C2-25804820EDAC}">
                        <c15:formulaRef>
                          <c15:sqref>'eTool Data Engine'!$E$19</c15:sqref>
                        </c15:formulaRef>
                      </c:ext>
                    </c:extLst>
                    <c:strCache>
                      <c:ptCount val="1"/>
                      <c:pt idx="0">
                        <c:v>e-Tool data Total to Offset (Ending Bal. minus Req. Min.)</c:v>
                      </c:pt>
                    </c:strCache>
                  </c:strRef>
                </c:tx>
                <c:spPr>
                  <a:ln w="28575" cap="rnd" cmpd="sng" algn="ctr">
                    <a:solidFill>
                      <a:schemeClr val="accent5">
                        <a:shade val="95000"/>
                        <a:satMod val="105000"/>
                      </a:schemeClr>
                    </a:solidFill>
                    <a:prstDash val="solid"/>
                    <a:round/>
                  </a:ln>
                  <a:effectLst/>
                </c:spPr>
                <c:marker>
                  <c:symbol val="none"/>
                </c:marker>
                <c:cat>
                  <c:strRef>
                    <c:extLst>
                      <c:ext uri="{02D57815-91ED-43cb-92C2-25804820EDAC}">
                        <c15:formulaRef>
                          <c15:sqref>'Paste Financial Sched.'!$B$1:$U$1</c15:sqref>
                        </c15:formulaRef>
                      </c:ext>
                    </c:extLst>
                    <c:strCache>
                      <c:ptCount val="20"/>
                      <c:pt idx="0">
                        <c:v>Year 01</c:v>
                      </c:pt>
                      <c:pt idx="1">
                        <c:v>Year 02</c:v>
                      </c:pt>
                      <c:pt idx="2">
                        <c:v>Year 03</c:v>
                      </c:pt>
                      <c:pt idx="3">
                        <c:v>Year 04</c:v>
                      </c:pt>
                      <c:pt idx="4">
                        <c:v>Year 05</c:v>
                      </c:pt>
                      <c:pt idx="5">
                        <c:v>Year 06</c:v>
                      </c:pt>
                      <c:pt idx="6">
                        <c:v>Year 07</c:v>
                      </c:pt>
                      <c:pt idx="7">
                        <c:v>Year 08</c:v>
                      </c:pt>
                      <c:pt idx="8">
                        <c:v>Year 09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strCache>
                  </c:strRef>
                </c:cat>
                <c:val>
                  <c:numRef>
                    <c:extLst>
                      <c:ext uri="{02D57815-91ED-43cb-92C2-25804820EDAC}">
                        <c15:formulaRef>
                          <c15:sqref>'eTool Data Engine'!$F$19:$Y$19</c15:sqref>
                        </c15:formulaRef>
                      </c:ext>
                    </c:extLst>
                    <c:numCache>
                      <c:formatCode>"$"#,##0_);[Red]\("$"#,##0\)</c:formatCode>
                      <c:ptCount val="20"/>
                      <c:pt idx="0">
                        <c:v>389880.67</c:v>
                      </c:pt>
                      <c:pt idx="1">
                        <c:v>649033.69999999995</c:v>
                      </c:pt>
                      <c:pt idx="2">
                        <c:v>575743.87000000011</c:v>
                      </c:pt>
                      <c:pt idx="3">
                        <c:v>563842.07000000007</c:v>
                      </c:pt>
                      <c:pt idx="4">
                        <c:v>330859.55</c:v>
                      </c:pt>
                      <c:pt idx="5">
                        <c:v>140532.72999999998</c:v>
                      </c:pt>
                      <c:pt idx="6">
                        <c:v>348.59000000002561</c:v>
                      </c:pt>
                      <c:pt idx="7">
                        <c:v>16406.329999999958</c:v>
                      </c:pt>
                      <c:pt idx="8">
                        <c:v>88183.62</c:v>
                      </c:pt>
                      <c:pt idx="9">
                        <c:v>33119.339999999967</c:v>
                      </c:pt>
                      <c:pt idx="10">
                        <c:v>-519370.64</c:v>
                      </c:pt>
                      <c:pt idx="11">
                        <c:v>-1027823.98</c:v>
                      </c:pt>
                      <c:pt idx="12">
                        <c:v>-1442733.49</c:v>
                      </c:pt>
                      <c:pt idx="13">
                        <c:v>-1399760.58</c:v>
                      </c:pt>
                      <c:pt idx="14">
                        <c:v>-1783566.88</c:v>
                      </c:pt>
                      <c:pt idx="15">
                        <c:v>-2121263.73</c:v>
                      </c:pt>
                      <c:pt idx="16">
                        <c:v>-2417092.71</c:v>
                      </c:pt>
                      <c:pt idx="17">
                        <c:v>-2379812.98</c:v>
                      </c:pt>
                      <c:pt idx="18">
                        <c:v>-2196599.96</c:v>
                      </c:pt>
                      <c:pt idx="19">
                        <c:v>-1990912.82</c:v>
                      </c:pt>
                    </c:numCache>
                  </c:numRef>
                </c:val>
                <c:smooth val="0"/>
                <c:extLst>
                  <c:ext xmlns:c16="http://schemas.microsoft.com/office/drawing/2014/chart" uri="{C3380CC4-5D6E-409C-BE32-E72D297353CC}">
                    <c16:uniqueId val="{00000002-23E8-47C0-B847-D354912E73EF}"/>
                  </c:ext>
                </c:extLst>
              </c15:ser>
            </c15:filteredLineSeries>
          </c:ext>
        </c:extLst>
      </c:lineChart>
      <c:catAx>
        <c:axId val="442845504"/>
        <c:scaling>
          <c:orientation val="minMax"/>
        </c:scaling>
        <c:delete val="0"/>
        <c:axPos val="b"/>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442852168"/>
        <c:crosses val="autoZero"/>
        <c:auto val="1"/>
        <c:lblAlgn val="ctr"/>
        <c:lblOffset val="100"/>
        <c:noMultiLvlLbl val="0"/>
      </c:catAx>
      <c:valAx>
        <c:axId val="442852168"/>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quot;$&quot;#,##0_);[Red]\(&quot;$&quot;#,##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442845504"/>
        <c:crosses val="autoZero"/>
        <c:crossBetween val="between"/>
      </c:valAx>
      <c:spPr>
        <a:solidFill>
          <a:schemeClr val="bg1">
            <a:lumMod val="95000"/>
          </a:schemeClr>
        </a:solidFill>
        <a:ln>
          <a:solidFill>
            <a:schemeClr val="accent3">
              <a:shade val="95000"/>
              <a:satMod val="105000"/>
            </a:schemeClr>
          </a:solidFill>
          <a:prstDash val="sysDot"/>
        </a:ln>
        <a:effectLst/>
      </c:spPr>
    </c:plotArea>
    <c:legend>
      <c:legendPos val="r"/>
      <c:layout>
        <c:manualLayout>
          <c:xMode val="edge"/>
          <c:yMode val="edge"/>
          <c:x val="0.61721660226442709"/>
          <c:y val="0.86840572246259706"/>
          <c:w val="0.36102053904956982"/>
          <c:h val="9.9513909184664115E-2"/>
        </c:manualLayout>
      </c:layout>
      <c:overlay val="0"/>
      <c:spPr>
        <a:solidFill>
          <a:schemeClr val="bg1">
            <a:lumMod val="95000"/>
          </a:schemeClr>
        </a:solidFill>
        <a:ln>
          <a:solidFill>
            <a:srgbClr val="0070C0"/>
          </a:solid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showDLblsOverMax val="0"/>
  </c:chart>
  <c:spPr>
    <a:gradFill>
      <a:gsLst>
        <a:gs pos="0">
          <a:schemeClr val="bg1">
            <a:lumMod val="85000"/>
          </a:schemeClr>
        </a:gs>
        <a:gs pos="100000">
          <a:schemeClr val="bg1">
            <a:lumMod val="75000"/>
          </a:schemeClr>
        </a:gs>
      </a:gsLst>
      <a:lin ang="5400000" scaled="1"/>
    </a:gradFill>
    <a:ln w="9525" cap="flat" cmpd="sng" algn="ctr">
      <a:noFill/>
      <a:prstDash val="solid"/>
      <a:round/>
    </a:ln>
    <a:effectLst/>
  </c:spPr>
  <c:txPr>
    <a:bodyPr/>
    <a:lstStyle/>
    <a:p>
      <a:pPr>
        <a:defRPr/>
      </a:pPr>
      <a:endParaRPr lang="en-US"/>
    </a:p>
  </c:txPr>
  <c:printSettings>
    <c:headerFooter/>
    <c:pageMargins b="0.75000000000000078" l="0.70000000000000062" r="0.70000000000000062" t="0.75000000000000078" header="0.30000000000000032" footer="0.30000000000000032"/>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l"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400" u="sng"/>
              <a:t>Trial Deposits Amortization Test Results for Yr. 11+: </a:t>
            </a:r>
          </a:p>
          <a:p>
            <a:pPr marL="0" marR="0" lvl="0" indent="0" algn="l" defTabSz="914400" rtl="0" eaLnBrk="1" fontAlgn="auto" latinLnBrk="0" hangingPunct="1">
              <a:lnSpc>
                <a:spcPct val="100000"/>
              </a:lnSpc>
              <a:spcBef>
                <a:spcPts val="0"/>
              </a:spcBef>
              <a:spcAft>
                <a:spcPts val="0"/>
              </a:spcAft>
              <a:buClrTx/>
              <a:buSzTx/>
              <a:buFontTx/>
              <a:buNone/>
              <a:tabLst/>
              <a:defRPr sz="1400">
                <a:solidFill>
                  <a:sysClr val="windowText" lastClr="000000"/>
                </a:solidFill>
              </a:defRPr>
            </a:pPr>
            <a:r>
              <a:rPr lang="en-US" sz="1200"/>
              <a:t>Trial Deposits</a:t>
            </a:r>
            <a:r>
              <a:rPr lang="en-US" sz="1200" baseline="0"/>
              <a:t> RfR </a:t>
            </a:r>
            <a:r>
              <a:rPr lang="en-US" sz="1200"/>
              <a:t>Balance less Required Minimum Balance </a:t>
            </a:r>
          </a:p>
          <a:p>
            <a:pPr marL="0" marR="0" lvl="0" indent="0" algn="l" defTabSz="914400" rtl="0" eaLnBrk="1" fontAlgn="auto" latinLnBrk="0" hangingPunct="1">
              <a:lnSpc>
                <a:spcPct val="100000"/>
              </a:lnSpc>
              <a:spcBef>
                <a:spcPts val="0"/>
              </a:spcBef>
              <a:spcAft>
                <a:spcPts val="0"/>
              </a:spcAft>
              <a:buClrTx/>
              <a:buSzTx/>
              <a:buFontTx/>
              <a:buNone/>
              <a:tabLst/>
              <a:defRPr sz="1400">
                <a:solidFill>
                  <a:sysClr val="windowText" lastClr="000000"/>
                </a:solidFill>
              </a:defRPr>
            </a:pPr>
            <a:r>
              <a:rPr lang="en-US" sz="1200"/>
              <a:t>vs. Allowable Amortization Offset</a:t>
            </a:r>
          </a:p>
          <a:p>
            <a:pPr marL="0" marR="0" lvl="0" indent="0" algn="l" defTabSz="914400" rtl="0" eaLnBrk="1" fontAlgn="auto" latinLnBrk="0" hangingPunct="1">
              <a:lnSpc>
                <a:spcPct val="100000"/>
              </a:lnSpc>
              <a:spcBef>
                <a:spcPts val="0"/>
              </a:spcBef>
              <a:spcAft>
                <a:spcPts val="0"/>
              </a:spcAft>
              <a:buClrTx/>
              <a:buSzTx/>
              <a:buFontTx/>
              <a:buNone/>
              <a:tabLst/>
              <a:defRPr sz="1400">
                <a:solidFill>
                  <a:sysClr val="windowText" lastClr="000000"/>
                </a:solidFill>
              </a:defRPr>
            </a:pPr>
            <a:r>
              <a:rPr lang="en-US" sz="1200" b="1" i="0" baseline="0">
                <a:solidFill>
                  <a:srgbClr val="7030A0"/>
                </a:solidFill>
                <a:effectLst/>
              </a:rPr>
              <a:t>(Test is met if Purple Columns are taller than Orange Columns)</a:t>
            </a:r>
            <a:endParaRPr lang="en-US" sz="1200">
              <a:solidFill>
                <a:srgbClr val="7030A0"/>
              </a:solidFill>
              <a:effectLst/>
            </a:endParaRPr>
          </a:p>
          <a:p>
            <a:pPr marL="0" marR="0" lvl="0" indent="0" algn="l" defTabSz="914400" rtl="0" eaLnBrk="1" fontAlgn="auto" latinLnBrk="0" hangingPunct="1">
              <a:lnSpc>
                <a:spcPct val="100000"/>
              </a:lnSpc>
              <a:spcBef>
                <a:spcPts val="0"/>
              </a:spcBef>
              <a:spcAft>
                <a:spcPts val="0"/>
              </a:spcAft>
              <a:buClrTx/>
              <a:buSzTx/>
              <a:buFontTx/>
              <a:buNone/>
              <a:tabLst/>
              <a:defRPr sz="1400">
                <a:solidFill>
                  <a:sysClr val="windowText" lastClr="000000"/>
                </a:solidFill>
              </a:defRPr>
            </a:pPr>
            <a:endParaRPr lang="en-US" sz="1400"/>
          </a:p>
        </c:rich>
      </c:tx>
      <c:layout>
        <c:manualLayout>
          <c:xMode val="edge"/>
          <c:yMode val="edge"/>
          <c:x val="4.4997273183263971E-2"/>
          <c:y val="3.4766738023396887E-2"/>
        </c:manualLayout>
      </c:layout>
      <c:overlay val="1"/>
      <c:spPr>
        <a:noFill/>
        <a:ln>
          <a:noFill/>
        </a:ln>
        <a:effectLst/>
      </c:spPr>
      <c:txPr>
        <a:bodyPr rot="0" spcFirstLastPara="1" vertOverflow="ellipsis" vert="horz" wrap="square" anchor="ctr" anchorCtr="1"/>
        <a:lstStyle/>
        <a:p>
          <a:pPr marL="0" marR="0" lvl="0" indent="0" algn="l"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4349756280464943"/>
          <c:y val="0.36184871702807403"/>
          <c:w val="0.81895029086245696"/>
          <c:h val="0.55792080408525668"/>
        </c:manualLayout>
      </c:layout>
      <c:lineChart>
        <c:grouping val="standard"/>
        <c:varyColors val="0"/>
        <c:ser>
          <c:idx val="3"/>
          <c:order val="0"/>
          <c:tx>
            <c:strRef>
              <c:f>'eTool Data Engine'!$E$44</c:f>
              <c:strCache>
                <c:ptCount val="1"/>
                <c:pt idx="0">
                  <c:v>Allowance for RfR deficit offset @50.00%</c:v>
                </c:pt>
              </c:strCache>
            </c:strRef>
          </c:tx>
          <c:spPr>
            <a:ln w="28575" cap="rnd" cmpd="sng" algn="ctr">
              <a:solidFill>
                <a:schemeClr val="accent4">
                  <a:shade val="95000"/>
                  <a:satMod val="105000"/>
                </a:schemeClr>
              </a:solidFill>
              <a:prstDash val="solid"/>
              <a:round/>
            </a:ln>
            <a:effectLst/>
          </c:spPr>
          <c:marker>
            <c:symbol val="none"/>
          </c:marker>
          <c:val>
            <c:numRef>
              <c:f>'eTool Data Engine'!$F$44:$Y$44</c:f>
              <c:numCache>
                <c:formatCode>"$"#,##0_);[Red]\("$"#,##0\)</c:formatCode>
                <c:ptCount val="20"/>
                <c:pt idx="0">
                  <c:v>181059.54421445914</c:v>
                </c:pt>
                <c:pt idx="1">
                  <c:v>366697.80492419936</c:v>
                </c:pt>
                <c:pt idx="2">
                  <c:v>557030.57080434822</c:v>
                </c:pt>
                <c:pt idx="3">
                  <c:v>752176.5586469695</c:v>
                </c:pt>
                <c:pt idx="4">
                  <c:v>952257.4874086082</c:v>
                </c:pt>
                <c:pt idx="5">
                  <c:v>1157398.1541304141</c:v>
                </c:pt>
                <c:pt idx="6">
                  <c:v>1367726.5117781404</c:v>
                </c:pt>
                <c:pt idx="7">
                  <c:v>1583373.7490506023</c:v>
                </c:pt>
                <c:pt idx="8">
                  <c:v>1804474.3722063983</c:v>
                </c:pt>
                <c:pt idx="9">
                  <c:v>2031166.2889598487</c:v>
                </c:pt>
                <c:pt idx="10">
                  <c:v>2263590.8944985745</c:v>
                </c:pt>
                <c:pt idx="11">
                  <c:v>2501893.1596763274</c:v>
                </c:pt>
                <c:pt idx="12">
                  <c:v>2746221.7214360489</c:v>
                </c:pt>
                <c:pt idx="13">
                  <c:v>2996728.9755196162</c:v>
                </c:pt>
                <c:pt idx="14">
                  <c:v>3253571.1715220837</c:v>
                </c:pt>
                <c:pt idx="15">
                  <c:v>3516908.510349649</c:v>
                </c:pt>
                <c:pt idx="16">
                  <c:v>3786905.244142253</c:v>
                </c:pt>
                <c:pt idx="17">
                  <c:v>4063729.7787229968</c:v>
                </c:pt>
                <c:pt idx="18">
                  <c:v>4347554.7786384076</c:v>
                </c:pt>
                <c:pt idx="19">
                  <c:v>4638557.2748549618</c:v>
                </c:pt>
              </c:numCache>
            </c:numRef>
          </c:val>
          <c:smooth val="0"/>
          <c:extLst>
            <c:ext xmlns:c16="http://schemas.microsoft.com/office/drawing/2014/chart" uri="{C3380CC4-5D6E-409C-BE32-E72D297353CC}">
              <c16:uniqueId val="{00000000-4DE3-4923-916F-D68571C821AF}"/>
            </c:ext>
          </c:extLst>
        </c:ser>
        <c:ser>
          <c:idx val="4"/>
          <c:order val="1"/>
          <c:tx>
            <c:strRef>
              <c:f>'eTool Data Engine'!$E$58</c:f>
              <c:strCache>
                <c:ptCount val="1"/>
                <c:pt idx="0">
                  <c:v>Trial Deposit results Total to Offset (Ending Bal. minus Req. Min.)</c:v>
                </c:pt>
              </c:strCache>
            </c:strRef>
          </c:tx>
          <c:spPr>
            <a:ln w="28575" cap="rnd" cmpd="sng" algn="ctr">
              <a:solidFill>
                <a:srgbClr val="FFC000"/>
              </a:solidFill>
              <a:prstDash val="solid"/>
              <a:round/>
            </a:ln>
            <a:effectLst/>
          </c:spPr>
          <c:marker>
            <c:symbol val="none"/>
          </c:marker>
          <c:val>
            <c:numRef>
              <c:f>'eTool Data Engine'!$F$58:$Y$58</c:f>
              <c:numCache>
                <c:formatCode>"$"#,##0_);[Red]\("$"#,##0\)</c:formatCode>
                <c:ptCount val="20"/>
                <c:pt idx="0">
                  <c:v>-389880.67</c:v>
                </c:pt>
                <c:pt idx="1">
                  <c:v>-649033.7024999999</c:v>
                </c:pt>
                <c:pt idx="2">
                  <c:v>-575743.87098750006</c:v>
                </c:pt>
                <c:pt idx="3">
                  <c:v>-563842.06544031249</c:v>
                </c:pt>
                <c:pt idx="4">
                  <c:v>-330859.54963967711</c:v>
                </c:pt>
                <c:pt idx="5">
                  <c:v>-140532.7273543874</c:v>
                </c:pt>
                <c:pt idx="6">
                  <c:v>-348.59284522070084</c:v>
                </c:pt>
                <c:pt idx="7">
                  <c:v>-16406.333371026849</c:v>
                </c:pt>
                <c:pt idx="8">
                  <c:v>-88183.617043382663</c:v>
                </c:pt>
                <c:pt idx="9">
                  <c:v>-33119.335577259713</c:v>
                </c:pt>
                <c:pt idx="10">
                  <c:v>519370.64092129061</c:v>
                </c:pt>
                <c:pt idx="11">
                  <c:v>1027823.9822681441</c:v>
                </c:pt>
                <c:pt idx="12">
                  <c:v>1442733.4906419346</c:v>
                </c:pt>
                <c:pt idx="13">
                  <c:v>1399760.5799832009</c:v>
                </c:pt>
                <c:pt idx="14">
                  <c:v>1783566.8823112925</c:v>
                </c:pt>
                <c:pt idx="15">
                  <c:v>2121263.7272859458</c:v>
                </c:pt>
                <c:pt idx="16">
                  <c:v>2417092.7107600924</c:v>
                </c:pt>
                <c:pt idx="17">
                  <c:v>2379812.9823037218</c:v>
                </c:pt>
                <c:pt idx="18">
                  <c:v>2196599.9616782237</c:v>
                </c:pt>
                <c:pt idx="19">
                  <c:v>1990912.8242402158</c:v>
                </c:pt>
              </c:numCache>
            </c:numRef>
          </c:val>
          <c:smooth val="0"/>
          <c:extLst>
            <c:ext xmlns:c16="http://schemas.microsoft.com/office/drawing/2014/chart" uri="{C3380CC4-5D6E-409C-BE32-E72D297353CC}">
              <c16:uniqueId val="{00000001-4DE3-4923-916F-D68571C821AF}"/>
            </c:ext>
          </c:extLst>
        </c:ser>
        <c:dLbls>
          <c:showLegendKey val="0"/>
          <c:showVal val="0"/>
          <c:showCatName val="0"/>
          <c:showSerName val="0"/>
          <c:showPercent val="0"/>
          <c:showBubbleSize val="0"/>
        </c:dLbls>
        <c:smooth val="0"/>
        <c:axId val="442854128"/>
        <c:axId val="442851776"/>
      </c:lineChart>
      <c:catAx>
        <c:axId val="442854128"/>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2851776"/>
        <c:crosses val="autoZero"/>
        <c:auto val="1"/>
        <c:lblAlgn val="ctr"/>
        <c:lblOffset val="100"/>
        <c:noMultiLvlLbl val="0"/>
      </c:catAx>
      <c:valAx>
        <c:axId val="442851776"/>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quot;$&quot;#,##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2854128"/>
        <c:crosses val="autoZero"/>
        <c:crossBetween val="between"/>
      </c:valAx>
      <c:spPr>
        <a:solidFill>
          <a:schemeClr val="bg1">
            <a:lumMod val="95000"/>
          </a:schemeClr>
        </a:solidFill>
        <a:ln>
          <a:noFill/>
        </a:ln>
        <a:effectLst/>
      </c:spPr>
    </c:plotArea>
    <c:legend>
      <c:legendPos val="t"/>
      <c:layout>
        <c:manualLayout>
          <c:xMode val="edge"/>
          <c:yMode val="edge"/>
          <c:x val="0.65643167703903882"/>
          <c:y val="4.0915858407268094E-2"/>
          <c:w val="0.30493816167279936"/>
          <c:h val="0.28421115519231116"/>
        </c:manualLayout>
      </c:layout>
      <c:overlay val="1"/>
      <c:spPr>
        <a:solidFill>
          <a:schemeClr val="bg1"/>
        </a:solidFill>
        <a:ln>
          <a:solidFill>
            <a:schemeClr val="accent1"/>
          </a:solid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gradFill>
      <a:gsLst>
        <a:gs pos="0">
          <a:schemeClr val="bg1">
            <a:lumMod val="85000"/>
          </a:schemeClr>
        </a:gs>
        <a:gs pos="100000">
          <a:schemeClr val="bg1">
            <a:lumMod val="75000"/>
          </a:schemeClr>
        </a:gs>
      </a:gsLst>
      <a:lin ang="5400000" scaled="1"/>
    </a:gradFill>
    <a:ln w="19050" cap="flat" cmpd="sng" algn="ctr">
      <a:noFill/>
      <a:prstDash val="solid"/>
      <a:round/>
    </a:ln>
    <a:effectLst/>
  </c:spPr>
  <c:txPr>
    <a:bodyPr/>
    <a:lstStyle/>
    <a:p>
      <a:pPr>
        <a:defRPr/>
      </a:pPr>
      <a:endParaRPr lang="en-US"/>
    </a:p>
  </c:txPr>
  <c:printSettings>
    <c:headerFooter/>
    <c:pageMargins b="0.75000000000000033" l="0.70000000000000029" r="0.70000000000000029" t="0.75000000000000033" header="0.30000000000000016" footer="0.30000000000000016"/>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en-US" sz="1600" u="sng"/>
              <a:t>Trial</a:t>
            </a:r>
            <a:r>
              <a:rPr lang="en-US" sz="1600" u="sng" baseline="0"/>
              <a:t> Deposits </a:t>
            </a:r>
            <a:r>
              <a:rPr lang="en-US" sz="1600" u="sng"/>
              <a:t>Test Results: </a:t>
            </a:r>
          </a:p>
          <a:p>
            <a:pPr algn="l">
              <a:defRPr sz="1600"/>
            </a:pPr>
            <a:r>
              <a:rPr lang="en-US" sz="1200"/>
              <a:t>Trial Deposits RfR Balances vs.</a:t>
            </a:r>
            <a:r>
              <a:rPr lang="en-US" sz="1200" baseline="0"/>
              <a:t> </a:t>
            </a:r>
            <a:r>
              <a:rPr lang="en-US" sz="1200"/>
              <a:t>Required Minimum Balance</a:t>
            </a:r>
          </a:p>
          <a:p>
            <a:pPr algn="l">
              <a:defRPr sz="1600"/>
            </a:pPr>
            <a:r>
              <a:rPr lang="en-US" sz="1200">
                <a:solidFill>
                  <a:srgbClr val="0070C0"/>
                </a:solidFill>
              </a:rPr>
              <a:t>(Test is met if Blue Columns are taller</a:t>
            </a:r>
            <a:r>
              <a:rPr lang="en-US" sz="1200" baseline="0">
                <a:solidFill>
                  <a:srgbClr val="0070C0"/>
                </a:solidFill>
              </a:rPr>
              <a:t> than Green Columns)</a:t>
            </a:r>
            <a:r>
              <a:rPr lang="en-US" sz="1200">
                <a:solidFill>
                  <a:srgbClr val="0070C0"/>
                </a:solidFill>
              </a:rPr>
              <a:t> </a:t>
            </a:r>
          </a:p>
        </c:rich>
      </c:tx>
      <c:layout>
        <c:manualLayout>
          <c:xMode val="edge"/>
          <c:yMode val="edge"/>
          <c:x val="2.8862977139038983E-2"/>
          <c:y val="4.9139961384502787E-2"/>
        </c:manualLayout>
      </c:layout>
      <c:overlay val="1"/>
      <c:spPr>
        <a:ln w="28575"/>
      </c:spPr>
    </c:title>
    <c:autoTitleDeleted val="0"/>
    <c:plotArea>
      <c:layout>
        <c:manualLayout>
          <c:layoutTarget val="inner"/>
          <c:xMode val="edge"/>
          <c:yMode val="edge"/>
          <c:x val="0.12762467191601035"/>
          <c:y val="0.30234142540413972"/>
          <c:w val="0.83102038026894165"/>
          <c:h val="0.6174282864618662"/>
        </c:manualLayout>
      </c:layout>
      <c:lineChart>
        <c:grouping val="standard"/>
        <c:varyColors val="0"/>
        <c:ser>
          <c:idx val="0"/>
          <c:order val="0"/>
          <c:tx>
            <c:strRef>
              <c:f>'eTool Data Engine'!$E$46</c:f>
              <c:strCache>
                <c:ptCount val="1"/>
                <c:pt idx="0">
                  <c:v>Trial Deposit results Ending RfR Balance</c:v>
                </c:pt>
              </c:strCache>
            </c:strRef>
          </c:tx>
          <c:marker>
            <c:symbol val="none"/>
          </c:marker>
          <c:val>
            <c:numRef>
              <c:f>'eTool Data Engine'!$F$46:$Y$46</c:f>
              <c:numCache>
                <c:formatCode>"$"#,##0_);[Red]\("$"#,##0\)</c:formatCode>
                <c:ptCount val="20"/>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pt idx="10">
                  <c:v>-110703.27092129062</c:v>
                </c:pt>
                <c:pt idx="11">
                  <c:v>-610983.27226814406</c:v>
                </c:pt>
                <c:pt idx="12">
                  <c:v>-1017555.9606419345</c:v>
                </c:pt>
                <c:pt idx="13">
                  <c:v>-966079.49998320092</c:v>
                </c:pt>
                <c:pt idx="14">
                  <c:v>-1341212.1823112925</c:v>
                </c:pt>
                <c:pt idx="15">
                  <c:v>-1670061.927285946</c:v>
                </c:pt>
                <c:pt idx="16">
                  <c:v>-1956866.8807600925</c:v>
                </c:pt>
                <c:pt idx="17">
                  <c:v>-1910382.6323037217</c:v>
                </c:pt>
                <c:pt idx="18">
                  <c:v>-1717781.0116782237</c:v>
                </c:pt>
                <c:pt idx="19">
                  <c:v>-1502517.4942402157</c:v>
                </c:pt>
              </c:numCache>
            </c:numRef>
          </c:val>
          <c:smooth val="0"/>
          <c:extLst xmlns:c15="http://schemas.microsoft.com/office/drawing/2012/chart">
            <c:ext xmlns:c16="http://schemas.microsoft.com/office/drawing/2014/chart" uri="{C3380CC4-5D6E-409C-BE32-E72D297353CC}">
              <c16:uniqueId val="{00000000-34FA-44D3-8EE7-DE58C0FD9C2E}"/>
            </c:ext>
          </c:extLst>
        </c:ser>
        <c:ser>
          <c:idx val="1"/>
          <c:order val="2"/>
          <c:tx>
            <c:strRef>
              <c:f>'eTool Data Engine'!$E$56</c:f>
              <c:strCache>
                <c:ptCount val="1"/>
                <c:pt idx="0">
                  <c:v>Minimum Required Balance</c:v>
                </c:pt>
              </c:strCache>
            </c:strRef>
          </c:tx>
          <c:spPr>
            <a:ln>
              <a:solidFill>
                <a:srgbClr val="92D050"/>
              </a:solidFill>
            </a:ln>
          </c:spPr>
          <c:marker>
            <c:symbol val="none"/>
          </c:marker>
          <c:val>
            <c:numRef>
              <c:f>'eTool Data Engine'!$F$56:$Y$56</c:f>
              <c:numCache>
                <c:formatCode>"$"#,##0_);[Red]\("$"#,##0\)</c:formatCode>
                <c:ptCount val="20"/>
                <c:pt idx="0">
                  <c:v>335249.58</c:v>
                </c:pt>
                <c:pt idx="1">
                  <c:v>341954.57</c:v>
                </c:pt>
                <c:pt idx="2">
                  <c:v>348793.66</c:v>
                </c:pt>
                <c:pt idx="3">
                  <c:v>355769.54</c:v>
                </c:pt>
                <c:pt idx="4">
                  <c:v>362884.93</c:v>
                </c:pt>
                <c:pt idx="5">
                  <c:v>370142.63</c:v>
                </c:pt>
                <c:pt idx="6">
                  <c:v>377545.48</c:v>
                </c:pt>
                <c:pt idx="7">
                  <c:v>385096.39</c:v>
                </c:pt>
                <c:pt idx="8">
                  <c:v>392798.32</c:v>
                </c:pt>
                <c:pt idx="9">
                  <c:v>400654.28</c:v>
                </c:pt>
                <c:pt idx="10">
                  <c:v>408667.37</c:v>
                </c:pt>
                <c:pt idx="11">
                  <c:v>416840.71</c:v>
                </c:pt>
                <c:pt idx="12">
                  <c:v>425177.53</c:v>
                </c:pt>
                <c:pt idx="13">
                  <c:v>433681.08</c:v>
                </c:pt>
                <c:pt idx="14">
                  <c:v>442354.7</c:v>
                </c:pt>
                <c:pt idx="15">
                  <c:v>451201.8</c:v>
                </c:pt>
                <c:pt idx="16">
                  <c:v>460225.83</c:v>
                </c:pt>
                <c:pt idx="17">
                  <c:v>469430.35</c:v>
                </c:pt>
                <c:pt idx="18">
                  <c:v>478818.95</c:v>
                </c:pt>
                <c:pt idx="19">
                  <c:v>488395.33</c:v>
                </c:pt>
              </c:numCache>
            </c:numRef>
          </c:val>
          <c:smooth val="0"/>
          <c:extLst>
            <c:ext xmlns:c16="http://schemas.microsoft.com/office/drawing/2014/chart" uri="{C3380CC4-5D6E-409C-BE32-E72D297353CC}">
              <c16:uniqueId val="{00000001-34FA-44D3-8EE7-DE58C0FD9C2E}"/>
            </c:ext>
          </c:extLst>
        </c:ser>
        <c:dLbls>
          <c:showLegendKey val="0"/>
          <c:showVal val="0"/>
          <c:showCatName val="0"/>
          <c:showSerName val="0"/>
          <c:showPercent val="0"/>
          <c:showBubbleSize val="0"/>
        </c:dLbls>
        <c:smooth val="0"/>
        <c:axId val="442853344"/>
        <c:axId val="442852560"/>
        <c:extLst>
          <c:ext xmlns:c15="http://schemas.microsoft.com/office/drawing/2012/chart" uri="{02D57815-91ED-43cb-92C2-25804820EDAC}">
            <c15:filteredLineSeries>
              <c15:ser>
                <c:idx val="2"/>
                <c:order val="1"/>
                <c:tx>
                  <c:strRef>
                    <c:extLst>
                      <c:ext uri="{02D57815-91ED-43cb-92C2-25804820EDAC}">
                        <c15:formulaRef>
                          <c15:sqref>'eTool Data Engine'!$E$60</c15:sqref>
                        </c15:formulaRef>
                      </c:ext>
                    </c:extLst>
                    <c:strCache>
                      <c:ptCount val="1"/>
                    </c:strCache>
                  </c:strRef>
                </c:tx>
                <c:marker>
                  <c:symbol val="none"/>
                </c:marker>
                <c:val>
                  <c:numRef>
                    <c:extLst>
                      <c:ext uri="{02D57815-91ED-43cb-92C2-25804820EDAC}">
                        <c15:formulaRef>
                          <c15:sqref>'eTool Data Engine'!$F$60:$Y$60</c15:sqref>
                        </c15:formulaRef>
                      </c:ext>
                    </c:extLst>
                    <c:numCache>
                      <c:formatCode>"$"#,##0_);[Red]\("$"#,##0\)</c:formatCode>
                      <c:ptCount val="20"/>
                      <c:pt idx="9" formatCode="0.0%">
                        <c:v>0</c:v>
                      </c:pt>
                      <c:pt idx="10" formatCode="0.0%">
                        <c:v>0.36986570183021122</c:v>
                      </c:pt>
                      <c:pt idx="11" formatCode="0.0%">
                        <c:v>0.33188803985113091</c:v>
                      </c:pt>
                      <c:pt idx="12" formatCode="0.0%">
                        <c:v>0.30027610975090208</c:v>
                      </c:pt>
                      <c:pt idx="13" formatCode="0.0%">
                        <c:v>0.27356084876029357</c:v>
                      </c:pt>
                      <c:pt idx="14" formatCode="0.0%">
                        <c:v>0.25069292256225334</c:v>
                      </c:pt>
                      <c:pt idx="15" formatCode="0.0%">
                        <c:v>0.2309028158276146</c:v>
                      </c:pt>
                      <c:pt idx="16" formatCode="0.0%">
                        <c:v>0.21361338880132263</c:v>
                      </c:pt>
                      <c:pt idx="17" formatCode="0.0%">
                        <c:v>0.19838329627129678</c:v>
                      </c:pt>
                      <c:pt idx="18" formatCode="0.0%">
                        <c:v>0.18486926688222824</c:v>
                      </c:pt>
                      <c:pt idx="19" formatCode="0.0%">
                        <c:v>0.17280029424615637</c:v>
                      </c:pt>
                    </c:numCache>
                  </c:numRef>
                </c:val>
                <c:smooth val="0"/>
                <c:extLst>
                  <c:ext xmlns:c16="http://schemas.microsoft.com/office/drawing/2014/chart" uri="{C3380CC4-5D6E-409C-BE32-E72D297353CC}">
                    <c16:uniqueId val="{00000002-34FA-44D3-8EE7-DE58C0FD9C2E}"/>
                  </c:ext>
                </c:extLst>
              </c15:ser>
            </c15:filteredLineSeries>
          </c:ext>
        </c:extLst>
      </c:lineChart>
      <c:catAx>
        <c:axId val="442853344"/>
        <c:scaling>
          <c:orientation val="minMax"/>
        </c:scaling>
        <c:delete val="0"/>
        <c:axPos val="b"/>
        <c:numFmt formatCode="General" sourceLinked="0"/>
        <c:majorTickMark val="out"/>
        <c:minorTickMark val="none"/>
        <c:tickLblPos val="nextTo"/>
        <c:txPr>
          <a:bodyPr/>
          <a:lstStyle/>
          <a:p>
            <a:pPr>
              <a:defRPr sz="900" b="0"/>
            </a:pPr>
            <a:endParaRPr lang="en-US"/>
          </a:p>
        </c:txPr>
        <c:crossAx val="442852560"/>
        <c:crosses val="autoZero"/>
        <c:auto val="1"/>
        <c:lblAlgn val="ctr"/>
        <c:lblOffset val="100"/>
        <c:noMultiLvlLbl val="0"/>
      </c:catAx>
      <c:valAx>
        <c:axId val="442852560"/>
        <c:scaling>
          <c:orientation val="minMax"/>
        </c:scaling>
        <c:delete val="0"/>
        <c:axPos val="l"/>
        <c:majorGridlines/>
        <c:numFmt formatCode="&quot;$&quot;#,##0_);[Red]\(&quot;$&quot;#,##0\)" sourceLinked="1"/>
        <c:majorTickMark val="out"/>
        <c:minorTickMark val="none"/>
        <c:tickLblPos val="nextTo"/>
        <c:txPr>
          <a:bodyPr/>
          <a:lstStyle/>
          <a:p>
            <a:pPr>
              <a:defRPr sz="900"/>
            </a:pPr>
            <a:endParaRPr lang="en-US"/>
          </a:p>
        </c:txPr>
        <c:crossAx val="442853344"/>
        <c:crosses val="autoZero"/>
        <c:crossBetween val="between"/>
      </c:valAx>
      <c:spPr>
        <a:solidFill>
          <a:schemeClr val="bg1">
            <a:lumMod val="95000"/>
          </a:schemeClr>
        </a:solidFill>
      </c:spPr>
    </c:plotArea>
    <c:legend>
      <c:legendPos val="t"/>
      <c:layout>
        <c:manualLayout>
          <c:xMode val="edge"/>
          <c:yMode val="edge"/>
          <c:x val="0.66402886052641186"/>
          <c:y val="5.7528734110670277E-2"/>
          <c:w val="0.29828086155363875"/>
          <c:h val="0.19584336701697438"/>
        </c:manualLayout>
      </c:layout>
      <c:overlay val="1"/>
      <c:spPr>
        <a:solidFill>
          <a:schemeClr val="bg1"/>
        </a:solidFill>
        <a:ln>
          <a:solidFill>
            <a:schemeClr val="accent1"/>
          </a:solidFill>
        </a:ln>
      </c:spPr>
      <c:txPr>
        <a:bodyPr/>
        <a:lstStyle/>
        <a:p>
          <a:pPr>
            <a:defRPr sz="1000"/>
          </a:pPr>
          <a:endParaRPr lang="en-US"/>
        </a:p>
      </c:txPr>
    </c:legend>
    <c:plotVisOnly val="1"/>
    <c:dispBlanksAs val="gap"/>
    <c:showDLblsOverMax val="0"/>
  </c:chart>
  <c:spPr>
    <a:gradFill>
      <a:gsLst>
        <a:gs pos="0">
          <a:schemeClr val="bg1">
            <a:lumMod val="85000"/>
          </a:schemeClr>
        </a:gs>
        <a:gs pos="100000">
          <a:schemeClr val="bg1">
            <a:lumMod val="75000"/>
          </a:schemeClr>
        </a:gs>
      </a:gsLst>
      <a:lin ang="5400000" scaled="1"/>
    </a:gradFill>
    <a:ln w="19050">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600" b="1" i="0" u="none" strike="noStrike" kern="1200" cap="all" spc="120" normalizeH="0" baseline="0">
                <a:solidFill>
                  <a:schemeClr val="tx1">
                    <a:lumMod val="65000"/>
                    <a:lumOff val="35000"/>
                  </a:schemeClr>
                </a:solidFill>
                <a:latin typeface="+mn-lt"/>
                <a:ea typeface="+mn-ea"/>
                <a:cs typeface="+mn-cs"/>
              </a:defRPr>
            </a:pPr>
            <a:r>
              <a:rPr lang="en-US" sz="1400" b="1" u="sng" cap="none" spc="0" baseline="0">
                <a:solidFill>
                  <a:sysClr val="windowText" lastClr="000000"/>
                </a:solidFill>
              </a:rPr>
              <a:t>Trial Deposits Results:</a:t>
            </a:r>
          </a:p>
          <a:p>
            <a:pPr algn="l">
              <a:defRPr/>
            </a:pPr>
            <a:r>
              <a:rPr lang="en-US" sz="1200" b="1" cap="none" spc="0" baseline="0">
                <a:solidFill>
                  <a:sysClr val="windowText" lastClr="000000"/>
                </a:solidFill>
              </a:rPr>
              <a:t> Amortization Test Results for RY 11+</a:t>
            </a:r>
          </a:p>
          <a:p>
            <a:pPr algn="l">
              <a:defRPr/>
            </a:pPr>
            <a:r>
              <a:rPr lang="en-US" sz="1200" b="1" cap="none" spc="0" baseline="0">
                <a:solidFill>
                  <a:sysClr val="windowText" lastClr="000000"/>
                </a:solidFill>
              </a:rPr>
              <a:t>% of Amortization Required to Mitigate Trial Deposit Results RfR Shortfall vs. Required Minimum Balance</a:t>
            </a:r>
          </a:p>
        </c:rich>
      </c:tx>
      <c:layout>
        <c:manualLayout>
          <c:xMode val="edge"/>
          <c:yMode val="edge"/>
          <c:x val="6.6633981193936598E-2"/>
          <c:y val="5.7041670523144003E-2"/>
        </c:manualLayout>
      </c:layout>
      <c:overlay val="0"/>
      <c:spPr>
        <a:noFill/>
        <a:ln>
          <a:noFill/>
        </a:ln>
        <a:effectLst/>
      </c:spPr>
      <c:txPr>
        <a:bodyPr rot="0" spcFirstLastPara="1" vertOverflow="ellipsis" vert="horz" wrap="square" anchor="ctr" anchorCtr="1"/>
        <a:lstStyle/>
        <a:p>
          <a:pPr algn="l">
            <a:defRPr sz="1600" b="1" i="0" u="none" strike="noStrike" kern="1200" cap="all" spc="120" normalizeH="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6451431369566282E-2"/>
          <c:y val="0.34909409663408625"/>
          <c:w val="0.91614169882014918"/>
          <c:h val="0.52793421737726309"/>
        </c:manualLayout>
      </c:layout>
      <c:barChart>
        <c:barDir val="col"/>
        <c:grouping val="clustered"/>
        <c:varyColors val="0"/>
        <c:ser>
          <c:idx val="1"/>
          <c:order val="0"/>
          <c:tx>
            <c:strRef>
              <c:f>'eTool Data Engine'!$E$51</c:f>
              <c:strCache>
                <c:ptCount val="1"/>
                <c:pt idx="0">
                  <c:v>For graph: % of Amortztn Req. to Offset (Trial Deposit results Ending Bal. minus Req. Min.)</c:v>
                </c:pt>
              </c:strCache>
            </c:strRef>
          </c:tx>
          <c:spPr>
            <a:solidFill>
              <a:schemeClr val="accent2"/>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'eTool Data Engine'!$F$51:$Y$51</c:f>
              <c:numCache>
                <c:formatCode>0.0%</c:formatCode>
                <c:ptCount val="20"/>
                <c:pt idx="0">
                  <c:v>-1.0766642313486634</c:v>
                </c:pt>
                <c:pt idx="1">
                  <c:v>-0.88497080400326178</c:v>
                </c:pt>
                <c:pt idx="2">
                  <c:v>-0.51679737267932169</c:v>
                </c:pt>
                <c:pt idx="3">
                  <c:v>-0.37480699109698595</c:v>
                </c:pt>
                <c:pt idx="4">
                  <c:v>-0.17372378480323106</c:v>
                </c:pt>
                <c:pt idx="5">
                  <c:v>-6.0710623588290415E-2</c:v>
                </c:pt>
                <c:pt idx="6">
                  <c:v>-1.2743514226667496E-4</c:v>
                </c:pt>
                <c:pt idx="7">
                  <c:v>-5.1808151363075703E-3</c:v>
                </c:pt>
                <c:pt idx="8">
                  <c:v>-2.4434710296150467E-2</c:v>
                </c:pt>
                <c:pt idx="9">
                  <c:v>-8.1527878237433668E-3</c:v>
                </c:pt>
                <c:pt idx="10">
                  <c:v>0.11472272710222675</c:v>
                </c:pt>
                <c:pt idx="11">
                  <c:v>0.20540924745186059</c:v>
                </c:pt>
                <c:pt idx="12">
                  <c:v>0.26267607589373798</c:v>
                </c:pt>
                <c:pt idx="13">
                  <c:v>0.23354807715644191</c:v>
                </c:pt>
                <c:pt idx="14">
                  <c:v>0.27409372475428367</c:v>
                </c:pt>
                <c:pt idx="15">
                  <c:v>0.30158073789002987</c:v>
                </c:pt>
                <c:pt idx="16">
                  <c:v>0.31913826131495565</c:v>
                </c:pt>
                <c:pt idx="17">
                  <c:v>0.29281142102066199</c:v>
                </c:pt>
                <c:pt idx="18">
                  <c:v>0.25262475960868369</c:v>
                </c:pt>
                <c:pt idx="19">
                  <c:v>0.21460474736753871</c:v>
                </c:pt>
              </c:numCache>
            </c:numRef>
          </c:val>
          <c:extLst>
            <c:ext xmlns:c16="http://schemas.microsoft.com/office/drawing/2014/chart" uri="{C3380CC4-5D6E-409C-BE32-E72D297353CC}">
              <c16:uniqueId val="{00000000-A7CB-4C78-84A3-0D6DCADE2D77}"/>
            </c:ext>
          </c:extLst>
        </c:ser>
        <c:dLbls>
          <c:dLblPos val="outEnd"/>
          <c:showLegendKey val="0"/>
          <c:showVal val="1"/>
          <c:showCatName val="0"/>
          <c:showSerName val="0"/>
          <c:showPercent val="0"/>
          <c:showBubbleSize val="0"/>
        </c:dLbls>
        <c:gapWidth val="444"/>
        <c:overlap val="-90"/>
        <c:axId val="442850992"/>
        <c:axId val="516821664"/>
      </c:barChart>
      <c:catAx>
        <c:axId val="4428509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Relative Year</a:t>
                </a:r>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all" spc="120" normalizeH="0" baseline="0">
                <a:solidFill>
                  <a:schemeClr val="tx1">
                    <a:lumMod val="65000"/>
                    <a:lumOff val="35000"/>
                  </a:schemeClr>
                </a:solidFill>
                <a:latin typeface="+mn-lt"/>
                <a:ea typeface="+mn-ea"/>
                <a:cs typeface="+mn-cs"/>
              </a:defRPr>
            </a:pPr>
            <a:endParaRPr lang="en-US"/>
          </a:p>
        </c:txPr>
        <c:crossAx val="516821664"/>
        <c:crosses val="autoZero"/>
        <c:auto val="1"/>
        <c:lblAlgn val="ctr"/>
        <c:lblOffset val="200"/>
        <c:noMultiLvlLbl val="0"/>
      </c:catAx>
      <c:valAx>
        <c:axId val="516821664"/>
        <c:scaling>
          <c:orientation val="minMax"/>
        </c:scaling>
        <c:delete val="1"/>
        <c:axPos val="l"/>
        <c:numFmt formatCode="0%" sourceLinked="0"/>
        <c:majorTickMark val="none"/>
        <c:minorTickMark val="none"/>
        <c:tickLblPos val="nextTo"/>
        <c:crossAx val="442850992"/>
        <c:crosses val="autoZero"/>
        <c:crossBetween val="between"/>
      </c:valAx>
      <c:spPr>
        <a:solidFill>
          <a:schemeClr val="bg1">
            <a:lumMod val="95000"/>
          </a:schemeClr>
        </a:solidFill>
        <a:ln>
          <a:noFill/>
        </a:ln>
        <a:effectLst/>
      </c:spPr>
    </c:plotArea>
    <c:plotVisOnly val="1"/>
    <c:dispBlanksAs val="gap"/>
    <c:showDLblsOverMax val="0"/>
  </c:chart>
  <c:spPr>
    <a:gradFill>
      <a:gsLst>
        <a:gs pos="0">
          <a:schemeClr val="bg1">
            <a:lumMod val="85000"/>
          </a:schemeClr>
        </a:gs>
        <a:gs pos="100000">
          <a:schemeClr val="bg1">
            <a:lumMod val="75000"/>
          </a:schemeClr>
        </a:gs>
      </a:gsLst>
      <a:lin ang="5400000" scaled="1"/>
    </a:gra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800" b="0" i="0" u="none" strike="noStrike" kern="1200" spc="0" baseline="0">
                <a:solidFill>
                  <a:sysClr val="windowText" lastClr="000000"/>
                </a:solidFill>
                <a:latin typeface="+mn-lt"/>
                <a:ea typeface="+mn-ea"/>
                <a:cs typeface="+mn-cs"/>
              </a:defRPr>
            </a:pPr>
            <a:r>
              <a:rPr lang="en-US" sz="1400" b="1" u="sng" baseline="0">
                <a:solidFill>
                  <a:sysClr val="windowText" lastClr="000000"/>
                </a:solidFill>
                <a:latin typeface="+mn-lt"/>
              </a:rPr>
              <a:t>Trial Balance Results: </a:t>
            </a:r>
          </a:p>
          <a:p>
            <a:pPr algn="l">
              <a:defRPr sz="1800">
                <a:solidFill>
                  <a:sysClr val="windowText" lastClr="000000"/>
                </a:solidFill>
              </a:defRPr>
            </a:pPr>
            <a:r>
              <a:rPr lang="en-US" sz="1200" b="1" baseline="0">
                <a:solidFill>
                  <a:sysClr val="windowText" lastClr="000000"/>
                </a:solidFill>
                <a:latin typeface="+mn-lt"/>
              </a:rPr>
              <a:t>Annual RfR Sources and </a:t>
            </a:r>
          </a:p>
          <a:p>
            <a:pPr algn="l">
              <a:defRPr sz="1800">
                <a:solidFill>
                  <a:sysClr val="windowText" lastClr="000000"/>
                </a:solidFill>
              </a:defRPr>
            </a:pPr>
            <a:r>
              <a:rPr lang="en-US" sz="1200" b="1" baseline="0">
                <a:solidFill>
                  <a:sysClr val="windowText" lastClr="000000"/>
                </a:solidFill>
                <a:latin typeface="+mn-lt"/>
              </a:rPr>
              <a:t>Uses Per Unit Analysis</a:t>
            </a:r>
          </a:p>
        </c:rich>
      </c:tx>
      <c:layout>
        <c:manualLayout>
          <c:xMode val="edge"/>
          <c:yMode val="edge"/>
          <c:x val="5.3949456773598664E-2"/>
          <c:y val="5.1030530269121098E-2"/>
        </c:manualLayout>
      </c:layout>
      <c:overlay val="0"/>
      <c:spPr>
        <a:noFill/>
        <a:ln>
          <a:noFill/>
        </a:ln>
        <a:effectLst/>
      </c:spPr>
      <c:txPr>
        <a:bodyPr rot="0" spcFirstLastPara="1" vertOverflow="ellipsis" vert="horz" wrap="square" anchor="ctr" anchorCtr="1"/>
        <a:lstStyle/>
        <a:p>
          <a:pPr algn="l">
            <a:defRPr sz="18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0229913782635686"/>
          <c:y val="0.38345874575243988"/>
          <c:w val="0.85500901710632549"/>
          <c:h val="0.49069596374798463"/>
        </c:manualLayout>
      </c:layout>
      <c:lineChart>
        <c:grouping val="standard"/>
        <c:varyColors val="0"/>
        <c:ser>
          <c:idx val="0"/>
          <c:order val="0"/>
          <c:tx>
            <c:strRef>
              <c:f>'Trial Dep. Projections Sumry'!$C$67</c:f>
              <c:strCache>
                <c:ptCount val="1"/>
                <c:pt idx="0">
                  <c:v>Annual Escalated Deposit per Unit</c:v>
                </c:pt>
              </c:strCache>
            </c:strRef>
          </c:tx>
          <c:spPr>
            <a:ln w="28575" cap="rnd">
              <a:solidFill>
                <a:schemeClr val="accent1"/>
              </a:solidFill>
              <a:round/>
            </a:ln>
            <a:effectLst/>
          </c:spPr>
          <c:marker>
            <c:symbol val="none"/>
          </c:marker>
          <c:val>
            <c:numRef>
              <c:f>'Trial Dep. Projections Sumry'!$I$67:$AB$67</c:f>
              <c:numCache>
                <c:formatCode>"$"#,##0</c:formatCode>
                <c:ptCount val="20"/>
                <c:pt idx="0">
                  <c:v>556</c:v>
                </c:pt>
                <c:pt idx="1">
                  <c:v>567.12</c:v>
                </c:pt>
                <c:pt idx="2">
                  <c:v>578.4624</c:v>
                </c:pt>
                <c:pt idx="3">
                  <c:v>590.0316479999999</c:v>
                </c:pt>
                <c:pt idx="4">
                  <c:v>601.83228095999993</c:v>
                </c:pt>
                <c:pt idx="5">
                  <c:v>613.86892657920009</c:v>
                </c:pt>
                <c:pt idx="6">
                  <c:v>626.14630511078394</c:v>
                </c:pt>
                <c:pt idx="7">
                  <c:v>638.66923121299965</c:v>
                </c:pt>
                <c:pt idx="8">
                  <c:v>651.44261583725984</c:v>
                </c:pt>
                <c:pt idx="9">
                  <c:v>664.47146815400504</c:v>
                </c:pt>
                <c:pt idx="10">
                  <c:v>677.76089751708503</c:v>
                </c:pt>
                <c:pt idx="11">
                  <c:v>691.3161154674267</c:v>
                </c:pt>
                <c:pt idx="12">
                  <c:v>705.1424377767753</c:v>
                </c:pt>
                <c:pt idx="13">
                  <c:v>719.24528653231073</c:v>
                </c:pt>
                <c:pt idx="14">
                  <c:v>733.63019226295705</c:v>
                </c:pt>
                <c:pt idx="15">
                  <c:v>748.30279610821617</c:v>
                </c:pt>
                <c:pt idx="16">
                  <c:v>763.26885203038046</c:v>
                </c:pt>
                <c:pt idx="17">
                  <c:v>778.53422907098832</c:v>
                </c:pt>
                <c:pt idx="18">
                  <c:v>794.10491365240796</c:v>
                </c:pt>
                <c:pt idx="19">
                  <c:v>809.98701192545604</c:v>
                </c:pt>
              </c:numCache>
            </c:numRef>
          </c:val>
          <c:smooth val="0"/>
          <c:extLst>
            <c:ext xmlns:c16="http://schemas.microsoft.com/office/drawing/2014/chart" uri="{C3380CC4-5D6E-409C-BE32-E72D297353CC}">
              <c16:uniqueId val="{00000000-1B62-45E6-AA49-B813A0C19C30}"/>
            </c:ext>
          </c:extLst>
        </c:ser>
        <c:ser>
          <c:idx val="1"/>
          <c:order val="1"/>
          <c:tx>
            <c:strRef>
              <c:f>'Trial Dep. Projections Sumry'!$C$69</c:f>
              <c:strCache>
                <c:ptCount val="1"/>
                <c:pt idx="0">
                  <c:v>Annual Inflated Needs per Unit</c:v>
                </c:pt>
              </c:strCache>
            </c:strRef>
          </c:tx>
          <c:spPr>
            <a:ln w="28575" cap="rnd">
              <a:solidFill>
                <a:schemeClr val="accent2"/>
              </a:solidFill>
              <a:round/>
            </a:ln>
            <a:effectLst/>
          </c:spPr>
          <c:marker>
            <c:symbol val="none"/>
          </c:marker>
          <c:val>
            <c:numRef>
              <c:f>'Trial Dep. Projections Sumry'!$I$69:$AB$69</c:f>
              <c:numCache>
                <c:formatCode>"$"#,##0</c:formatCode>
                <c:ptCount val="20"/>
                <c:pt idx="0">
                  <c:v>0</c:v>
                </c:pt>
                <c:pt idx="1">
                  <c:v>0</c:v>
                </c:pt>
                <c:pt idx="2">
                  <c:v>756.7860087719298</c:v>
                </c:pt>
                <c:pt idx="3">
                  <c:v>631.24653508771928</c:v>
                </c:pt>
                <c:pt idx="4">
                  <c:v>1127.4053070175439</c:v>
                </c:pt>
                <c:pt idx="5">
                  <c:v>1038.1568421052632</c:v>
                </c:pt>
                <c:pt idx="6">
                  <c:v>934.13186403508769</c:v>
                </c:pt>
                <c:pt idx="7">
                  <c:v>599.32660087719296</c:v>
                </c:pt>
                <c:pt idx="8">
                  <c:v>490.35342105263157</c:v>
                </c:pt>
                <c:pt idx="9">
                  <c:v>783.82026315789471</c:v>
                </c:pt>
                <c:pt idx="10">
                  <c:v>1886.0580263157894</c:v>
                </c:pt>
                <c:pt idx="11">
                  <c:v>1788.4213815789474</c:v>
                </c:pt>
                <c:pt idx="12">
                  <c:v>1596.7492105263159</c:v>
                </c:pt>
                <c:pt idx="13">
                  <c:v>606.35831140350876</c:v>
                </c:pt>
                <c:pt idx="14">
                  <c:v>1556.2895833333334</c:v>
                </c:pt>
                <c:pt idx="15">
                  <c:v>1469.4645175438595</c:v>
                </c:pt>
                <c:pt idx="16">
                  <c:v>1392.2270833333334</c:v>
                </c:pt>
                <c:pt idx="17">
                  <c:v>676.59508771929825</c:v>
                </c:pt>
                <c:pt idx="18">
                  <c:v>371.73293859649124</c:v>
                </c:pt>
                <c:pt idx="19">
                  <c:v>337.91789473684207</c:v>
                </c:pt>
              </c:numCache>
            </c:numRef>
          </c:val>
          <c:smooth val="0"/>
          <c:extLst>
            <c:ext xmlns:c16="http://schemas.microsoft.com/office/drawing/2014/chart" uri="{C3380CC4-5D6E-409C-BE32-E72D297353CC}">
              <c16:uniqueId val="{00000001-1B62-45E6-AA49-B813A0C19C30}"/>
            </c:ext>
          </c:extLst>
        </c:ser>
        <c:ser>
          <c:idx val="2"/>
          <c:order val="2"/>
          <c:tx>
            <c:strRef>
              <c:f>'Trial Dep. Projections Sumry'!$C$70</c:f>
              <c:strCache>
                <c:ptCount val="1"/>
                <c:pt idx="0">
                  <c:v>Annual Minimum Balance per Unit</c:v>
                </c:pt>
              </c:strCache>
            </c:strRef>
          </c:tx>
          <c:spPr>
            <a:ln w="28575" cap="rnd">
              <a:solidFill>
                <a:schemeClr val="accent3"/>
              </a:solidFill>
              <a:round/>
            </a:ln>
            <a:effectLst/>
          </c:spPr>
          <c:marker>
            <c:symbol val="none"/>
          </c:marker>
          <c:val>
            <c:numRef>
              <c:f>'Trial Dep. Projections Sumry'!$I$70:$AB$70</c:f>
              <c:numCache>
                <c:formatCode>"$"#,##0</c:formatCode>
                <c:ptCount val="20"/>
                <c:pt idx="0">
                  <c:v>735.1964473684211</c:v>
                </c:pt>
                <c:pt idx="1">
                  <c:v>749.90037631578957</c:v>
                </c:pt>
                <c:pt idx="2">
                  <c:v>764.89838384210532</c:v>
                </c:pt>
                <c:pt idx="3">
                  <c:v>780.19635151894727</c:v>
                </c:pt>
                <c:pt idx="4">
                  <c:v>795.80027854932644</c:v>
                </c:pt>
                <c:pt idx="5">
                  <c:v>811.71628412031293</c:v>
                </c:pt>
                <c:pt idx="6">
                  <c:v>827.95060980271921</c:v>
                </c:pt>
                <c:pt idx="7">
                  <c:v>844.50962199877358</c:v>
                </c:pt>
                <c:pt idx="8">
                  <c:v>861.3998144387491</c:v>
                </c:pt>
                <c:pt idx="9">
                  <c:v>878.62781072752409</c:v>
                </c:pt>
                <c:pt idx="10">
                  <c:v>896.20036694207465</c:v>
                </c:pt>
                <c:pt idx="11">
                  <c:v>914.12437428091607</c:v>
                </c:pt>
                <c:pt idx="12">
                  <c:v>932.40686176653435</c:v>
                </c:pt>
                <c:pt idx="13">
                  <c:v>951.05499900186499</c:v>
                </c:pt>
                <c:pt idx="14">
                  <c:v>970.07609898190242</c:v>
                </c:pt>
                <c:pt idx="15">
                  <c:v>989.47762096154054</c:v>
                </c:pt>
                <c:pt idx="16">
                  <c:v>1009.2671733807714</c:v>
                </c:pt>
                <c:pt idx="17">
                  <c:v>1029.4525168483869</c:v>
                </c:pt>
                <c:pt idx="18">
                  <c:v>1050.0415671853546</c:v>
                </c:pt>
                <c:pt idx="19">
                  <c:v>1071.0423985290615</c:v>
                </c:pt>
              </c:numCache>
            </c:numRef>
          </c:val>
          <c:smooth val="0"/>
          <c:extLst>
            <c:ext xmlns:c16="http://schemas.microsoft.com/office/drawing/2014/chart" uri="{C3380CC4-5D6E-409C-BE32-E72D297353CC}">
              <c16:uniqueId val="{00000002-1B62-45E6-AA49-B813A0C19C30}"/>
            </c:ext>
          </c:extLst>
        </c:ser>
        <c:ser>
          <c:idx val="3"/>
          <c:order val="3"/>
          <c:tx>
            <c:strRef>
              <c:f>'Trial Dep. Projections Sumry'!$C$68</c:f>
              <c:strCache>
                <c:ptCount val="1"/>
                <c:pt idx="0">
                  <c:v>Annual Transfers from Init. Dep. + Int. Inc.  per Unit</c:v>
                </c:pt>
              </c:strCache>
            </c:strRef>
          </c:tx>
          <c:spPr>
            <a:ln w="28575" cap="rnd">
              <a:solidFill>
                <a:schemeClr val="accent1">
                  <a:lumMod val="60000"/>
                  <a:lumOff val="40000"/>
                </a:schemeClr>
              </a:solidFill>
              <a:prstDash val="sysDash"/>
              <a:round/>
            </a:ln>
            <a:effectLst/>
          </c:spPr>
          <c:marker>
            <c:symbol val="none"/>
          </c:marker>
          <c:val>
            <c:numRef>
              <c:f>'Trial Dep. Projections Sumry'!$I$68:$AB$68</c:f>
              <c:numCache>
                <c:formatCode>"$"#,##0</c:formatCode>
                <c:ptCount val="20"/>
                <c:pt idx="0">
                  <c:v>0</c:v>
                </c:pt>
                <c:pt idx="1">
                  <c:v>0</c:v>
                </c:pt>
                <c:pt idx="2">
                  <c:v>178.32360877192977</c:v>
                </c:pt>
                <c:pt idx="3">
                  <c:v>41.214887087719319</c:v>
                </c:pt>
                <c:pt idx="4">
                  <c:v>525.57302605754387</c:v>
                </c:pt>
                <c:pt idx="5">
                  <c:v>421.07001498743932</c:v>
                </c:pt>
                <c:pt idx="6">
                  <c:v>16.798531491920638</c:v>
                </c:pt>
                <c:pt idx="7">
                  <c:v>0</c:v>
                </c:pt>
                <c:pt idx="8">
                  <c:v>0</c:v>
                </c:pt>
                <c:pt idx="9">
                  <c:v>41.459826751961515</c:v>
                </c:pt>
                <c:pt idx="10">
                  <c:v>14.268868933462493</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1B62-45E6-AA49-B813A0C19C30}"/>
            </c:ext>
          </c:extLst>
        </c:ser>
        <c:dLbls>
          <c:showLegendKey val="0"/>
          <c:showVal val="0"/>
          <c:showCatName val="0"/>
          <c:showSerName val="0"/>
          <c:showPercent val="0"/>
          <c:showBubbleSize val="0"/>
        </c:dLbls>
        <c:smooth val="0"/>
        <c:axId val="516817744"/>
        <c:axId val="516820488"/>
      </c:lineChart>
      <c:catAx>
        <c:axId val="516817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16820488"/>
        <c:crosses val="autoZero"/>
        <c:auto val="1"/>
        <c:lblAlgn val="ctr"/>
        <c:lblOffset val="100"/>
        <c:noMultiLvlLbl val="0"/>
      </c:catAx>
      <c:valAx>
        <c:axId val="51682048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16817744"/>
        <c:crosses val="autoZero"/>
        <c:crossBetween val="between"/>
      </c:valAx>
      <c:spPr>
        <a:solidFill>
          <a:schemeClr val="bg1">
            <a:lumMod val="95000"/>
          </a:schemeClr>
        </a:solidFill>
        <a:ln>
          <a:solidFill>
            <a:schemeClr val="bg1"/>
          </a:solidFill>
        </a:ln>
        <a:effectLst/>
      </c:spPr>
    </c:plotArea>
    <c:legend>
      <c:legendPos val="t"/>
      <c:layout>
        <c:manualLayout>
          <c:xMode val="edge"/>
          <c:yMode val="edge"/>
          <c:x val="0.4411867051861898"/>
          <c:y val="5.9145641374447784E-2"/>
          <c:w val="0.51553953707663192"/>
          <c:h val="0.2248843790477236"/>
        </c:manualLayout>
      </c:layout>
      <c:overlay val="0"/>
      <c:spPr>
        <a:solidFill>
          <a:schemeClr val="bg1"/>
        </a:solidFill>
        <a:ln>
          <a:solidFill>
            <a:srgbClr val="0070C0"/>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chemeClr val="bg1">
            <a:lumMod val="85000"/>
          </a:schemeClr>
        </a:gs>
        <a:gs pos="100000">
          <a:schemeClr val="bg1">
            <a:lumMod val="75000"/>
          </a:schemeClr>
        </a:gs>
      </a:gsLst>
      <a:lin ang="5400000" scaled="1"/>
    </a:gra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Trial</a:t>
            </a:r>
            <a:r>
              <a:rPr lang="en-US" sz="1400" baseline="0"/>
              <a:t> Deposits </a:t>
            </a:r>
            <a:r>
              <a:rPr lang="en-US" sz="1400"/>
              <a:t>Required Minimum Balance Test Results </a:t>
            </a:r>
          </a:p>
          <a:p>
            <a:pPr>
              <a:defRPr sz="1400"/>
            </a:pPr>
            <a:r>
              <a:rPr lang="en-US" sz="1400"/>
              <a:t>Trial Deposits RfR Balances vs</a:t>
            </a:r>
            <a:r>
              <a:rPr lang="en-US" sz="1400" baseline="0"/>
              <a:t> </a:t>
            </a:r>
            <a:r>
              <a:rPr lang="en-US" sz="1400"/>
              <a:t>Required Minimum Balance</a:t>
            </a:r>
          </a:p>
          <a:p>
            <a:pPr>
              <a:defRPr sz="1400"/>
            </a:pPr>
            <a:r>
              <a:rPr lang="en-US" sz="1400">
                <a:solidFill>
                  <a:srgbClr val="0070C0"/>
                </a:solidFill>
              </a:rPr>
              <a:t>(Test is met if Blue Columns are taller</a:t>
            </a:r>
            <a:r>
              <a:rPr lang="en-US" sz="1400" baseline="0">
                <a:solidFill>
                  <a:srgbClr val="0070C0"/>
                </a:solidFill>
              </a:rPr>
              <a:t> than Green Columns)</a:t>
            </a:r>
            <a:r>
              <a:rPr lang="en-US" sz="1400">
                <a:solidFill>
                  <a:srgbClr val="0070C0"/>
                </a:solidFill>
              </a:rPr>
              <a:t> </a:t>
            </a:r>
          </a:p>
        </c:rich>
      </c:tx>
      <c:overlay val="1"/>
      <c:spPr>
        <a:ln w="28575"/>
      </c:spPr>
    </c:title>
    <c:autoTitleDeleted val="0"/>
    <c:plotArea>
      <c:layout>
        <c:manualLayout>
          <c:layoutTarget val="inner"/>
          <c:xMode val="edge"/>
          <c:yMode val="edge"/>
          <c:x val="0.12762467191601035"/>
          <c:y val="0.22705731857976416"/>
          <c:w val="0.81775501073729451"/>
          <c:h val="0.54925408780354656"/>
        </c:manualLayout>
      </c:layout>
      <c:barChart>
        <c:barDir val="col"/>
        <c:grouping val="clustered"/>
        <c:varyColors val="0"/>
        <c:ser>
          <c:idx val="0"/>
          <c:order val="0"/>
          <c:tx>
            <c:strRef>
              <c:f>'eTool Data Engine'!$E$46</c:f>
              <c:strCache>
                <c:ptCount val="1"/>
                <c:pt idx="0">
                  <c:v>Trial Deposit results Ending RfR Balance</c:v>
                </c:pt>
              </c:strCache>
            </c:strRef>
          </c:tx>
          <c:invertIfNegative val="0"/>
          <c:val>
            <c:numRef>
              <c:f>'eTool Data Engine'!$F$46:$Y$46</c:f>
              <c:numCache>
                <c:formatCode>"$"#,##0_);[Red]\("$"#,##0\)</c:formatCode>
                <c:ptCount val="20"/>
                <c:pt idx="0">
                  <c:v>725130.25</c:v>
                </c:pt>
                <c:pt idx="1">
                  <c:v>990988.27249999996</c:v>
                </c:pt>
                <c:pt idx="2">
                  <c:v>924537.53098749998</c:v>
                </c:pt>
                <c:pt idx="3">
                  <c:v>919611.60544031253</c:v>
                </c:pt>
                <c:pt idx="4">
                  <c:v>693744.4796396771</c:v>
                </c:pt>
                <c:pt idx="5">
                  <c:v>510675.35735438741</c:v>
                </c:pt>
                <c:pt idx="6">
                  <c:v>377894.07284522068</c:v>
                </c:pt>
                <c:pt idx="7">
                  <c:v>401502.72337102686</c:v>
                </c:pt>
                <c:pt idx="8">
                  <c:v>480981.93704338267</c:v>
                </c:pt>
                <c:pt idx="9">
                  <c:v>433773.61557725974</c:v>
                </c:pt>
                <c:pt idx="10">
                  <c:v>-110703.27092129062</c:v>
                </c:pt>
                <c:pt idx="11">
                  <c:v>-610983.27226814406</c:v>
                </c:pt>
                <c:pt idx="12">
                  <c:v>-1017555.9606419345</c:v>
                </c:pt>
                <c:pt idx="13">
                  <c:v>-966079.49998320092</c:v>
                </c:pt>
                <c:pt idx="14">
                  <c:v>-1341212.1823112925</c:v>
                </c:pt>
                <c:pt idx="15">
                  <c:v>-1670061.927285946</c:v>
                </c:pt>
                <c:pt idx="16">
                  <c:v>-1956866.8807600925</c:v>
                </c:pt>
                <c:pt idx="17">
                  <c:v>-1910382.6323037217</c:v>
                </c:pt>
                <c:pt idx="18">
                  <c:v>-1717781.0116782237</c:v>
                </c:pt>
                <c:pt idx="19">
                  <c:v>-1502517.4942402157</c:v>
                </c:pt>
              </c:numCache>
            </c:numRef>
          </c:val>
          <c:extLst xmlns:c15="http://schemas.microsoft.com/office/drawing/2012/chart">
            <c:ext xmlns:c16="http://schemas.microsoft.com/office/drawing/2014/chart" uri="{C3380CC4-5D6E-409C-BE32-E72D297353CC}">
              <c16:uniqueId val="{00000000-8B27-4873-A10C-63C4135AC41B}"/>
            </c:ext>
          </c:extLst>
        </c:ser>
        <c:ser>
          <c:idx val="1"/>
          <c:order val="2"/>
          <c:tx>
            <c:strRef>
              <c:f>'eTool Data Engine'!$E$56</c:f>
              <c:strCache>
                <c:ptCount val="1"/>
                <c:pt idx="0">
                  <c:v>Minimum Required Balance</c:v>
                </c:pt>
              </c:strCache>
            </c:strRef>
          </c:tx>
          <c:spPr>
            <a:solidFill>
              <a:srgbClr val="92D050"/>
            </a:solidFill>
          </c:spPr>
          <c:invertIfNegative val="0"/>
          <c:val>
            <c:numRef>
              <c:f>'eTool Data Engine'!$F$56:$Y$56</c:f>
              <c:numCache>
                <c:formatCode>"$"#,##0_);[Red]\("$"#,##0\)</c:formatCode>
                <c:ptCount val="20"/>
                <c:pt idx="0">
                  <c:v>335249.58</c:v>
                </c:pt>
                <c:pt idx="1">
                  <c:v>341954.57</c:v>
                </c:pt>
                <c:pt idx="2">
                  <c:v>348793.66</c:v>
                </c:pt>
                <c:pt idx="3">
                  <c:v>355769.54</c:v>
                </c:pt>
                <c:pt idx="4">
                  <c:v>362884.93</c:v>
                </c:pt>
                <c:pt idx="5">
                  <c:v>370142.63</c:v>
                </c:pt>
                <c:pt idx="6">
                  <c:v>377545.48</c:v>
                </c:pt>
                <c:pt idx="7">
                  <c:v>385096.39</c:v>
                </c:pt>
                <c:pt idx="8">
                  <c:v>392798.32</c:v>
                </c:pt>
                <c:pt idx="9">
                  <c:v>400654.28</c:v>
                </c:pt>
                <c:pt idx="10">
                  <c:v>408667.37</c:v>
                </c:pt>
                <c:pt idx="11">
                  <c:v>416840.71</c:v>
                </c:pt>
                <c:pt idx="12">
                  <c:v>425177.53</c:v>
                </c:pt>
                <c:pt idx="13">
                  <c:v>433681.08</c:v>
                </c:pt>
                <c:pt idx="14">
                  <c:v>442354.7</c:v>
                </c:pt>
                <c:pt idx="15">
                  <c:v>451201.8</c:v>
                </c:pt>
                <c:pt idx="16">
                  <c:v>460225.83</c:v>
                </c:pt>
                <c:pt idx="17">
                  <c:v>469430.35</c:v>
                </c:pt>
                <c:pt idx="18">
                  <c:v>478818.95</c:v>
                </c:pt>
                <c:pt idx="19">
                  <c:v>488395.33</c:v>
                </c:pt>
              </c:numCache>
            </c:numRef>
          </c:val>
          <c:extLst>
            <c:ext xmlns:c16="http://schemas.microsoft.com/office/drawing/2014/chart" uri="{C3380CC4-5D6E-409C-BE32-E72D297353CC}">
              <c16:uniqueId val="{00000001-8B27-4873-A10C-63C4135AC41B}"/>
            </c:ext>
          </c:extLst>
        </c:ser>
        <c:dLbls>
          <c:showLegendKey val="0"/>
          <c:showVal val="0"/>
          <c:showCatName val="0"/>
          <c:showSerName val="0"/>
          <c:showPercent val="0"/>
          <c:showBubbleSize val="0"/>
        </c:dLbls>
        <c:gapWidth val="150"/>
        <c:axId val="516828720"/>
        <c:axId val="516822056"/>
        <c:extLst>
          <c:ext xmlns:c15="http://schemas.microsoft.com/office/drawing/2012/chart" uri="{02D57815-91ED-43cb-92C2-25804820EDAC}">
            <c15:filteredBarSeries>
              <c15:ser>
                <c:idx val="2"/>
                <c:order val="1"/>
                <c:tx>
                  <c:strRef>
                    <c:extLst>
                      <c:ext uri="{02D57815-91ED-43cb-92C2-25804820EDAC}">
                        <c15:formulaRef>
                          <c15:sqref>'eTool Data Engine'!$E$60</c15:sqref>
                        </c15:formulaRef>
                      </c:ext>
                    </c:extLst>
                    <c:strCache>
                      <c:ptCount val="1"/>
                    </c:strCache>
                  </c:strRef>
                </c:tx>
                <c:invertIfNegative val="0"/>
                <c:val>
                  <c:numRef>
                    <c:extLst>
                      <c:ext uri="{02D57815-91ED-43cb-92C2-25804820EDAC}">
                        <c15:formulaRef>
                          <c15:sqref>'eTool Data Engine'!$F$60:$Y$60</c15:sqref>
                        </c15:formulaRef>
                      </c:ext>
                    </c:extLst>
                    <c:numCache>
                      <c:formatCode>"$"#,##0_);[Red]\("$"#,##0\)</c:formatCode>
                      <c:ptCount val="20"/>
                      <c:pt idx="9" formatCode="0.0%">
                        <c:v>0</c:v>
                      </c:pt>
                      <c:pt idx="10" formatCode="0.0%">
                        <c:v>0.36986570183021122</c:v>
                      </c:pt>
                      <c:pt idx="11" formatCode="0.0%">
                        <c:v>0.33188803985113091</c:v>
                      </c:pt>
                      <c:pt idx="12" formatCode="0.0%">
                        <c:v>0.30027610975090208</c:v>
                      </c:pt>
                      <c:pt idx="13" formatCode="0.0%">
                        <c:v>0.27356084876029357</c:v>
                      </c:pt>
                      <c:pt idx="14" formatCode="0.0%">
                        <c:v>0.25069292256225334</c:v>
                      </c:pt>
                      <c:pt idx="15" formatCode="0.0%">
                        <c:v>0.2309028158276146</c:v>
                      </c:pt>
                      <c:pt idx="16" formatCode="0.0%">
                        <c:v>0.21361338880132263</c:v>
                      </c:pt>
                      <c:pt idx="17" formatCode="0.0%">
                        <c:v>0.19838329627129678</c:v>
                      </c:pt>
                      <c:pt idx="18" formatCode="0.0%">
                        <c:v>0.18486926688222824</c:v>
                      </c:pt>
                      <c:pt idx="19" formatCode="0.0%">
                        <c:v>0.17280029424615637</c:v>
                      </c:pt>
                    </c:numCache>
                  </c:numRef>
                </c:val>
                <c:extLst>
                  <c:ext xmlns:c16="http://schemas.microsoft.com/office/drawing/2014/chart" uri="{C3380CC4-5D6E-409C-BE32-E72D297353CC}">
                    <c16:uniqueId val="{00000002-8B27-4873-A10C-63C4135AC41B}"/>
                  </c:ext>
                </c:extLst>
              </c15:ser>
            </c15:filteredBarSeries>
          </c:ext>
        </c:extLst>
      </c:barChart>
      <c:catAx>
        <c:axId val="516828720"/>
        <c:scaling>
          <c:orientation val="minMax"/>
        </c:scaling>
        <c:delete val="0"/>
        <c:axPos val="b"/>
        <c:numFmt formatCode="General" sourceLinked="0"/>
        <c:majorTickMark val="out"/>
        <c:minorTickMark val="none"/>
        <c:tickLblPos val="nextTo"/>
        <c:txPr>
          <a:bodyPr/>
          <a:lstStyle/>
          <a:p>
            <a:pPr>
              <a:defRPr sz="900"/>
            </a:pPr>
            <a:endParaRPr lang="en-US"/>
          </a:p>
        </c:txPr>
        <c:crossAx val="516822056"/>
        <c:crosses val="autoZero"/>
        <c:auto val="1"/>
        <c:lblAlgn val="ctr"/>
        <c:lblOffset val="100"/>
        <c:noMultiLvlLbl val="0"/>
      </c:catAx>
      <c:valAx>
        <c:axId val="516822056"/>
        <c:scaling>
          <c:orientation val="minMax"/>
        </c:scaling>
        <c:delete val="0"/>
        <c:axPos val="l"/>
        <c:majorGridlines/>
        <c:numFmt formatCode="&quot;$&quot;#,##0_);[Red]\(&quot;$&quot;#,##0\)" sourceLinked="1"/>
        <c:majorTickMark val="out"/>
        <c:minorTickMark val="none"/>
        <c:tickLblPos val="nextTo"/>
        <c:txPr>
          <a:bodyPr/>
          <a:lstStyle/>
          <a:p>
            <a:pPr>
              <a:defRPr sz="900"/>
            </a:pPr>
            <a:endParaRPr lang="en-US"/>
          </a:p>
        </c:txPr>
        <c:crossAx val="516828720"/>
        <c:crosses val="autoZero"/>
        <c:crossBetween val="between"/>
      </c:valAx>
    </c:plotArea>
    <c:legend>
      <c:legendPos val="t"/>
      <c:legendEntry>
        <c:idx val="0"/>
        <c:txPr>
          <a:bodyPr/>
          <a:lstStyle/>
          <a:p>
            <a:pPr>
              <a:defRPr sz="1200"/>
            </a:pPr>
            <a:endParaRPr lang="en-US"/>
          </a:p>
        </c:txPr>
      </c:legendEntry>
      <c:legendEntry>
        <c:idx val="1"/>
        <c:txPr>
          <a:bodyPr/>
          <a:lstStyle/>
          <a:p>
            <a:pPr>
              <a:defRPr sz="1200"/>
            </a:pPr>
            <a:endParaRPr lang="en-US"/>
          </a:p>
        </c:txPr>
      </c:legendEntry>
      <c:layout>
        <c:manualLayout>
          <c:xMode val="edge"/>
          <c:yMode val="edge"/>
          <c:x val="9.7445138117148056E-2"/>
          <c:y val="0.8675373912794907"/>
          <c:w val="0.84331762097943097"/>
          <c:h val="9.2460930467054697E-2"/>
        </c:manualLayout>
      </c:layout>
      <c:overlay val="1"/>
      <c:spPr>
        <a:solidFill>
          <a:schemeClr val="bg1"/>
        </a:solidFill>
        <a:ln>
          <a:solidFill>
            <a:schemeClr val="accent1"/>
          </a:solidFill>
        </a:ln>
      </c:spPr>
      <c:txPr>
        <a:bodyPr/>
        <a:lstStyle/>
        <a:p>
          <a:pPr>
            <a:defRPr sz="1050"/>
          </a:pPr>
          <a:endParaRPr lang="en-US"/>
        </a:p>
      </c:txPr>
    </c:legend>
    <c:plotVisOnly val="1"/>
    <c:dispBlanksAs val="gap"/>
    <c:showDLblsOverMax val="0"/>
  </c:chart>
  <c:spPr>
    <a:ln w="19050">
      <a:solidFill>
        <a:schemeClr val="tx1"/>
      </a:solidFill>
    </a:ln>
  </c:spPr>
  <c:printSettings>
    <c:headerFooter/>
    <c:pageMargins b="0.75000000000000033" l="0.70000000000000029" r="0.70000000000000029" t="0.75000000000000033" header="0.30000000000000016" footer="0.30000000000000016"/>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2.xml.rels><?xml version="1.0" encoding="UTF-8" standalone="yes"?>
<Relationships xmlns="http://schemas.openxmlformats.org/package/2006/relationships"><Relationship Id="rId8" Type="http://schemas.openxmlformats.org/officeDocument/2006/relationships/chart" Target="../charts/chart26.xml"/><Relationship Id="rId3" Type="http://schemas.openxmlformats.org/officeDocument/2006/relationships/chart" Target="../charts/chart21.xml"/><Relationship Id="rId7" Type="http://schemas.openxmlformats.org/officeDocument/2006/relationships/chart" Target="../charts/chart25.xml"/><Relationship Id="rId2" Type="http://schemas.openxmlformats.org/officeDocument/2006/relationships/chart" Target="../charts/chart20.xml"/><Relationship Id="rId1" Type="http://schemas.openxmlformats.org/officeDocument/2006/relationships/chart" Target="../charts/chart19.xml"/><Relationship Id="rId6" Type="http://schemas.openxmlformats.org/officeDocument/2006/relationships/chart" Target="../charts/chart24.xml"/><Relationship Id="rId5" Type="http://schemas.openxmlformats.org/officeDocument/2006/relationships/chart" Target="../charts/chart23.xml"/><Relationship Id="rId4" Type="http://schemas.openxmlformats.org/officeDocument/2006/relationships/chart" Target="../charts/chart22.xml"/><Relationship Id="rId9" Type="http://schemas.openxmlformats.org/officeDocument/2006/relationships/chart" Target="../charts/chart27.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30.xml"/><Relationship Id="rId7" Type="http://schemas.openxmlformats.org/officeDocument/2006/relationships/chart" Target="../charts/chart34.xml"/><Relationship Id="rId2" Type="http://schemas.openxmlformats.org/officeDocument/2006/relationships/chart" Target="../charts/chart29.xml"/><Relationship Id="rId1" Type="http://schemas.openxmlformats.org/officeDocument/2006/relationships/chart" Target="../charts/chart28.xml"/><Relationship Id="rId6" Type="http://schemas.openxmlformats.org/officeDocument/2006/relationships/chart" Target="../charts/chart33.xml"/><Relationship Id="rId5" Type="http://schemas.openxmlformats.org/officeDocument/2006/relationships/chart" Target="../charts/chart32.xml"/><Relationship Id="rId4" Type="http://schemas.openxmlformats.org/officeDocument/2006/relationships/chart" Target="../charts/chart31.xml"/></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7.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chart" Target="../charts/chart12.xml"/><Relationship Id="rId7" Type="http://schemas.openxmlformats.org/officeDocument/2006/relationships/chart" Target="../charts/chart16.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 Id="rId9"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twoCellAnchor>
    <xdr:from>
      <xdr:col>1</xdr:col>
      <xdr:colOff>162264</xdr:colOff>
      <xdr:row>0</xdr:row>
      <xdr:rowOff>159318</xdr:rowOff>
    </xdr:from>
    <xdr:to>
      <xdr:col>14</xdr:col>
      <xdr:colOff>342900</xdr:colOff>
      <xdr:row>10</xdr:row>
      <xdr:rowOff>39688</xdr:rowOff>
    </xdr:to>
    <xdr:sp macro="" textlink="">
      <xdr:nvSpPr>
        <xdr:cNvPr id="2" name="TextBox 1">
          <a:extLst>
            <a:ext uri="{FF2B5EF4-FFF2-40B4-BE49-F238E27FC236}">
              <a16:creationId xmlns:a16="http://schemas.microsoft.com/office/drawing/2014/main" id="{E0659739-1EEF-4AB5-983E-A9ED7F4D401D}"/>
            </a:ext>
          </a:extLst>
        </xdr:cNvPr>
        <xdr:cNvSpPr txBox="1"/>
      </xdr:nvSpPr>
      <xdr:spPr>
        <a:xfrm>
          <a:off x="543264" y="159318"/>
          <a:ext cx="8126074" cy="178537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cap="all"/>
            <a:t>Background</a:t>
          </a:r>
          <a:r>
            <a:rPr lang="en-US" sz="1200" b="1" cap="all" baseline="0"/>
            <a:t> and Purpose</a:t>
          </a:r>
        </a:p>
        <a:p>
          <a:pPr algn="ctr"/>
          <a:endParaRPr lang="en-US" sz="1100" b="1" baseline="0"/>
        </a:p>
        <a:p>
          <a:r>
            <a:rPr lang="en-US" sz="1050" baseline="0"/>
            <a:t>This Financial Factors Tool ("FFT") is designed to calculate the Financial Schedule data exported from the CNA eTool to check the funding schedule for the Reserve for Replacement ("RfR") for compliance with the 2020 MAP Guide Appendix A.5.7.4.3.  There are 3 basic requirements:</a:t>
          </a:r>
        </a:p>
        <a:p>
          <a:endParaRPr lang="en-US" sz="1050" baseline="0"/>
        </a:p>
        <a:p>
          <a:r>
            <a:rPr lang="en-US" sz="1050" baseline="0"/>
            <a:t>1) Relative </a:t>
          </a:r>
          <a:r>
            <a:rPr lang="en-US" sz="1050" b="1" baseline="0"/>
            <a:t>Years 1-2</a:t>
          </a:r>
          <a:r>
            <a:rPr lang="en-US" sz="1050" baseline="0"/>
            <a:t>:  Ending balance greater than $0;</a:t>
          </a:r>
        </a:p>
        <a:p>
          <a:r>
            <a:rPr lang="en-US" sz="1050" baseline="0"/>
            <a:t>2) Relative </a:t>
          </a:r>
          <a:r>
            <a:rPr lang="en-US" sz="1050" b="1" baseline="0"/>
            <a:t>Years 3-10</a:t>
          </a:r>
          <a:r>
            <a:rPr lang="en-US" sz="1050" baseline="0"/>
            <a:t>:  Meet or exceed calculated Required Minimum Balances ("RMB");</a:t>
          </a:r>
        </a:p>
        <a:p>
          <a:r>
            <a:rPr lang="en-US" sz="1050" baseline="0"/>
            <a:t>3) Relative </a:t>
          </a:r>
          <a:r>
            <a:rPr lang="en-US" sz="1050" b="1" baseline="0"/>
            <a:t>Years 11 and remaining </a:t>
          </a:r>
          <a:r>
            <a:rPr lang="en-US" sz="1050" baseline="0"/>
            <a:t>(typ. Years 11 to 20, referred to as "Relative Years 11+"):   Any ending balance shortfalls below the required minimum  balance must not exceed the allowed percentage of loan amortization paid by the year of the shortfall. </a:t>
          </a:r>
        </a:p>
        <a:p>
          <a:endParaRPr lang="en-US" sz="1100" baseline="0"/>
        </a:p>
        <a:p>
          <a:r>
            <a:rPr lang="en-US" sz="1100" baseline="0"/>
            <a:t>         </a:t>
          </a:r>
        </a:p>
      </xdr:txBody>
    </xdr:sp>
    <xdr:clientData/>
  </xdr:twoCellAnchor>
  <xdr:twoCellAnchor>
    <xdr:from>
      <xdr:col>1</xdr:col>
      <xdr:colOff>161925</xdr:colOff>
      <xdr:row>10</xdr:row>
      <xdr:rowOff>103478</xdr:rowOff>
    </xdr:from>
    <xdr:to>
      <xdr:col>14</xdr:col>
      <xdr:colOff>342901</xdr:colOff>
      <xdr:row>17</xdr:row>
      <xdr:rowOff>179678</xdr:rowOff>
    </xdr:to>
    <xdr:sp macro="" textlink="">
      <xdr:nvSpPr>
        <xdr:cNvPr id="3" name="TextBox 2">
          <a:extLst>
            <a:ext uri="{FF2B5EF4-FFF2-40B4-BE49-F238E27FC236}">
              <a16:creationId xmlns:a16="http://schemas.microsoft.com/office/drawing/2014/main" id="{C6DB6C38-32C2-4EF9-B833-6D3B748BC3E5}"/>
            </a:ext>
          </a:extLst>
        </xdr:cNvPr>
        <xdr:cNvSpPr txBox="1"/>
      </xdr:nvSpPr>
      <xdr:spPr>
        <a:xfrm>
          <a:off x="542925" y="2008478"/>
          <a:ext cx="8126414" cy="140970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cap="all" baseline="0"/>
            <a:t>Users</a:t>
          </a:r>
        </a:p>
        <a:p>
          <a:pPr>
            <a:lnSpc>
              <a:spcPct val="100000"/>
            </a:lnSpc>
            <a:spcAft>
              <a:spcPts val="0"/>
            </a:spcAft>
          </a:pPr>
          <a:r>
            <a:rPr lang="en-US" sz="1100" baseline="0"/>
            <a:t>This FFT is for use in estimating and analyzing deposit amounts into the reserves.  HUD anticipates the following users and responsibilities: </a:t>
          </a:r>
        </a:p>
        <a:p>
          <a:pPr>
            <a:lnSpc>
              <a:spcPct val="100000"/>
            </a:lnSpc>
            <a:spcAft>
              <a:spcPts val="0"/>
            </a:spcAft>
          </a:pPr>
          <a:r>
            <a:rPr lang="en-US" sz="1100" baseline="0"/>
            <a:t>  </a:t>
          </a:r>
        </a:p>
        <a:p>
          <a:pPr>
            <a:lnSpc>
              <a:spcPct val="100000"/>
            </a:lnSpc>
            <a:spcAft>
              <a:spcPts val="0"/>
            </a:spcAft>
          </a:pPr>
          <a:r>
            <a:rPr lang="en-US" sz="1100" b="1" baseline="0"/>
            <a:t>Lenders:  Optional.  </a:t>
          </a:r>
          <a:r>
            <a:rPr lang="en-US" sz="1100" baseline="0"/>
            <a:t>May use the FFT for estimation, consideration of funding options and verification for compliance. </a:t>
          </a:r>
        </a:p>
        <a:p>
          <a:pPr>
            <a:lnSpc>
              <a:spcPct val="100000"/>
            </a:lnSpc>
            <a:spcAft>
              <a:spcPts val="0"/>
            </a:spcAft>
          </a:pPr>
          <a:r>
            <a:rPr lang="en-US" sz="1100" b="1" baseline="0"/>
            <a:t>HUD Staff:  Mandatory.  </a:t>
          </a:r>
          <a:r>
            <a:rPr lang="en-US" sz="1100" baseline="0"/>
            <a:t>Must use the FFT to check for compliance with the MAP Guide's RfR requirements for approval and to prepare and print the Attachment </a:t>
          </a:r>
          <a:r>
            <a:rPr lang="en-US" sz="1100" baseline="0">
              <a:solidFill>
                <a:schemeClr val="dk1"/>
              </a:solidFill>
              <a:effectLst/>
              <a:latin typeface="+mn-lt"/>
              <a:ea typeface="+mn-ea"/>
              <a:cs typeface="+mn-cs"/>
            </a:rPr>
            <a:t>for Firm Commitments </a:t>
          </a:r>
          <a:r>
            <a:rPr lang="en-US" sz="1100" baseline="0"/>
            <a:t>detailing annual and monthly RfR contributions .  </a:t>
          </a:r>
        </a:p>
        <a:p>
          <a:r>
            <a:rPr lang="en-US" sz="1100" baseline="0"/>
            <a:t> </a:t>
          </a:r>
        </a:p>
        <a:p>
          <a:r>
            <a:rPr lang="en-US" sz="1100" baseline="0"/>
            <a:t>         </a:t>
          </a:r>
        </a:p>
      </xdr:txBody>
    </xdr:sp>
    <xdr:clientData/>
  </xdr:twoCellAnchor>
  <xdr:twoCellAnchor>
    <xdr:from>
      <xdr:col>7</xdr:col>
      <xdr:colOff>439271</xdr:colOff>
      <xdr:row>18</xdr:row>
      <xdr:rowOff>57438</xdr:rowOff>
    </xdr:from>
    <xdr:to>
      <xdr:col>14</xdr:col>
      <xdr:colOff>344022</xdr:colOff>
      <xdr:row>90</xdr:row>
      <xdr:rowOff>133350</xdr:rowOff>
    </xdr:to>
    <xdr:grpSp>
      <xdr:nvGrpSpPr>
        <xdr:cNvPr id="13" name="Group 12">
          <a:extLst>
            <a:ext uri="{FF2B5EF4-FFF2-40B4-BE49-F238E27FC236}">
              <a16:creationId xmlns:a16="http://schemas.microsoft.com/office/drawing/2014/main" id="{112FAA9C-9E76-41DB-A01C-1DE40B6848B0}"/>
            </a:ext>
          </a:extLst>
        </xdr:cNvPr>
        <xdr:cNvGrpSpPr/>
      </xdr:nvGrpSpPr>
      <xdr:grpSpPr>
        <a:xfrm>
          <a:off x="4735046" y="3314988"/>
          <a:ext cx="4438651" cy="13106112"/>
          <a:chOff x="4706471" y="3481676"/>
          <a:chExt cx="4171951" cy="13785532"/>
        </a:xfrm>
      </xdr:grpSpPr>
      <xdr:sp macro="" textlink="">
        <xdr:nvSpPr>
          <xdr:cNvPr id="9" name="TextBox 8">
            <a:extLst>
              <a:ext uri="{FF2B5EF4-FFF2-40B4-BE49-F238E27FC236}">
                <a16:creationId xmlns:a16="http://schemas.microsoft.com/office/drawing/2014/main" id="{4F90E542-5F74-4E96-844C-3EDAA96DFD5C}"/>
              </a:ext>
            </a:extLst>
          </xdr:cNvPr>
          <xdr:cNvSpPr txBox="1"/>
        </xdr:nvSpPr>
        <xdr:spPr>
          <a:xfrm>
            <a:off x="4706471" y="3481676"/>
            <a:ext cx="4171951" cy="13785532"/>
          </a:xfrm>
          <a:prstGeom prst="rect">
            <a:avLst/>
          </a:prstGeom>
          <a:gradFill>
            <a:gsLst>
              <a:gs pos="0">
                <a:schemeClr val="accent1">
                  <a:lumMod val="20000"/>
                  <a:lumOff val="80000"/>
                </a:schemeClr>
              </a:gs>
              <a:gs pos="100000">
                <a:schemeClr val="accent1">
                  <a:lumMod val="40000"/>
                  <a:lumOff val="60000"/>
                </a:schemeClr>
              </a:gs>
            </a:gsLst>
            <a:lin ang="5400000" scaled="1"/>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endParaRPr lang="en-US" sz="1100"/>
          </a:p>
          <a:p>
            <a:endParaRPr lang="en-US" sz="1100"/>
          </a:p>
          <a:p>
            <a:endParaRPr lang="en-US" sz="1100"/>
          </a:p>
          <a:p>
            <a:endParaRPr lang="en-US" sz="1100"/>
          </a:p>
          <a:p>
            <a:endParaRPr lang="en-US" sz="1100"/>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r>
              <a:rPr lang="en-US" sz="1100" b="1"/>
              <a:t>[Figure 1]</a:t>
            </a:r>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marL="0" marR="0" lvl="0" indent="0" defTabSz="914400" eaLnBrk="1" fontAlgn="auto" latinLnBrk="0" hangingPunct="1">
              <a:lnSpc>
                <a:spcPct val="100000"/>
              </a:lnSpc>
              <a:spcBef>
                <a:spcPts val="0"/>
              </a:spcBef>
              <a:spcAft>
                <a:spcPts val="0"/>
              </a:spcAft>
              <a:buClrTx/>
              <a:buSzTx/>
              <a:buFontTx/>
              <a:buNone/>
              <a:tabLst/>
              <a:defRPr/>
            </a:pPr>
            <a:r>
              <a:rPr lang="en-US" sz="1100" b="1"/>
              <a:t>		</a:t>
            </a:r>
            <a:r>
              <a:rPr lang="en-US" sz="1100" b="1">
                <a:solidFill>
                  <a:schemeClr val="dk1"/>
                </a:solidFill>
                <a:effectLst/>
                <a:latin typeface="+mn-lt"/>
                <a:ea typeface="+mn-ea"/>
                <a:cs typeface="+mn-cs"/>
              </a:rPr>
              <a:t>[Figure 2]</a:t>
            </a:r>
            <a:endParaRPr lang="en-US" sz="1100">
              <a:effectLst/>
            </a:endParaRPr>
          </a:p>
          <a:p>
            <a:endParaRPr lang="en-US" sz="1100" b="1"/>
          </a:p>
          <a:p>
            <a:endParaRPr lang="en-US" sz="1100" b="1"/>
          </a:p>
          <a:p>
            <a:endParaRPr lang="en-US" sz="1100" b="1"/>
          </a:p>
          <a:p>
            <a:endParaRPr lang="en-US" sz="1100" b="1"/>
          </a:p>
          <a:p>
            <a:endParaRPr lang="en-US" sz="1100" b="1"/>
          </a:p>
          <a:p>
            <a:endParaRPr lang="en-US" sz="1100" b="1"/>
          </a:p>
          <a:p>
            <a:endParaRPr lang="en-US" sz="1100" b="1"/>
          </a:p>
          <a:p>
            <a:endParaRPr lang="en-US" sz="1100" b="1"/>
          </a:p>
          <a:p>
            <a:endParaRPr lang="en-US" sz="1100" b="1"/>
          </a:p>
          <a:p>
            <a:pPr algn="ctr"/>
            <a:endParaRPr lang="en-US" sz="1000" b="1"/>
          </a:p>
          <a:p>
            <a:pPr algn="ctr"/>
            <a:endParaRPr lang="en-US" sz="1000" b="1"/>
          </a:p>
          <a:p>
            <a:pPr algn="ctr"/>
            <a:r>
              <a:rPr lang="en-US" sz="1000" b="1"/>
              <a:t>				</a:t>
            </a:r>
          </a:p>
          <a:p>
            <a:pPr algn="ctr"/>
            <a:r>
              <a:rPr lang="en-US" sz="1050" b="1"/>
              <a:t>[Figure 3]</a:t>
            </a:r>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algn="ctr"/>
            <a:endParaRPr lang="en-US" sz="1000" b="1"/>
          </a:p>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[Figure 4]</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[Figure 5]</a:t>
            </a: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[Figure 6]</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[Figure 7]</a:t>
            </a:r>
            <a:endParaRPr lang="en-US">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1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n-US" sz="1000">
              <a:effectLst/>
            </a:endParaRPr>
          </a:p>
          <a:p>
            <a:pPr algn="ctr"/>
            <a:endParaRPr lang="en-US" sz="1000" b="1"/>
          </a:p>
          <a:p>
            <a:pPr algn="ctr"/>
            <a:endParaRPr lang="en-US" sz="1000" b="1"/>
          </a:p>
          <a:p>
            <a:endParaRPr lang="en-US" sz="1100" b="1"/>
          </a:p>
          <a:p>
            <a:endParaRPr lang="en-US" sz="1100" b="1"/>
          </a:p>
          <a:p>
            <a:endParaRPr lang="en-US" sz="1100" b="1"/>
          </a:p>
          <a:p>
            <a:endParaRPr lang="en-US" sz="1100" b="1"/>
          </a:p>
          <a:p>
            <a:endParaRPr lang="en-US" sz="1100" b="1"/>
          </a:p>
          <a:p>
            <a:endParaRPr lang="en-US" sz="1100" b="1"/>
          </a:p>
          <a:p>
            <a:endParaRPr lang="en-US" sz="1100" b="1"/>
          </a:p>
          <a:p>
            <a:r>
              <a:rPr lang="en-US" sz="1100" b="1"/>
              <a:t>                     </a:t>
            </a:r>
          </a:p>
          <a:p>
            <a:endParaRPr lang="en-US" sz="1100" b="1"/>
          </a:p>
          <a:p>
            <a:pPr marL="0" marR="0" lvl="0" indent="0" algn="ctr" defTabSz="914400" eaLnBrk="1" fontAlgn="auto" latinLnBrk="0" hangingPunct="1">
              <a:lnSpc>
                <a:spcPct val="100000"/>
              </a:lnSpc>
              <a:spcBef>
                <a:spcPts val="0"/>
              </a:spcBef>
              <a:spcAft>
                <a:spcPts val="0"/>
              </a:spcAft>
              <a:buClrTx/>
              <a:buSzTx/>
              <a:buFontTx/>
              <a:buNone/>
              <a:tabLst/>
              <a:defRPr/>
            </a:pPr>
            <a:r>
              <a:rPr lang="en-US" sz="1000" b="1">
                <a:solidFill>
                  <a:schemeClr val="dk1"/>
                </a:solidFill>
                <a:effectLst/>
                <a:latin typeface="+mn-lt"/>
                <a:ea typeface="+mn-ea"/>
                <a:cs typeface="+mn-cs"/>
              </a:rPr>
              <a:t>                                                 </a:t>
            </a:r>
            <a:endParaRPr lang="en-US" sz="1000">
              <a:effectLst/>
            </a:endParaRPr>
          </a:p>
        </xdr:txBody>
      </xdr:sp>
      <xdr:cxnSp macro="">
        <xdr:nvCxnSpPr>
          <xdr:cNvPr id="20" name="Straight Connector 19">
            <a:extLst>
              <a:ext uri="{FF2B5EF4-FFF2-40B4-BE49-F238E27FC236}">
                <a16:creationId xmlns:a16="http://schemas.microsoft.com/office/drawing/2014/main" id="{DE3EF67D-B88E-431D-8E11-6EADADB7C5E4}"/>
              </a:ext>
            </a:extLst>
          </xdr:cNvPr>
          <xdr:cNvCxnSpPr/>
        </xdr:nvCxnSpPr>
        <xdr:spPr>
          <a:xfrm>
            <a:off x="4829175" y="4995289"/>
            <a:ext cx="3905250"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xdr:col>
      <xdr:colOff>152401</xdr:colOff>
      <xdr:row>18</xdr:row>
      <xdr:rowOff>56715</xdr:rowOff>
    </xdr:from>
    <xdr:to>
      <xdr:col>7</xdr:col>
      <xdr:colOff>371475</xdr:colOff>
      <xdr:row>90</xdr:row>
      <xdr:rowOff>123824</xdr:rowOff>
    </xdr:to>
    <xdr:grpSp>
      <xdr:nvGrpSpPr>
        <xdr:cNvPr id="6" name="Group 5">
          <a:extLst>
            <a:ext uri="{FF2B5EF4-FFF2-40B4-BE49-F238E27FC236}">
              <a16:creationId xmlns:a16="http://schemas.microsoft.com/office/drawing/2014/main" id="{F694D17C-3348-4A37-90AA-B764B8E90652}"/>
            </a:ext>
          </a:extLst>
        </xdr:cNvPr>
        <xdr:cNvGrpSpPr/>
      </xdr:nvGrpSpPr>
      <xdr:grpSpPr>
        <a:xfrm>
          <a:off x="561976" y="3314265"/>
          <a:ext cx="4105274" cy="13097309"/>
          <a:chOff x="762001" y="3480953"/>
          <a:chExt cx="3876674" cy="13785292"/>
        </a:xfrm>
      </xdr:grpSpPr>
      <xdr:sp macro="" textlink="">
        <xdr:nvSpPr>
          <xdr:cNvPr id="5" name="TextBox 4">
            <a:extLst>
              <a:ext uri="{FF2B5EF4-FFF2-40B4-BE49-F238E27FC236}">
                <a16:creationId xmlns:a16="http://schemas.microsoft.com/office/drawing/2014/main" id="{86560BB9-A2BA-4943-A3B4-0D4977D8F2CA}"/>
              </a:ext>
            </a:extLst>
          </xdr:cNvPr>
          <xdr:cNvSpPr txBox="1"/>
        </xdr:nvSpPr>
        <xdr:spPr>
          <a:xfrm>
            <a:off x="762001" y="3480953"/>
            <a:ext cx="3876674" cy="13785292"/>
          </a:xfrm>
          <a:prstGeom prst="rect">
            <a:avLst/>
          </a:prstGeom>
          <a:gradFill>
            <a:gsLst>
              <a:gs pos="0">
                <a:schemeClr val="accent1">
                  <a:lumMod val="20000"/>
                  <a:lumOff val="80000"/>
                </a:schemeClr>
              </a:gs>
              <a:gs pos="100000">
                <a:schemeClr val="accent1">
                  <a:lumMod val="40000"/>
                  <a:lumOff val="60000"/>
                </a:schemeClr>
              </a:gs>
            </a:gsLst>
            <a:lin ang="5400000" scaled="1"/>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cap="all" baseline="0"/>
              <a:t>instructions</a:t>
            </a:r>
          </a:p>
          <a:p>
            <a:pPr algn="ctr"/>
            <a:endParaRPr lang="en-US" sz="1100" b="1" baseline="0"/>
          </a:p>
          <a:p>
            <a:pPr algn="ctr">
              <a:lnSpc>
                <a:spcPct val="100000"/>
              </a:lnSpc>
              <a:spcAft>
                <a:spcPts val="600"/>
              </a:spcAft>
            </a:pPr>
            <a:r>
              <a:rPr lang="en-US" sz="1100" b="1" u="sng" baseline="0"/>
              <a:t>Preliminary Requirements: </a:t>
            </a:r>
            <a:r>
              <a:rPr lang="en-US" sz="1100" b="1" baseline="0"/>
              <a:t> </a:t>
            </a:r>
          </a:p>
          <a:p>
            <a:pPr>
              <a:lnSpc>
                <a:spcPct val="100000"/>
              </a:lnSpc>
              <a:spcAft>
                <a:spcPts val="0"/>
              </a:spcAft>
            </a:pPr>
            <a:r>
              <a:rPr lang="en-US" sz="1100" baseline="0"/>
              <a:t>Lenders (submitters) are required to accurately complete for submission: a) capital needs (components and replacement alternatives); b) Initial and Annual Deposit amounts.  </a:t>
            </a:r>
          </a:p>
          <a:p>
            <a:pPr>
              <a:lnSpc>
                <a:spcPct val="100000"/>
              </a:lnSpc>
              <a:spcAft>
                <a:spcPts val="0"/>
              </a:spcAft>
            </a:pPr>
            <a:endParaRPr lang="en-US" sz="1100" baseline="0"/>
          </a:p>
          <a:p>
            <a:pPr>
              <a:lnSpc>
                <a:spcPct val="100000"/>
              </a:lnSpc>
              <a:spcAft>
                <a:spcPts val="0"/>
              </a:spcAft>
            </a:pPr>
            <a:endParaRPr lang="en-US" sz="1100" baseline="0"/>
          </a:p>
          <a:p>
            <a:pPr algn="ctr">
              <a:lnSpc>
                <a:spcPct val="100000"/>
              </a:lnSpc>
              <a:spcAft>
                <a:spcPts val="600"/>
              </a:spcAft>
            </a:pPr>
            <a:r>
              <a:rPr lang="en-US" sz="1100" b="1" u="sng" baseline="0"/>
              <a:t>CNA e-Tool Steps</a:t>
            </a:r>
          </a:p>
          <a:p>
            <a:pPr marL="0" marR="0" lvl="0" indent="0" defTabSz="914400" eaLnBrk="1" fontAlgn="auto" latinLnBrk="0" hangingPunct="1">
              <a:lnSpc>
                <a:spcPct val="100000"/>
              </a:lnSpc>
              <a:spcBef>
                <a:spcPts val="0"/>
              </a:spcBef>
              <a:spcAft>
                <a:spcPts val="600"/>
              </a:spcAft>
              <a:buClrTx/>
              <a:buSzTx/>
              <a:buFontTx/>
              <a:buNone/>
              <a:tabLst/>
              <a:defRPr/>
            </a:pPr>
            <a:r>
              <a:rPr lang="en-US" sz="1100" baseline="0"/>
              <a:t>Locate and open the CNA using the CNA eTool Web-app.  </a:t>
            </a:r>
          </a:p>
          <a:p>
            <a:pPr marL="0" marR="0" lvl="0" indent="0" defTabSz="914400" eaLnBrk="1" fontAlgn="auto" latinLnBrk="0" hangingPunct="1">
              <a:lnSpc>
                <a:spcPct val="100000"/>
              </a:lnSpc>
              <a:spcBef>
                <a:spcPts val="0"/>
              </a:spcBef>
              <a:spcAft>
                <a:spcPts val="600"/>
              </a:spcAft>
              <a:buClrTx/>
              <a:buSzTx/>
              <a:buFontTx/>
              <a:buNone/>
              <a:tabLst/>
              <a:defRPr/>
            </a:pPr>
            <a:r>
              <a:rPr lang="en-US" sz="1100" u="sng" baseline="0"/>
              <a:t>Step 1</a:t>
            </a:r>
            <a:r>
              <a:rPr lang="en-US" sz="1100" baseline="0"/>
              <a:t>:  Click on the "Validation" tab on the left sidebar and select "Financial Sched. &amp; Est. Period Recap" tab down below</a:t>
            </a:r>
            <a:r>
              <a:rPr lang="en-US" sz="1100" b="1" baseline="0"/>
              <a:t>. </a:t>
            </a:r>
            <a:r>
              <a:rPr lang="en-US" sz="1100" b="0" baseline="0"/>
              <a:t>Review the Financial Schedule for accuracy.</a:t>
            </a:r>
            <a:r>
              <a:rPr lang="en-US" sz="1100" b="1" baseline="0"/>
              <a:t>  </a:t>
            </a:r>
          </a:p>
          <a:p>
            <a:pPr marL="0" marR="0" lvl="0" indent="0" defTabSz="914400" eaLnBrk="1" fontAlgn="auto" latinLnBrk="0" hangingPunct="1">
              <a:lnSpc>
                <a:spcPct val="100000"/>
              </a:lnSpc>
              <a:spcBef>
                <a:spcPts val="0"/>
              </a:spcBef>
              <a:spcAft>
                <a:spcPts val="600"/>
              </a:spcAft>
              <a:buClrTx/>
              <a:buSzTx/>
              <a:buFontTx/>
              <a:buNone/>
              <a:tabLst/>
              <a:defRPr/>
            </a:pPr>
            <a:r>
              <a:rPr lang="en-US" sz="1100" b="1" i="0" baseline="0">
                <a:solidFill>
                  <a:schemeClr val="dk1"/>
                </a:solidFill>
                <a:effectLst/>
                <a:latin typeface="+mn-lt"/>
                <a:ea typeface="+mn-ea"/>
                <a:cs typeface="+mn-cs"/>
              </a:rPr>
              <a:t>[See Figure 1]</a:t>
            </a:r>
            <a:endParaRPr lang="en-US">
              <a:effectLst/>
            </a:endParaRPr>
          </a:p>
          <a:p>
            <a:pPr marL="0" marR="0" lvl="0" indent="0" defTabSz="914400" eaLnBrk="1" fontAlgn="auto" latinLnBrk="0" hangingPunct="1">
              <a:lnSpc>
                <a:spcPct val="100000"/>
              </a:lnSpc>
              <a:spcBef>
                <a:spcPts val="0"/>
              </a:spcBef>
              <a:spcAft>
                <a:spcPts val="600"/>
              </a:spcAft>
              <a:buClrTx/>
              <a:buSzTx/>
              <a:buFontTx/>
              <a:buNone/>
              <a:tabLst/>
              <a:defRPr/>
            </a:pPr>
            <a:endParaRPr lang="en-US">
              <a:effectLst/>
            </a:endParaRPr>
          </a:p>
          <a:p>
            <a:pPr>
              <a:lnSpc>
                <a:spcPct val="100000"/>
              </a:lnSpc>
              <a:spcAft>
                <a:spcPts val="600"/>
              </a:spcAft>
            </a:pPr>
            <a:r>
              <a:rPr lang="en-US" sz="1100" u="sng" baseline="0"/>
              <a:t>Step 2</a:t>
            </a:r>
            <a:r>
              <a:rPr lang="en-US" sz="1100" baseline="0"/>
              <a:t>:  Export the Financial Schedule by clicking "Options" button (located upper right corner) and selecting "Export this CNA".  </a:t>
            </a:r>
          </a:p>
          <a:p>
            <a:pPr>
              <a:lnSpc>
                <a:spcPct val="100000"/>
              </a:lnSpc>
              <a:spcAft>
                <a:spcPts val="600"/>
              </a:spcAft>
            </a:pPr>
            <a:r>
              <a:rPr lang="en-US" sz="1100" b="1" i="0" baseline="0"/>
              <a:t>[See Figure 2]</a:t>
            </a:r>
          </a:p>
          <a:p>
            <a:pPr>
              <a:lnSpc>
                <a:spcPct val="100000"/>
              </a:lnSpc>
              <a:spcAft>
                <a:spcPts val="600"/>
              </a:spcAft>
            </a:pPr>
            <a:endParaRPr lang="en-US" sz="1100" b="1" i="0" baseline="0"/>
          </a:p>
          <a:p>
            <a:pPr>
              <a:lnSpc>
                <a:spcPct val="100000"/>
              </a:lnSpc>
              <a:spcAft>
                <a:spcPts val="600"/>
              </a:spcAft>
            </a:pPr>
            <a:endParaRPr lang="en-US" sz="1100" b="1" i="0" baseline="0"/>
          </a:p>
          <a:p>
            <a:pPr>
              <a:lnSpc>
                <a:spcPct val="100000"/>
              </a:lnSpc>
              <a:spcAft>
                <a:spcPts val="600"/>
              </a:spcAft>
            </a:pPr>
            <a:endParaRPr lang="en-US" sz="1100" b="1" i="0" baseline="0"/>
          </a:p>
          <a:p>
            <a:pPr marL="0" marR="0" lvl="0" indent="0" defTabSz="914400" eaLnBrk="1" fontAlgn="auto" latinLnBrk="0" hangingPunct="1">
              <a:lnSpc>
                <a:spcPct val="100000"/>
              </a:lnSpc>
              <a:spcBef>
                <a:spcPts val="0"/>
              </a:spcBef>
              <a:spcAft>
                <a:spcPts val="600"/>
              </a:spcAft>
              <a:buClrTx/>
              <a:buSzTx/>
              <a:buFontTx/>
              <a:buNone/>
              <a:tabLst/>
              <a:defRPr/>
            </a:pPr>
            <a:r>
              <a:rPr lang="en-US" sz="1100" u="sng" baseline="0"/>
              <a:t>Step 3</a:t>
            </a:r>
            <a:r>
              <a:rPr lang="en-US" sz="1100" baseline="0"/>
              <a:t>:  In the Export Data pop-up window, check "Financial Schedule" and click "Export". An Excel file will download automatically.  </a:t>
            </a:r>
          </a:p>
          <a:p>
            <a:pPr marL="0" marR="0" lvl="0" indent="0" defTabSz="914400" eaLnBrk="1" fontAlgn="auto" latinLnBrk="0" hangingPunct="1">
              <a:lnSpc>
                <a:spcPct val="100000"/>
              </a:lnSpc>
              <a:spcBef>
                <a:spcPts val="0"/>
              </a:spcBef>
              <a:spcAft>
                <a:spcPts val="600"/>
              </a:spcAft>
              <a:buClrTx/>
              <a:buSzTx/>
              <a:buFontTx/>
              <a:buNone/>
              <a:tabLst/>
              <a:defRPr/>
            </a:pPr>
            <a:r>
              <a:rPr lang="en-US" sz="1100" b="1" i="0" baseline="0">
                <a:solidFill>
                  <a:schemeClr val="dk1"/>
                </a:solidFill>
                <a:effectLst/>
                <a:latin typeface="+mn-lt"/>
                <a:ea typeface="+mn-ea"/>
                <a:cs typeface="+mn-cs"/>
              </a:rPr>
              <a:t>[See Figure 3]</a:t>
            </a:r>
          </a:p>
          <a:p>
            <a:pPr marL="0" marR="0" lvl="0" indent="0" defTabSz="914400" eaLnBrk="1" fontAlgn="auto" latinLnBrk="0" hangingPunct="1">
              <a:lnSpc>
                <a:spcPct val="100000"/>
              </a:lnSpc>
              <a:spcBef>
                <a:spcPts val="0"/>
              </a:spcBef>
              <a:spcAft>
                <a:spcPts val="60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60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60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60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600"/>
              </a:spcAft>
              <a:buClrTx/>
              <a:buSzTx/>
              <a:buFontTx/>
              <a:buNone/>
              <a:tabLst/>
              <a:defRPr/>
            </a:pPr>
            <a:endParaRPr lang="en-US">
              <a:effectLst/>
            </a:endParaRPr>
          </a:p>
          <a:p>
            <a:pPr>
              <a:lnSpc>
                <a:spcPct val="100000"/>
              </a:lnSpc>
              <a:spcAft>
                <a:spcPts val="0"/>
              </a:spcAft>
            </a:pPr>
            <a:r>
              <a:rPr lang="en-US" sz="1100" u="sng" baseline="0"/>
              <a:t>Step 4</a:t>
            </a:r>
            <a:r>
              <a:rPr lang="en-US" sz="1100" baseline="0"/>
              <a:t>:  Open the downloaded Excel file and select the fields as shown (cells </a:t>
            </a:r>
            <a:r>
              <a:rPr lang="en-US" sz="1100" b="1" baseline="0"/>
              <a:t>B2</a:t>
            </a:r>
            <a:r>
              <a:rPr lang="en-US" sz="1100" baseline="0"/>
              <a:t> to </a:t>
            </a:r>
            <a:r>
              <a:rPr lang="en-US" sz="1100" b="1" baseline="0"/>
              <a:t>U14</a:t>
            </a:r>
            <a:r>
              <a:rPr lang="en-US" sz="1100" baseline="0"/>
              <a:t>). Make sure NOT to include Column A and Row 1 in your selection. Copy the selected cells (Ctrl + C).  </a:t>
            </a:r>
          </a:p>
          <a:p>
            <a:pPr>
              <a:lnSpc>
                <a:spcPct val="100000"/>
              </a:lnSpc>
              <a:spcAft>
                <a:spcPts val="0"/>
              </a:spcAft>
            </a:pPr>
            <a:r>
              <a:rPr lang="en-US" sz="1100" b="1" i="0" baseline="0"/>
              <a:t>[See Figure 4]</a:t>
            </a:r>
          </a:p>
          <a:p>
            <a:endParaRPr lang="en-US" sz="1100" b="1"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gn="ctr">
              <a:lnSpc>
                <a:spcPct val="100000"/>
              </a:lnSpc>
              <a:spcAft>
                <a:spcPts val="600"/>
              </a:spcAft>
            </a:pPr>
            <a:r>
              <a:rPr lang="en-US" sz="1100" b="1" u="sng" baseline="0"/>
              <a:t>Financial Factors Tool Steps:</a:t>
            </a:r>
          </a:p>
          <a:p>
            <a:pPr>
              <a:lnSpc>
                <a:spcPct val="100000"/>
              </a:lnSpc>
              <a:spcAft>
                <a:spcPts val="600"/>
              </a:spcAft>
            </a:pPr>
            <a:r>
              <a:rPr lang="en-US" sz="1100" u="sng" baseline="0"/>
              <a:t>Step 5</a:t>
            </a:r>
            <a:r>
              <a:rPr lang="en-US" sz="1100" baseline="0"/>
              <a:t>:  Go to the </a:t>
            </a:r>
            <a:r>
              <a:rPr lang="en-US" sz="1100" b="1" baseline="0"/>
              <a:t>"Paste Financial Sched." tab.</a:t>
            </a:r>
          </a:p>
          <a:p>
            <a:pPr marL="0" marR="0" lvl="0" indent="0" defTabSz="914400" eaLnBrk="1" fontAlgn="auto" latinLnBrk="0" hangingPunct="1">
              <a:lnSpc>
                <a:spcPct val="100000"/>
              </a:lnSpc>
              <a:spcBef>
                <a:spcPts val="0"/>
              </a:spcBef>
              <a:spcAft>
                <a:spcPts val="600"/>
              </a:spcAft>
              <a:buClrTx/>
              <a:buSzTx/>
              <a:buFontTx/>
              <a:buNone/>
              <a:tabLst/>
              <a:defRPr/>
            </a:pPr>
            <a:r>
              <a:rPr lang="en-US" sz="1100" b="1" i="0" baseline="0">
                <a:solidFill>
                  <a:schemeClr val="dk1"/>
                </a:solidFill>
                <a:effectLst/>
                <a:latin typeface="+mn-lt"/>
                <a:ea typeface="+mn-ea"/>
                <a:cs typeface="+mn-cs"/>
              </a:rPr>
              <a:t>[See Figure 5]</a:t>
            </a:r>
            <a:endParaRPr lang="en-US">
              <a:effectLst/>
            </a:endParaRPr>
          </a:p>
          <a:p>
            <a:pPr>
              <a:lnSpc>
                <a:spcPct val="100000"/>
              </a:lnSpc>
              <a:spcAft>
                <a:spcPts val="600"/>
              </a:spcAft>
            </a:pPr>
            <a:endParaRPr lang="en-US" sz="1100" b="1"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u="sng" baseline="0"/>
              <a:t>Step 6</a:t>
            </a:r>
            <a:r>
              <a:rPr lang="en-US" sz="1100" baseline="0"/>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t>Paste the copied data </a:t>
            </a:r>
            <a:r>
              <a:rPr lang="en-US" sz="1100" baseline="0"/>
              <a:t>(Step 4) into the matching data fields </a:t>
            </a:r>
            <a:r>
              <a:rPr lang="en-US" sz="1100" b="0" baseline="0"/>
              <a:t>(Descriptions and Years, cells B2 to U14) </a:t>
            </a:r>
            <a:r>
              <a:rPr lang="en-US" sz="1100" baseline="0"/>
              <a:t>in the "Paste Financial Sched." tab.  </a:t>
            </a:r>
            <a:r>
              <a:rPr lang="en-US" sz="1100" b="1" i="0" baseline="0">
                <a:solidFill>
                  <a:schemeClr val="dk1"/>
                </a:solidFill>
                <a:effectLst/>
                <a:latin typeface="+mn-lt"/>
                <a:ea typeface="+mn-ea"/>
                <a:cs typeface="+mn-cs"/>
              </a:rPr>
              <a:t>[See Figure 6]</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It is recommended that you paste the copied data as "values" only by right-clicking on the Cell B2 and select          "Values (V)" from the options menu.  </a:t>
            </a:r>
            <a:r>
              <a:rPr lang="en-US" sz="1100" b="1" i="0" baseline="0">
                <a:solidFill>
                  <a:schemeClr val="dk1"/>
                </a:solidFill>
                <a:effectLst/>
                <a:latin typeface="+mn-lt"/>
                <a:ea typeface="+mn-ea"/>
                <a:cs typeface="+mn-cs"/>
              </a:rPr>
              <a:t>[See Figure 7]</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endParaRPr lang="en-US" sz="1100" baseline="0"/>
          </a:p>
          <a:p>
            <a:pPr>
              <a:lnSpc>
                <a:spcPct val="100000"/>
              </a:lnSpc>
              <a:spcAft>
                <a:spcPts val="0"/>
              </a:spcAft>
            </a:pPr>
            <a:r>
              <a:rPr lang="en-US" sz="1100" baseline="0"/>
              <a:t>  </a:t>
            </a:r>
          </a:p>
          <a:p>
            <a:r>
              <a:rPr lang="en-US" sz="1100" baseline="0"/>
              <a:t> </a:t>
            </a:r>
          </a:p>
          <a:p>
            <a:r>
              <a:rPr lang="en-US" sz="1100" baseline="0"/>
              <a:t>         </a:t>
            </a:r>
          </a:p>
        </xdr:txBody>
      </xdr:sp>
      <xdr:cxnSp macro="">
        <xdr:nvCxnSpPr>
          <xdr:cNvPr id="21" name="Straight Connector 20">
            <a:extLst>
              <a:ext uri="{FF2B5EF4-FFF2-40B4-BE49-F238E27FC236}">
                <a16:creationId xmlns:a16="http://schemas.microsoft.com/office/drawing/2014/main" id="{14121104-C9AC-4D46-9E87-DAD7FE898A1D}"/>
              </a:ext>
            </a:extLst>
          </xdr:cNvPr>
          <xdr:cNvCxnSpPr/>
        </xdr:nvCxnSpPr>
        <xdr:spPr>
          <a:xfrm>
            <a:off x="914401" y="5011179"/>
            <a:ext cx="3581399"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8</xdr:col>
      <xdr:colOff>38100</xdr:colOff>
      <xdr:row>27</xdr:row>
      <xdr:rowOff>57150</xdr:rowOff>
    </xdr:from>
    <xdr:to>
      <xdr:col>10</xdr:col>
      <xdr:colOff>550669</xdr:colOff>
      <xdr:row>30</xdr:row>
      <xdr:rowOff>38100</xdr:rowOff>
    </xdr:to>
    <xdr:pic>
      <xdr:nvPicPr>
        <xdr:cNvPr id="15" name="Picture 14">
          <a:extLst>
            <a:ext uri="{FF2B5EF4-FFF2-40B4-BE49-F238E27FC236}">
              <a16:creationId xmlns:a16="http://schemas.microsoft.com/office/drawing/2014/main" id="{BCE3CD81-FA39-4CD3-A598-45EA3CC13761}"/>
            </a:ext>
          </a:extLst>
        </xdr:cNvPr>
        <xdr:cNvPicPr>
          <a:picLocks noChangeAspect="1"/>
        </xdr:cNvPicPr>
      </xdr:nvPicPr>
      <xdr:blipFill>
        <a:blip xmlns:r="http://schemas.openxmlformats.org/officeDocument/2006/relationships" r:embed="rId1"/>
        <a:stretch>
          <a:fillRect/>
        </a:stretch>
      </xdr:blipFill>
      <xdr:spPr>
        <a:xfrm>
          <a:off x="5048250" y="4943475"/>
          <a:ext cx="1827019" cy="523875"/>
        </a:xfrm>
        <a:prstGeom prst="rect">
          <a:avLst/>
        </a:prstGeom>
        <a:effectLst>
          <a:outerShdw blurRad="50800" dist="38100" dir="2700000" algn="tl" rotWithShape="0">
            <a:prstClr val="black">
              <a:alpha val="40000"/>
            </a:prstClr>
          </a:outerShdw>
        </a:effectLst>
      </xdr:spPr>
    </xdr:pic>
    <xdr:clientData/>
  </xdr:twoCellAnchor>
  <xdr:twoCellAnchor editAs="oneCell">
    <xdr:from>
      <xdr:col>10</xdr:col>
      <xdr:colOff>142875</xdr:colOff>
      <xdr:row>28</xdr:row>
      <xdr:rowOff>85725</xdr:rowOff>
    </xdr:from>
    <xdr:to>
      <xdr:col>10</xdr:col>
      <xdr:colOff>495300</xdr:colOff>
      <xdr:row>30</xdr:row>
      <xdr:rowOff>76200</xdr:rowOff>
    </xdr:to>
    <xdr:pic>
      <xdr:nvPicPr>
        <xdr:cNvPr id="19" name="Graphic 18" descr="Cursor">
          <a:extLst>
            <a:ext uri="{FF2B5EF4-FFF2-40B4-BE49-F238E27FC236}">
              <a16:creationId xmlns:a16="http://schemas.microsoft.com/office/drawing/2014/main" id="{B71F4F83-6A0E-47D5-890C-C8E08A3E4F3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67475" y="5153025"/>
          <a:ext cx="352425" cy="352425"/>
        </a:xfrm>
        <a:prstGeom prst="rect">
          <a:avLst/>
        </a:prstGeom>
      </xdr:spPr>
    </xdr:pic>
    <xdr:clientData/>
  </xdr:twoCellAnchor>
  <xdr:twoCellAnchor editAs="oneCell">
    <xdr:from>
      <xdr:col>11</xdr:col>
      <xdr:colOff>190501</xdr:colOff>
      <xdr:row>27</xdr:row>
      <xdr:rowOff>76200</xdr:rowOff>
    </xdr:from>
    <xdr:to>
      <xdr:col>13</xdr:col>
      <xdr:colOff>609601</xdr:colOff>
      <xdr:row>30</xdr:row>
      <xdr:rowOff>114806</xdr:rowOff>
    </xdr:to>
    <xdr:pic>
      <xdr:nvPicPr>
        <xdr:cNvPr id="24" name="Picture 23">
          <a:extLst>
            <a:ext uri="{FF2B5EF4-FFF2-40B4-BE49-F238E27FC236}">
              <a16:creationId xmlns:a16="http://schemas.microsoft.com/office/drawing/2014/main" id="{65919814-5F1E-49C9-92FE-AFC46173A9E3}"/>
            </a:ext>
          </a:extLst>
        </xdr:cNvPr>
        <xdr:cNvPicPr>
          <a:picLocks noChangeAspect="1"/>
        </xdr:cNvPicPr>
      </xdr:nvPicPr>
      <xdr:blipFill>
        <a:blip xmlns:r="http://schemas.openxmlformats.org/officeDocument/2006/relationships" r:embed="rId4"/>
        <a:stretch>
          <a:fillRect/>
        </a:stretch>
      </xdr:blipFill>
      <xdr:spPr>
        <a:xfrm>
          <a:off x="7172326" y="4962525"/>
          <a:ext cx="1733550" cy="581531"/>
        </a:xfrm>
        <a:prstGeom prst="rect">
          <a:avLst/>
        </a:prstGeom>
        <a:effectLst>
          <a:outerShdw blurRad="50800" dist="38100" dir="2700000" algn="tl" rotWithShape="0">
            <a:prstClr val="black">
              <a:alpha val="40000"/>
            </a:prstClr>
          </a:outerShdw>
        </a:effectLst>
      </xdr:spPr>
    </xdr:pic>
    <xdr:clientData/>
  </xdr:twoCellAnchor>
  <xdr:twoCellAnchor editAs="oneCell">
    <xdr:from>
      <xdr:col>13</xdr:col>
      <xdr:colOff>342900</xdr:colOff>
      <xdr:row>28</xdr:row>
      <xdr:rowOff>123825</xdr:rowOff>
    </xdr:from>
    <xdr:to>
      <xdr:col>14</xdr:col>
      <xdr:colOff>38100</xdr:colOff>
      <xdr:row>30</xdr:row>
      <xdr:rowOff>114300</xdr:rowOff>
    </xdr:to>
    <xdr:pic>
      <xdr:nvPicPr>
        <xdr:cNvPr id="25" name="Graphic 24" descr="Cursor">
          <a:extLst>
            <a:ext uri="{FF2B5EF4-FFF2-40B4-BE49-F238E27FC236}">
              <a16:creationId xmlns:a16="http://schemas.microsoft.com/office/drawing/2014/main" id="{F11F7070-D14D-433C-8E67-4F44049C481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639175" y="5191125"/>
          <a:ext cx="352425" cy="352425"/>
        </a:xfrm>
        <a:prstGeom prst="rect">
          <a:avLst/>
        </a:prstGeom>
      </xdr:spPr>
    </xdr:pic>
    <xdr:clientData/>
  </xdr:twoCellAnchor>
  <xdr:twoCellAnchor editAs="oneCell">
    <xdr:from>
      <xdr:col>8</xdr:col>
      <xdr:colOff>517525</xdr:colOff>
      <xdr:row>32</xdr:row>
      <xdr:rowOff>167842</xdr:rowOff>
    </xdr:from>
    <xdr:to>
      <xdr:col>13</xdr:col>
      <xdr:colOff>136525</xdr:colOff>
      <xdr:row>39</xdr:row>
      <xdr:rowOff>139334</xdr:rowOff>
    </xdr:to>
    <xdr:pic>
      <xdr:nvPicPr>
        <xdr:cNvPr id="26" name="Picture 25">
          <a:extLst>
            <a:ext uri="{FF2B5EF4-FFF2-40B4-BE49-F238E27FC236}">
              <a16:creationId xmlns:a16="http://schemas.microsoft.com/office/drawing/2014/main" id="{654DEFC3-7B49-4206-B094-3820E1A553CC}"/>
            </a:ext>
          </a:extLst>
        </xdr:cNvPr>
        <xdr:cNvPicPr>
          <a:picLocks noChangeAspect="1"/>
        </xdr:cNvPicPr>
      </xdr:nvPicPr>
      <xdr:blipFill>
        <a:blip xmlns:r="http://schemas.openxmlformats.org/officeDocument/2006/relationships" r:embed="rId5"/>
        <a:stretch>
          <a:fillRect/>
        </a:stretch>
      </xdr:blipFill>
      <xdr:spPr>
        <a:xfrm>
          <a:off x="5362575" y="6060642"/>
          <a:ext cx="2794000" cy="1260542"/>
        </a:xfrm>
        <a:prstGeom prst="rect">
          <a:avLst/>
        </a:prstGeom>
        <a:effectLst>
          <a:outerShdw blurRad="50800" dist="38100" dir="2700000" algn="tl" rotWithShape="0">
            <a:prstClr val="black">
              <a:alpha val="40000"/>
            </a:prstClr>
          </a:outerShdw>
        </a:effectLst>
      </xdr:spPr>
    </xdr:pic>
    <xdr:clientData/>
  </xdr:twoCellAnchor>
  <xdr:twoCellAnchor editAs="oneCell">
    <xdr:from>
      <xdr:col>11</xdr:col>
      <xdr:colOff>28573</xdr:colOff>
      <xdr:row>35</xdr:row>
      <xdr:rowOff>142875</xdr:rowOff>
    </xdr:from>
    <xdr:to>
      <xdr:col>11</xdr:col>
      <xdr:colOff>380998</xdr:colOff>
      <xdr:row>37</xdr:row>
      <xdr:rowOff>133350</xdr:rowOff>
    </xdr:to>
    <xdr:pic>
      <xdr:nvPicPr>
        <xdr:cNvPr id="27" name="Graphic 26" descr="Cursor">
          <a:extLst>
            <a:ext uri="{FF2B5EF4-FFF2-40B4-BE49-F238E27FC236}">
              <a16:creationId xmlns:a16="http://schemas.microsoft.com/office/drawing/2014/main" id="{7D55D193-CD44-485E-BE14-62140304664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289409" flipH="1">
          <a:off x="7010398" y="6477000"/>
          <a:ext cx="352425" cy="352425"/>
        </a:xfrm>
        <a:prstGeom prst="rect">
          <a:avLst/>
        </a:prstGeom>
      </xdr:spPr>
    </xdr:pic>
    <xdr:clientData/>
  </xdr:twoCellAnchor>
  <xdr:twoCellAnchor editAs="oneCell">
    <xdr:from>
      <xdr:col>7</xdr:col>
      <xdr:colOff>581555</xdr:colOff>
      <xdr:row>42</xdr:row>
      <xdr:rowOff>152400</xdr:rowOff>
    </xdr:from>
    <xdr:to>
      <xdr:col>14</xdr:col>
      <xdr:colOff>180975</xdr:colOff>
      <xdr:row>46</xdr:row>
      <xdr:rowOff>142875</xdr:rowOff>
    </xdr:to>
    <xdr:pic>
      <xdr:nvPicPr>
        <xdr:cNvPr id="28" name="Picture 27">
          <a:extLst>
            <a:ext uri="{FF2B5EF4-FFF2-40B4-BE49-F238E27FC236}">
              <a16:creationId xmlns:a16="http://schemas.microsoft.com/office/drawing/2014/main" id="{DA1A39DB-8D6C-4AF0-8590-9D33BFE53FAE}"/>
            </a:ext>
          </a:extLst>
        </xdr:cNvPr>
        <xdr:cNvPicPr>
          <a:picLocks noChangeAspect="1"/>
        </xdr:cNvPicPr>
      </xdr:nvPicPr>
      <xdr:blipFill rotWithShape="1">
        <a:blip xmlns:r="http://schemas.openxmlformats.org/officeDocument/2006/relationships" r:embed="rId6"/>
        <a:srcRect b="64086"/>
        <a:stretch/>
      </xdr:blipFill>
      <xdr:spPr>
        <a:xfrm>
          <a:off x="4934480" y="7753350"/>
          <a:ext cx="4199995" cy="714375"/>
        </a:xfrm>
        <a:prstGeom prst="rect">
          <a:avLst/>
        </a:prstGeom>
        <a:effectLst>
          <a:outerShdw blurRad="50800" dist="38100" dir="2700000" algn="tl" rotWithShape="0">
            <a:prstClr val="black">
              <a:alpha val="40000"/>
            </a:prstClr>
          </a:outerShdw>
        </a:effectLst>
      </xdr:spPr>
    </xdr:pic>
    <xdr:clientData/>
  </xdr:twoCellAnchor>
  <xdr:twoCellAnchor>
    <xdr:from>
      <xdr:col>7</xdr:col>
      <xdr:colOff>439271</xdr:colOff>
      <xdr:row>18</xdr:row>
      <xdr:rowOff>57438</xdr:rowOff>
    </xdr:from>
    <xdr:to>
      <xdr:col>14</xdr:col>
      <xdr:colOff>56009</xdr:colOff>
      <xdr:row>18</xdr:row>
      <xdr:rowOff>57438</xdr:rowOff>
    </xdr:to>
    <xdr:cxnSp macro="">
      <xdr:nvCxnSpPr>
        <xdr:cNvPr id="32" name="Straight Connector 31">
          <a:extLst>
            <a:ext uri="{FF2B5EF4-FFF2-40B4-BE49-F238E27FC236}">
              <a16:creationId xmlns:a16="http://schemas.microsoft.com/office/drawing/2014/main" id="{3C443916-645E-4C32-9CE5-F12A2B481880}"/>
            </a:ext>
          </a:extLst>
        </xdr:cNvPr>
        <xdr:cNvCxnSpPr/>
      </xdr:nvCxnSpPr>
      <xdr:spPr>
        <a:xfrm>
          <a:off x="4792196" y="3314988"/>
          <a:ext cx="4217313"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561975</xdr:colOff>
      <xdr:row>32</xdr:row>
      <xdr:rowOff>123825</xdr:rowOff>
    </xdr:from>
    <xdr:to>
      <xdr:col>14</xdr:col>
      <xdr:colOff>178713</xdr:colOff>
      <xdr:row>32</xdr:row>
      <xdr:rowOff>123825</xdr:rowOff>
    </xdr:to>
    <xdr:cxnSp macro="">
      <xdr:nvCxnSpPr>
        <xdr:cNvPr id="33" name="Straight Connector 32">
          <a:extLst>
            <a:ext uri="{FF2B5EF4-FFF2-40B4-BE49-F238E27FC236}">
              <a16:creationId xmlns:a16="http://schemas.microsoft.com/office/drawing/2014/main" id="{E25AC92A-A876-4C86-8B09-825785D19ED9}"/>
            </a:ext>
          </a:extLst>
        </xdr:cNvPr>
        <xdr:cNvCxnSpPr/>
      </xdr:nvCxnSpPr>
      <xdr:spPr>
        <a:xfrm>
          <a:off x="4914900" y="5915025"/>
          <a:ext cx="4217313"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581025</xdr:colOff>
      <xdr:row>42</xdr:row>
      <xdr:rowOff>19050</xdr:rowOff>
    </xdr:from>
    <xdr:to>
      <xdr:col>14</xdr:col>
      <xdr:colOff>197763</xdr:colOff>
      <xdr:row>42</xdr:row>
      <xdr:rowOff>19050</xdr:rowOff>
    </xdr:to>
    <xdr:cxnSp macro="">
      <xdr:nvCxnSpPr>
        <xdr:cNvPr id="34" name="Straight Connector 33">
          <a:extLst>
            <a:ext uri="{FF2B5EF4-FFF2-40B4-BE49-F238E27FC236}">
              <a16:creationId xmlns:a16="http://schemas.microsoft.com/office/drawing/2014/main" id="{F01065D7-1946-44D2-98F4-98AD73AAD68F}"/>
            </a:ext>
          </a:extLst>
        </xdr:cNvPr>
        <xdr:cNvCxnSpPr/>
      </xdr:nvCxnSpPr>
      <xdr:spPr>
        <a:xfrm>
          <a:off x="4933950" y="7620000"/>
          <a:ext cx="4217313"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581025</xdr:colOff>
      <xdr:row>47</xdr:row>
      <xdr:rowOff>0</xdr:rowOff>
    </xdr:from>
    <xdr:to>
      <xdr:col>14</xdr:col>
      <xdr:colOff>180445</xdr:colOff>
      <xdr:row>51</xdr:row>
      <xdr:rowOff>141259</xdr:rowOff>
    </xdr:to>
    <xdr:pic>
      <xdr:nvPicPr>
        <xdr:cNvPr id="35" name="Picture 34">
          <a:extLst>
            <a:ext uri="{FF2B5EF4-FFF2-40B4-BE49-F238E27FC236}">
              <a16:creationId xmlns:a16="http://schemas.microsoft.com/office/drawing/2014/main" id="{3083D6C0-6B91-4E40-B92B-FD4EED58EBD5}"/>
            </a:ext>
          </a:extLst>
        </xdr:cNvPr>
        <xdr:cNvPicPr>
          <a:picLocks noChangeAspect="1"/>
        </xdr:cNvPicPr>
      </xdr:nvPicPr>
      <xdr:blipFill rotWithShape="1">
        <a:blip xmlns:r="http://schemas.openxmlformats.org/officeDocument/2006/relationships" r:embed="rId6"/>
        <a:srcRect t="56505"/>
        <a:stretch/>
      </xdr:blipFill>
      <xdr:spPr>
        <a:xfrm>
          <a:off x="4933950" y="8505825"/>
          <a:ext cx="4199995" cy="865159"/>
        </a:xfrm>
        <a:prstGeom prst="rect">
          <a:avLst/>
        </a:prstGeom>
        <a:effectLst>
          <a:outerShdw blurRad="50800" dist="38100" dir="2700000" algn="tl" rotWithShape="0">
            <a:prstClr val="black">
              <a:alpha val="40000"/>
            </a:prstClr>
          </a:outerShdw>
        </a:effectLst>
      </xdr:spPr>
    </xdr:pic>
    <xdr:clientData/>
  </xdr:twoCellAnchor>
  <xdr:twoCellAnchor editAs="oneCell">
    <xdr:from>
      <xdr:col>12</xdr:col>
      <xdr:colOff>219075</xdr:colOff>
      <xdr:row>47</xdr:row>
      <xdr:rowOff>142875</xdr:rowOff>
    </xdr:from>
    <xdr:to>
      <xdr:col>12</xdr:col>
      <xdr:colOff>571500</xdr:colOff>
      <xdr:row>49</xdr:row>
      <xdr:rowOff>133350</xdr:rowOff>
    </xdr:to>
    <xdr:pic>
      <xdr:nvPicPr>
        <xdr:cNvPr id="36" name="Graphic 35" descr="Cursor">
          <a:extLst>
            <a:ext uri="{FF2B5EF4-FFF2-40B4-BE49-F238E27FC236}">
              <a16:creationId xmlns:a16="http://schemas.microsoft.com/office/drawing/2014/main" id="{DA1DEBD1-73D2-4CFA-8863-F5A32F634F7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289409" flipH="1">
          <a:off x="7858125" y="8648700"/>
          <a:ext cx="352425" cy="352425"/>
        </a:xfrm>
        <a:prstGeom prst="rect">
          <a:avLst/>
        </a:prstGeom>
      </xdr:spPr>
    </xdr:pic>
    <xdr:clientData/>
  </xdr:twoCellAnchor>
  <xdr:twoCellAnchor editAs="oneCell">
    <xdr:from>
      <xdr:col>11</xdr:col>
      <xdr:colOff>342900</xdr:colOff>
      <xdr:row>50</xdr:row>
      <xdr:rowOff>161925</xdr:rowOff>
    </xdr:from>
    <xdr:to>
      <xdr:col>11</xdr:col>
      <xdr:colOff>609600</xdr:colOff>
      <xdr:row>52</xdr:row>
      <xdr:rowOff>66675</xdr:rowOff>
    </xdr:to>
    <xdr:pic>
      <xdr:nvPicPr>
        <xdr:cNvPr id="37" name="Graphic 36" descr="Cursor">
          <a:extLst>
            <a:ext uri="{FF2B5EF4-FFF2-40B4-BE49-F238E27FC236}">
              <a16:creationId xmlns:a16="http://schemas.microsoft.com/office/drawing/2014/main" id="{1BB32D78-6D2C-4A3A-8B8B-78F69169A4B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324725" y="9210675"/>
          <a:ext cx="266700" cy="266700"/>
        </a:xfrm>
        <a:prstGeom prst="rect">
          <a:avLst/>
        </a:prstGeom>
      </xdr:spPr>
    </xdr:pic>
    <xdr:clientData/>
  </xdr:twoCellAnchor>
  <xdr:twoCellAnchor editAs="oneCell">
    <xdr:from>
      <xdr:col>7</xdr:col>
      <xdr:colOff>564134</xdr:colOff>
      <xdr:row>54</xdr:row>
      <xdr:rowOff>36736</xdr:rowOff>
    </xdr:from>
    <xdr:to>
      <xdr:col>11</xdr:col>
      <xdr:colOff>56030</xdr:colOff>
      <xdr:row>62</xdr:row>
      <xdr:rowOff>105898</xdr:rowOff>
    </xdr:to>
    <xdr:pic>
      <xdr:nvPicPr>
        <xdr:cNvPr id="38" name="Picture 37">
          <a:extLst>
            <a:ext uri="{FF2B5EF4-FFF2-40B4-BE49-F238E27FC236}">
              <a16:creationId xmlns:a16="http://schemas.microsoft.com/office/drawing/2014/main" id="{B137506D-2D5D-4D30-B855-2DBA1BBB9A79}"/>
            </a:ext>
          </a:extLst>
        </xdr:cNvPr>
        <xdr:cNvPicPr>
          <a:picLocks noChangeAspect="1"/>
        </xdr:cNvPicPr>
      </xdr:nvPicPr>
      <xdr:blipFill rotWithShape="1">
        <a:blip xmlns:r="http://schemas.openxmlformats.org/officeDocument/2006/relationships" r:embed="rId7"/>
        <a:srcRect r="76098"/>
        <a:stretch/>
      </xdr:blipFill>
      <xdr:spPr>
        <a:xfrm>
          <a:off x="4917059" y="9809386"/>
          <a:ext cx="2120796" cy="1516962"/>
        </a:xfrm>
        <a:prstGeom prst="rect">
          <a:avLst/>
        </a:prstGeom>
        <a:effectLst>
          <a:outerShdw blurRad="50800" dist="38100" dir="2700000" algn="tl" rotWithShape="0">
            <a:prstClr val="black">
              <a:alpha val="40000"/>
            </a:prstClr>
          </a:outerShdw>
        </a:effectLst>
      </xdr:spPr>
    </xdr:pic>
    <xdr:clientData/>
  </xdr:twoCellAnchor>
  <xdr:twoCellAnchor editAs="oneCell">
    <xdr:from>
      <xdr:col>11</xdr:col>
      <xdr:colOff>114020</xdr:colOff>
      <xdr:row>54</xdr:row>
      <xdr:rowOff>28015</xdr:rowOff>
    </xdr:from>
    <xdr:to>
      <xdr:col>14</xdr:col>
      <xdr:colOff>182178</xdr:colOff>
      <xdr:row>62</xdr:row>
      <xdr:rowOff>97177</xdr:rowOff>
    </xdr:to>
    <xdr:pic>
      <xdr:nvPicPr>
        <xdr:cNvPr id="39" name="Picture 38">
          <a:extLst>
            <a:ext uri="{FF2B5EF4-FFF2-40B4-BE49-F238E27FC236}">
              <a16:creationId xmlns:a16="http://schemas.microsoft.com/office/drawing/2014/main" id="{189A1720-94DA-426C-9EDF-C8A8261614BC}"/>
            </a:ext>
          </a:extLst>
        </xdr:cNvPr>
        <xdr:cNvPicPr>
          <a:picLocks noChangeAspect="1"/>
        </xdr:cNvPicPr>
      </xdr:nvPicPr>
      <xdr:blipFill rotWithShape="1">
        <a:blip xmlns:r="http://schemas.openxmlformats.org/officeDocument/2006/relationships" r:embed="rId7"/>
        <a:srcRect l="76916"/>
        <a:stretch/>
      </xdr:blipFill>
      <xdr:spPr>
        <a:xfrm>
          <a:off x="7095845" y="9800665"/>
          <a:ext cx="2039833" cy="1516962"/>
        </a:xfrm>
        <a:prstGeom prst="rect">
          <a:avLst/>
        </a:prstGeom>
        <a:effectLst>
          <a:outerShdw blurRad="50800" dist="38100" dir="2700000" algn="tl" rotWithShape="0">
            <a:prstClr val="black">
              <a:alpha val="40000"/>
            </a:prstClr>
          </a:outerShdw>
        </a:effectLst>
      </xdr:spPr>
    </xdr:pic>
    <xdr:clientData/>
  </xdr:twoCellAnchor>
  <xdr:twoCellAnchor editAs="oneCell">
    <xdr:from>
      <xdr:col>14</xdr:col>
      <xdr:colOff>28575</xdr:colOff>
      <xdr:row>61</xdr:row>
      <xdr:rowOff>152400</xdr:rowOff>
    </xdr:from>
    <xdr:to>
      <xdr:col>14</xdr:col>
      <xdr:colOff>295275</xdr:colOff>
      <xdr:row>63</xdr:row>
      <xdr:rowOff>57150</xdr:rowOff>
    </xdr:to>
    <xdr:pic>
      <xdr:nvPicPr>
        <xdr:cNvPr id="40" name="Graphic 39" descr="Cursor">
          <a:extLst>
            <a:ext uri="{FF2B5EF4-FFF2-40B4-BE49-F238E27FC236}">
              <a16:creationId xmlns:a16="http://schemas.microsoft.com/office/drawing/2014/main" id="{CB179AA7-5B91-4AE7-BCB8-AC2A717B976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982075" y="11191875"/>
          <a:ext cx="266700" cy="266700"/>
        </a:xfrm>
        <a:prstGeom prst="rect">
          <a:avLst/>
        </a:prstGeom>
      </xdr:spPr>
    </xdr:pic>
    <xdr:clientData/>
  </xdr:twoCellAnchor>
  <xdr:twoCellAnchor editAs="oneCell">
    <xdr:from>
      <xdr:col>9</xdr:col>
      <xdr:colOff>219899</xdr:colOff>
      <xdr:row>54</xdr:row>
      <xdr:rowOff>172683</xdr:rowOff>
    </xdr:from>
    <xdr:to>
      <xdr:col>9</xdr:col>
      <xdr:colOff>496343</xdr:colOff>
      <xdr:row>56</xdr:row>
      <xdr:rowOff>87177</xdr:rowOff>
    </xdr:to>
    <xdr:pic>
      <xdr:nvPicPr>
        <xdr:cNvPr id="41" name="Graphic 40" descr="Cursor">
          <a:extLst>
            <a:ext uri="{FF2B5EF4-FFF2-40B4-BE49-F238E27FC236}">
              <a16:creationId xmlns:a16="http://schemas.microsoft.com/office/drawing/2014/main" id="{7C1FA629-FC43-4164-A3FB-A5B0C6FEA3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289409" flipH="1">
          <a:off x="5887274" y="9945333"/>
          <a:ext cx="276444" cy="276444"/>
        </a:xfrm>
        <a:prstGeom prst="rect">
          <a:avLst/>
        </a:prstGeom>
      </xdr:spPr>
    </xdr:pic>
    <xdr:clientData/>
  </xdr:twoCellAnchor>
  <xdr:twoCellAnchor>
    <xdr:from>
      <xdr:col>7</xdr:col>
      <xdr:colOff>581025</xdr:colOff>
      <xdr:row>53</xdr:row>
      <xdr:rowOff>104775</xdr:rowOff>
    </xdr:from>
    <xdr:to>
      <xdr:col>14</xdr:col>
      <xdr:colOff>197763</xdr:colOff>
      <xdr:row>53</xdr:row>
      <xdr:rowOff>104775</xdr:rowOff>
    </xdr:to>
    <xdr:cxnSp macro="">
      <xdr:nvCxnSpPr>
        <xdr:cNvPr id="42" name="Straight Connector 41">
          <a:extLst>
            <a:ext uri="{FF2B5EF4-FFF2-40B4-BE49-F238E27FC236}">
              <a16:creationId xmlns:a16="http://schemas.microsoft.com/office/drawing/2014/main" id="{885C1EE4-88D2-4CEC-A2C1-F02417EE2851}"/>
            </a:ext>
          </a:extLst>
        </xdr:cNvPr>
        <xdr:cNvCxnSpPr/>
      </xdr:nvCxnSpPr>
      <xdr:spPr>
        <a:xfrm>
          <a:off x="4933950" y="9696450"/>
          <a:ext cx="4217313"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581025</xdr:colOff>
      <xdr:row>65</xdr:row>
      <xdr:rowOff>28575</xdr:rowOff>
    </xdr:from>
    <xdr:to>
      <xdr:col>14</xdr:col>
      <xdr:colOff>197763</xdr:colOff>
      <xdr:row>65</xdr:row>
      <xdr:rowOff>28575</xdr:rowOff>
    </xdr:to>
    <xdr:cxnSp macro="">
      <xdr:nvCxnSpPr>
        <xdr:cNvPr id="43" name="Straight Connector 42">
          <a:extLst>
            <a:ext uri="{FF2B5EF4-FFF2-40B4-BE49-F238E27FC236}">
              <a16:creationId xmlns:a16="http://schemas.microsoft.com/office/drawing/2014/main" id="{60512108-1888-4189-BECA-6C13EA504947}"/>
            </a:ext>
          </a:extLst>
        </xdr:cNvPr>
        <xdr:cNvCxnSpPr/>
      </xdr:nvCxnSpPr>
      <xdr:spPr>
        <a:xfrm>
          <a:off x="4933950" y="11791950"/>
          <a:ext cx="4217313"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514350</xdr:colOff>
      <xdr:row>65</xdr:row>
      <xdr:rowOff>161925</xdr:rowOff>
    </xdr:from>
    <xdr:to>
      <xdr:col>13</xdr:col>
      <xdr:colOff>285750</xdr:colOff>
      <xdr:row>68</xdr:row>
      <xdr:rowOff>8900</xdr:rowOff>
    </xdr:to>
    <xdr:pic>
      <xdr:nvPicPr>
        <xdr:cNvPr id="44" name="Picture 43">
          <a:extLst>
            <a:ext uri="{FF2B5EF4-FFF2-40B4-BE49-F238E27FC236}">
              <a16:creationId xmlns:a16="http://schemas.microsoft.com/office/drawing/2014/main" id="{B1A28C77-E376-449A-8A0E-F72432192CB7}"/>
            </a:ext>
          </a:extLst>
        </xdr:cNvPr>
        <xdr:cNvPicPr>
          <a:picLocks noChangeAspect="1"/>
        </xdr:cNvPicPr>
      </xdr:nvPicPr>
      <xdr:blipFill>
        <a:blip xmlns:r="http://schemas.openxmlformats.org/officeDocument/2006/relationships" r:embed="rId8"/>
        <a:stretch>
          <a:fillRect/>
        </a:stretch>
      </xdr:blipFill>
      <xdr:spPr>
        <a:xfrm>
          <a:off x="5524500" y="11925300"/>
          <a:ext cx="3057525" cy="389900"/>
        </a:xfrm>
        <a:prstGeom prst="rect">
          <a:avLst/>
        </a:prstGeom>
        <a:effectLst>
          <a:outerShdw blurRad="50800" dist="38100" dir="2700000" algn="tl" rotWithShape="0">
            <a:prstClr val="black">
              <a:alpha val="40000"/>
            </a:prstClr>
          </a:outerShdw>
        </a:effectLst>
      </xdr:spPr>
    </xdr:pic>
    <xdr:clientData/>
  </xdr:twoCellAnchor>
  <xdr:twoCellAnchor editAs="oneCell">
    <xdr:from>
      <xdr:col>10</xdr:col>
      <xdr:colOff>133350</xdr:colOff>
      <xdr:row>66</xdr:row>
      <xdr:rowOff>57150</xdr:rowOff>
    </xdr:from>
    <xdr:to>
      <xdr:col>10</xdr:col>
      <xdr:colOff>485775</xdr:colOff>
      <xdr:row>68</xdr:row>
      <xdr:rowOff>47625</xdr:rowOff>
    </xdr:to>
    <xdr:pic>
      <xdr:nvPicPr>
        <xdr:cNvPr id="45" name="Graphic 44" descr="Cursor">
          <a:extLst>
            <a:ext uri="{FF2B5EF4-FFF2-40B4-BE49-F238E27FC236}">
              <a16:creationId xmlns:a16="http://schemas.microsoft.com/office/drawing/2014/main" id="{899DE7C4-3DD5-4ADD-91CB-19D6DF1A2B2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289409" flipH="1">
          <a:off x="6457950" y="12001500"/>
          <a:ext cx="352425" cy="352425"/>
        </a:xfrm>
        <a:prstGeom prst="rect">
          <a:avLst/>
        </a:prstGeom>
      </xdr:spPr>
    </xdr:pic>
    <xdr:clientData/>
  </xdr:twoCellAnchor>
  <xdr:twoCellAnchor>
    <xdr:from>
      <xdr:col>7</xdr:col>
      <xdr:colOff>581025</xdr:colOff>
      <xdr:row>69</xdr:row>
      <xdr:rowOff>123825</xdr:rowOff>
    </xdr:from>
    <xdr:to>
      <xdr:col>14</xdr:col>
      <xdr:colOff>197763</xdr:colOff>
      <xdr:row>69</xdr:row>
      <xdr:rowOff>123825</xdr:rowOff>
    </xdr:to>
    <xdr:cxnSp macro="">
      <xdr:nvCxnSpPr>
        <xdr:cNvPr id="46" name="Straight Connector 45">
          <a:extLst>
            <a:ext uri="{FF2B5EF4-FFF2-40B4-BE49-F238E27FC236}">
              <a16:creationId xmlns:a16="http://schemas.microsoft.com/office/drawing/2014/main" id="{2DCB8364-296A-46B3-8AFF-E68E779F9989}"/>
            </a:ext>
          </a:extLst>
        </xdr:cNvPr>
        <xdr:cNvCxnSpPr/>
      </xdr:nvCxnSpPr>
      <xdr:spPr>
        <a:xfrm>
          <a:off x="4933950" y="12611100"/>
          <a:ext cx="4217313" cy="0"/>
        </a:xfrm>
        <a:prstGeom prst="line">
          <a:avLst/>
        </a:prstGeom>
        <a:ln w="12700" cmpd="thinThick"/>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571498</xdr:colOff>
      <xdr:row>70</xdr:row>
      <xdr:rowOff>47625</xdr:rowOff>
    </xdr:from>
    <xdr:to>
      <xdr:col>11</xdr:col>
      <xdr:colOff>47625</xdr:colOff>
      <xdr:row>79</xdr:row>
      <xdr:rowOff>104775</xdr:rowOff>
    </xdr:to>
    <xdr:pic>
      <xdr:nvPicPr>
        <xdr:cNvPr id="4" name="Picture 3">
          <a:extLst>
            <a:ext uri="{FF2B5EF4-FFF2-40B4-BE49-F238E27FC236}">
              <a16:creationId xmlns:a16="http://schemas.microsoft.com/office/drawing/2014/main" id="{01D8C55C-3531-4039-B5AF-7EF5A373DE0D}"/>
            </a:ext>
          </a:extLst>
        </xdr:cNvPr>
        <xdr:cNvPicPr>
          <a:picLocks noChangeAspect="1"/>
        </xdr:cNvPicPr>
      </xdr:nvPicPr>
      <xdr:blipFill rotWithShape="1">
        <a:blip xmlns:r="http://schemas.openxmlformats.org/officeDocument/2006/relationships" r:embed="rId9"/>
        <a:srcRect r="78971"/>
        <a:stretch/>
      </xdr:blipFill>
      <xdr:spPr>
        <a:xfrm>
          <a:off x="4924423" y="12715875"/>
          <a:ext cx="2105027" cy="1685925"/>
        </a:xfrm>
        <a:prstGeom prst="rect">
          <a:avLst/>
        </a:prstGeom>
        <a:effectLst>
          <a:outerShdw blurRad="50800" dist="38100" dir="2700000" algn="tl" rotWithShape="0">
            <a:prstClr val="black">
              <a:alpha val="40000"/>
            </a:prstClr>
          </a:outerShdw>
        </a:effectLst>
      </xdr:spPr>
    </xdr:pic>
    <xdr:clientData/>
  </xdr:twoCellAnchor>
  <xdr:twoCellAnchor editAs="oneCell">
    <xdr:from>
      <xdr:col>11</xdr:col>
      <xdr:colOff>114300</xdr:colOff>
      <xdr:row>70</xdr:row>
      <xdr:rowOff>47625</xdr:rowOff>
    </xdr:from>
    <xdr:to>
      <xdr:col>14</xdr:col>
      <xdr:colOff>152401</xdr:colOff>
      <xdr:row>79</xdr:row>
      <xdr:rowOff>104775</xdr:rowOff>
    </xdr:to>
    <xdr:pic>
      <xdr:nvPicPr>
        <xdr:cNvPr id="48" name="Picture 47">
          <a:extLst>
            <a:ext uri="{FF2B5EF4-FFF2-40B4-BE49-F238E27FC236}">
              <a16:creationId xmlns:a16="http://schemas.microsoft.com/office/drawing/2014/main" id="{8D1679C3-EB77-4181-BF3D-F2B5BD69CF68}"/>
            </a:ext>
          </a:extLst>
        </xdr:cNvPr>
        <xdr:cNvPicPr>
          <a:picLocks noChangeAspect="1"/>
        </xdr:cNvPicPr>
      </xdr:nvPicPr>
      <xdr:blipFill rotWithShape="1">
        <a:blip xmlns:r="http://schemas.openxmlformats.org/officeDocument/2006/relationships" r:embed="rId9"/>
        <a:srcRect l="79832" r="91"/>
        <a:stretch/>
      </xdr:blipFill>
      <xdr:spPr>
        <a:xfrm>
          <a:off x="7096125" y="12715875"/>
          <a:ext cx="2009776" cy="1685925"/>
        </a:xfrm>
        <a:prstGeom prst="rect">
          <a:avLst/>
        </a:prstGeom>
        <a:effectLst>
          <a:outerShdw blurRad="50800" dist="38100" dir="2700000" algn="tl" rotWithShape="0">
            <a:prstClr val="black">
              <a:alpha val="40000"/>
            </a:prstClr>
          </a:outerShdw>
        </a:effectLst>
      </xdr:spPr>
    </xdr:pic>
    <xdr:clientData/>
  </xdr:twoCellAnchor>
  <xdr:twoCellAnchor editAs="oneCell">
    <xdr:from>
      <xdr:col>9</xdr:col>
      <xdr:colOff>533400</xdr:colOff>
      <xdr:row>81</xdr:row>
      <xdr:rowOff>95250</xdr:rowOff>
    </xdr:from>
    <xdr:to>
      <xdr:col>12</xdr:col>
      <xdr:colOff>276918</xdr:colOff>
      <xdr:row>88</xdr:row>
      <xdr:rowOff>123825</xdr:rowOff>
    </xdr:to>
    <xdr:pic>
      <xdr:nvPicPr>
        <xdr:cNvPr id="7" name="Picture 6">
          <a:extLst>
            <a:ext uri="{FF2B5EF4-FFF2-40B4-BE49-F238E27FC236}">
              <a16:creationId xmlns:a16="http://schemas.microsoft.com/office/drawing/2014/main" id="{F6F68AFC-75F5-4644-931B-F2170CDF9988}"/>
            </a:ext>
          </a:extLst>
        </xdr:cNvPr>
        <xdr:cNvPicPr>
          <a:picLocks noChangeAspect="1"/>
        </xdr:cNvPicPr>
      </xdr:nvPicPr>
      <xdr:blipFill>
        <a:blip xmlns:r="http://schemas.openxmlformats.org/officeDocument/2006/relationships" r:embed="rId10"/>
        <a:stretch>
          <a:fillRect/>
        </a:stretch>
      </xdr:blipFill>
      <xdr:spPr>
        <a:xfrm>
          <a:off x="6200775" y="14754225"/>
          <a:ext cx="1715193" cy="1295400"/>
        </a:xfrm>
        <a:prstGeom prst="rect">
          <a:avLst/>
        </a:prstGeom>
        <a:effectLst>
          <a:outerShdw blurRad="50800" dist="38100" dir="2700000" algn="tl" rotWithShape="0">
            <a:prstClr val="black">
              <a:alpha val="40000"/>
            </a:prstClr>
          </a:outerShdw>
        </a:effectLst>
      </xdr:spPr>
    </xdr:pic>
    <xdr:clientData/>
  </xdr:twoCellAnchor>
  <xdr:twoCellAnchor editAs="oneCell">
    <xdr:from>
      <xdr:col>10</xdr:col>
      <xdr:colOff>409573</xdr:colOff>
      <xdr:row>86</xdr:row>
      <xdr:rowOff>38100</xdr:rowOff>
    </xdr:from>
    <xdr:to>
      <xdr:col>11</xdr:col>
      <xdr:colOff>28792</xdr:colOff>
      <xdr:row>87</xdr:row>
      <xdr:rowOff>133569</xdr:rowOff>
    </xdr:to>
    <xdr:pic>
      <xdr:nvPicPr>
        <xdr:cNvPr id="50" name="Graphic 49" descr="Cursor">
          <a:extLst>
            <a:ext uri="{FF2B5EF4-FFF2-40B4-BE49-F238E27FC236}">
              <a16:creationId xmlns:a16="http://schemas.microsoft.com/office/drawing/2014/main" id="{C021C690-B913-403B-B4E3-7F6F71D684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flipH="1">
          <a:off x="6734173" y="15601950"/>
          <a:ext cx="276444" cy="276444"/>
        </a:xfrm>
        <a:prstGeom prst="rect">
          <a:avLst/>
        </a:prstGeom>
      </xdr:spPr>
    </xdr:pic>
    <xdr:clientData/>
  </xdr:twoCellAnchor>
  <xdr:twoCellAnchor editAs="oneCell">
    <xdr:from>
      <xdr:col>9</xdr:col>
      <xdr:colOff>305624</xdr:colOff>
      <xdr:row>71</xdr:row>
      <xdr:rowOff>58384</xdr:rowOff>
    </xdr:from>
    <xdr:to>
      <xdr:col>9</xdr:col>
      <xdr:colOff>582068</xdr:colOff>
      <xdr:row>72</xdr:row>
      <xdr:rowOff>153853</xdr:rowOff>
    </xdr:to>
    <xdr:pic>
      <xdr:nvPicPr>
        <xdr:cNvPr id="51" name="Graphic 50" descr="Cursor">
          <a:extLst>
            <a:ext uri="{FF2B5EF4-FFF2-40B4-BE49-F238E27FC236}">
              <a16:creationId xmlns:a16="http://schemas.microsoft.com/office/drawing/2014/main" id="{6E831FE0-8609-4A5C-9F1F-58C956EF5C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289409" flipH="1">
          <a:off x="5972999" y="12907609"/>
          <a:ext cx="276444" cy="276444"/>
        </a:xfrm>
        <a:prstGeom prst="rect">
          <a:avLst/>
        </a:prstGeom>
      </xdr:spPr>
    </xdr:pic>
    <xdr:clientData/>
  </xdr:twoCellAnchor>
  <xdr:twoCellAnchor editAs="oneCell">
    <xdr:from>
      <xdr:col>13</xdr:col>
      <xdr:colOff>561975</xdr:colOff>
      <xdr:row>78</xdr:row>
      <xdr:rowOff>114300</xdr:rowOff>
    </xdr:from>
    <xdr:to>
      <xdr:col>14</xdr:col>
      <xdr:colOff>171450</xdr:colOff>
      <xdr:row>80</xdr:row>
      <xdr:rowOff>19050</xdr:rowOff>
    </xdr:to>
    <xdr:pic>
      <xdr:nvPicPr>
        <xdr:cNvPr id="53" name="Graphic 52" descr="Cursor">
          <a:extLst>
            <a:ext uri="{FF2B5EF4-FFF2-40B4-BE49-F238E27FC236}">
              <a16:creationId xmlns:a16="http://schemas.microsoft.com/office/drawing/2014/main" id="{A3F60C27-A720-4B73-AAF0-EE2FEBD55EA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858250" y="14230350"/>
          <a:ext cx="266700" cy="266700"/>
        </a:xfrm>
        <a:prstGeom prst="rect">
          <a:avLst/>
        </a:prstGeom>
      </xdr:spPr>
    </xdr:pic>
    <xdr:clientData/>
  </xdr:twoCellAnchor>
  <xdr:twoCellAnchor editAs="oneCell">
    <xdr:from>
      <xdr:col>9</xdr:col>
      <xdr:colOff>410399</xdr:colOff>
      <xdr:row>82</xdr:row>
      <xdr:rowOff>67907</xdr:rowOff>
    </xdr:from>
    <xdr:to>
      <xdr:col>10</xdr:col>
      <xdr:colOff>29618</xdr:colOff>
      <xdr:row>83</xdr:row>
      <xdr:rowOff>163376</xdr:rowOff>
    </xdr:to>
    <xdr:pic>
      <xdr:nvPicPr>
        <xdr:cNvPr id="54" name="Graphic 53" descr="Cursor">
          <a:extLst>
            <a:ext uri="{FF2B5EF4-FFF2-40B4-BE49-F238E27FC236}">
              <a16:creationId xmlns:a16="http://schemas.microsoft.com/office/drawing/2014/main" id="{6F4EE66E-4F57-46A1-A89A-248E5DD77EE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rot="1289409" flipH="1">
          <a:off x="6077774" y="14907857"/>
          <a:ext cx="276444" cy="276444"/>
        </a:xfrm>
        <a:prstGeom prst="rect">
          <a:avLst/>
        </a:prstGeom>
      </xdr:spPr>
    </xdr:pic>
    <xdr:clientData/>
  </xdr:twoCellAnchor>
  <xdr:twoCellAnchor editAs="oneCell">
    <xdr:from>
      <xdr:col>4</xdr:col>
      <xdr:colOff>495301</xdr:colOff>
      <xdr:row>76</xdr:row>
      <xdr:rowOff>180974</xdr:rowOff>
    </xdr:from>
    <xdr:to>
      <xdr:col>5</xdr:col>
      <xdr:colOff>47626</xdr:colOff>
      <xdr:row>78</xdr:row>
      <xdr:rowOff>75183</xdr:rowOff>
    </xdr:to>
    <xdr:pic>
      <xdr:nvPicPr>
        <xdr:cNvPr id="11" name="Picture 10">
          <a:extLst>
            <a:ext uri="{FF2B5EF4-FFF2-40B4-BE49-F238E27FC236}">
              <a16:creationId xmlns:a16="http://schemas.microsoft.com/office/drawing/2014/main" id="{46879B04-CAD6-4193-9416-760000ABF2EB}"/>
            </a:ext>
          </a:extLst>
        </xdr:cNvPr>
        <xdr:cNvPicPr>
          <a:picLocks noChangeAspect="1"/>
        </xdr:cNvPicPr>
      </xdr:nvPicPr>
      <xdr:blipFill rotWithShape="1">
        <a:blip xmlns:r="http://schemas.openxmlformats.org/officeDocument/2006/relationships" r:embed="rId11"/>
        <a:srcRect t="15370" r="6250"/>
        <a:stretch/>
      </xdr:blipFill>
      <xdr:spPr>
        <a:xfrm>
          <a:off x="2876551" y="13935074"/>
          <a:ext cx="209550" cy="25615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136071</xdr:colOff>
      <xdr:row>8</xdr:row>
      <xdr:rowOff>638176</xdr:rowOff>
    </xdr:from>
    <xdr:to>
      <xdr:col>4</xdr:col>
      <xdr:colOff>514669</xdr:colOff>
      <xdr:row>8</xdr:row>
      <xdr:rowOff>1847850</xdr:rowOff>
    </xdr:to>
    <xdr:pic>
      <xdr:nvPicPr>
        <xdr:cNvPr id="2" name="Picture 1">
          <a:extLst>
            <a:ext uri="{FF2B5EF4-FFF2-40B4-BE49-F238E27FC236}">
              <a16:creationId xmlns:a16="http://schemas.microsoft.com/office/drawing/2014/main" id="{5C2F3E83-A4AA-479A-8F11-3F4C3C4085E6}"/>
            </a:ext>
          </a:extLst>
        </xdr:cNvPr>
        <xdr:cNvPicPr>
          <a:picLocks noChangeAspect="1"/>
        </xdr:cNvPicPr>
      </xdr:nvPicPr>
      <xdr:blipFill>
        <a:blip xmlns:r="http://schemas.openxmlformats.org/officeDocument/2006/relationships" r:embed="rId1"/>
        <a:stretch>
          <a:fillRect/>
        </a:stretch>
      </xdr:blipFill>
      <xdr:spPr>
        <a:xfrm>
          <a:off x="1479096" y="2495551"/>
          <a:ext cx="8451036" cy="120967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9</xdr:col>
      <xdr:colOff>314325</xdr:colOff>
      <xdr:row>1</xdr:row>
      <xdr:rowOff>28575</xdr:rowOff>
    </xdr:from>
    <xdr:to>
      <xdr:col>12</xdr:col>
      <xdr:colOff>247650</xdr:colOff>
      <xdr:row>6</xdr:row>
      <xdr:rowOff>28575</xdr:rowOff>
    </xdr:to>
    <xdr:sp macro="" textlink="">
      <xdr:nvSpPr>
        <xdr:cNvPr id="3" name="TextBox 2">
          <a:extLst>
            <a:ext uri="{FF2B5EF4-FFF2-40B4-BE49-F238E27FC236}">
              <a16:creationId xmlns:a16="http://schemas.microsoft.com/office/drawing/2014/main" id="{1542BCD0-2DA4-4A49-8516-B02F6D041F24}"/>
            </a:ext>
          </a:extLst>
        </xdr:cNvPr>
        <xdr:cNvSpPr txBox="1"/>
      </xdr:nvSpPr>
      <xdr:spPr>
        <a:xfrm>
          <a:off x="10915650" y="3686175"/>
          <a:ext cx="2847975"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100"/>
            <a:t>Note 1: MAP Guidelines require only that RY1 and RY2 RfR ending balances be &gt;$0, so</a:t>
          </a:r>
          <a:r>
            <a:rPr lang="en-US" sz="1100" baseline="0"/>
            <a:t> that meeting the RY1 and RY2 Minimum Balances is not required. A Negative RfR balance in either RY1 or RY2 is a MAP Guideline violation.</a:t>
          </a:r>
          <a:endParaRPr 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133351</xdr:colOff>
      <xdr:row>128</xdr:row>
      <xdr:rowOff>88900</xdr:rowOff>
    </xdr:from>
    <xdr:to>
      <xdr:col>12</xdr:col>
      <xdr:colOff>114301</xdr:colOff>
      <xdr:row>153</xdr:row>
      <xdr:rowOff>25400</xdr:rowOff>
    </xdr:to>
    <xdr:graphicFrame macro="">
      <xdr:nvGraphicFramePr>
        <xdr:cNvPr id="3" name="Chart 2">
          <a:extLst>
            <a:ext uri="{FF2B5EF4-FFF2-40B4-BE49-F238E27FC236}">
              <a16:creationId xmlns:a16="http://schemas.microsoft.com/office/drawing/2014/main" id="{00000000-0008-0000-0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365124</xdr:colOff>
      <xdr:row>128</xdr:row>
      <xdr:rowOff>85724</xdr:rowOff>
    </xdr:from>
    <xdr:to>
      <xdr:col>17</xdr:col>
      <xdr:colOff>622300</xdr:colOff>
      <xdr:row>153</xdr:row>
      <xdr:rowOff>38099</xdr:rowOff>
    </xdr:to>
    <xdr:graphicFrame macro="">
      <xdr:nvGraphicFramePr>
        <xdr:cNvPr id="4" name="Chart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1006474</xdr:colOff>
      <xdr:row>128</xdr:row>
      <xdr:rowOff>168274</xdr:rowOff>
    </xdr:from>
    <xdr:to>
      <xdr:col>22</xdr:col>
      <xdr:colOff>1092200</xdr:colOff>
      <xdr:row>153</xdr:row>
      <xdr:rowOff>12700</xdr:rowOff>
    </xdr:to>
    <xdr:graphicFrame macro="">
      <xdr:nvGraphicFramePr>
        <xdr:cNvPr id="5" name="Chart 4">
          <a:extLst>
            <a:ext uri="{FF2B5EF4-FFF2-40B4-BE49-F238E27FC236}">
              <a16:creationId xmlns:a16="http://schemas.microsoft.com/office/drawing/2014/main" id="{00000000-0008-0000-09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133349</xdr:colOff>
      <xdr:row>154</xdr:row>
      <xdr:rowOff>63500</xdr:rowOff>
    </xdr:from>
    <xdr:to>
      <xdr:col>12</xdr:col>
      <xdr:colOff>165100</xdr:colOff>
      <xdr:row>179</xdr:row>
      <xdr:rowOff>165100</xdr:rowOff>
    </xdr:to>
    <xdr:graphicFrame macro="">
      <xdr:nvGraphicFramePr>
        <xdr:cNvPr id="7" name="Chart 6">
          <a:extLst>
            <a:ext uri="{FF2B5EF4-FFF2-40B4-BE49-F238E27FC236}">
              <a16:creationId xmlns:a16="http://schemas.microsoft.com/office/drawing/2014/main" id="{00000000-0008-0000-09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377824</xdr:colOff>
      <xdr:row>154</xdr:row>
      <xdr:rowOff>114299</xdr:rowOff>
    </xdr:from>
    <xdr:to>
      <xdr:col>17</xdr:col>
      <xdr:colOff>685800</xdr:colOff>
      <xdr:row>180</xdr:row>
      <xdr:rowOff>0</xdr:rowOff>
    </xdr:to>
    <xdr:graphicFrame macro="">
      <xdr:nvGraphicFramePr>
        <xdr:cNvPr id="8" name="Chart 7">
          <a:extLst>
            <a:ext uri="{FF2B5EF4-FFF2-40B4-BE49-F238E27FC236}">
              <a16:creationId xmlns:a16="http://schemas.microsoft.com/office/drawing/2014/main" id="{00000000-0008-0000-09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987425</xdr:colOff>
      <xdr:row>154</xdr:row>
      <xdr:rowOff>22225</xdr:rowOff>
    </xdr:from>
    <xdr:to>
      <xdr:col>22</xdr:col>
      <xdr:colOff>1244600</xdr:colOff>
      <xdr:row>179</xdr:row>
      <xdr:rowOff>165100</xdr:rowOff>
    </xdr:to>
    <xdr:graphicFrame macro="">
      <xdr:nvGraphicFramePr>
        <xdr:cNvPr id="9" name="Chart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190500</xdr:colOff>
      <xdr:row>180</xdr:row>
      <xdr:rowOff>177800</xdr:rowOff>
    </xdr:from>
    <xdr:to>
      <xdr:col>12</xdr:col>
      <xdr:colOff>190500</xdr:colOff>
      <xdr:row>205</xdr:row>
      <xdr:rowOff>0</xdr:rowOff>
    </xdr:to>
    <xdr:graphicFrame macro="">
      <xdr:nvGraphicFramePr>
        <xdr:cNvPr id="10" name="Chart 9">
          <a:extLst>
            <a:ext uri="{FF2B5EF4-FFF2-40B4-BE49-F238E27FC236}">
              <a16:creationId xmlns:a16="http://schemas.microsoft.com/office/drawing/2014/main"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393700</xdr:colOff>
      <xdr:row>181</xdr:row>
      <xdr:rowOff>63500</xdr:rowOff>
    </xdr:from>
    <xdr:to>
      <xdr:col>17</xdr:col>
      <xdr:colOff>762000</xdr:colOff>
      <xdr:row>205</xdr:row>
      <xdr:rowOff>76200</xdr:rowOff>
    </xdr:to>
    <xdr:graphicFrame macro="">
      <xdr:nvGraphicFramePr>
        <xdr:cNvPr id="11" name="Chart 10">
          <a:extLst>
            <a:ext uri="{FF2B5EF4-FFF2-40B4-BE49-F238E27FC236}">
              <a16:creationId xmlns:a16="http://schemas.microsoft.com/office/drawing/2014/main"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1000125</xdr:colOff>
      <xdr:row>181</xdr:row>
      <xdr:rowOff>35718</xdr:rowOff>
    </xdr:from>
    <xdr:to>
      <xdr:col>22</xdr:col>
      <xdr:colOff>1297782</xdr:colOff>
      <xdr:row>205</xdr:row>
      <xdr:rowOff>48418</xdr:rowOff>
    </xdr:to>
    <xdr:graphicFrame macro="">
      <xdr:nvGraphicFramePr>
        <xdr:cNvPr id="13" name="Chart 12">
          <a:extLst>
            <a:ext uri="{FF2B5EF4-FFF2-40B4-BE49-F238E27FC236}">
              <a16:creationId xmlns:a16="http://schemas.microsoft.com/office/drawing/2014/main" id="{00000000-0008-0000-09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122767</xdr:colOff>
      <xdr:row>85</xdr:row>
      <xdr:rowOff>176741</xdr:rowOff>
    </xdr:from>
    <xdr:to>
      <xdr:col>8</xdr:col>
      <xdr:colOff>719667</xdr:colOff>
      <xdr:row>87</xdr:row>
      <xdr:rowOff>473075</xdr:rowOff>
    </xdr:to>
    <xdr:sp macro="" textlink="">
      <xdr:nvSpPr>
        <xdr:cNvPr id="2" name="Speech Bubble: Rectangle 1">
          <a:extLst>
            <a:ext uri="{FF2B5EF4-FFF2-40B4-BE49-F238E27FC236}">
              <a16:creationId xmlns:a16="http://schemas.microsoft.com/office/drawing/2014/main" id="{00000000-0008-0000-0900-000002000000}"/>
            </a:ext>
          </a:extLst>
        </xdr:cNvPr>
        <xdr:cNvSpPr/>
      </xdr:nvSpPr>
      <xdr:spPr>
        <a:xfrm>
          <a:off x="465667" y="16302566"/>
          <a:ext cx="5959475" cy="677334"/>
        </a:xfrm>
        <a:prstGeom prst="wedgeRectCallou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t>THIS</a:t>
          </a:r>
          <a:r>
            <a:rPr lang="en-US" sz="1200" b="1" baseline="0"/>
            <a:t> WHOLE SECTION IS NOT RELEVANT OR APPROPRIATE SINCE THERE IS NO 10-YEAR AVERAGE REQUIRED MINIMUM BALANCE TEST. ALL REFERENCES TO THE 10 YEAR AVG ARE APPROPRIATELY NOW TRANSFERED TO THE 20 YEAR AVERAGE (SEE BELOW)</a:t>
          </a:r>
          <a:endParaRPr lang="en-US" sz="1200" b="1"/>
        </a:p>
      </xdr:txBody>
    </xdr:sp>
    <xdr:clientData/>
  </xdr:twoCellAnchor>
  <xdr:twoCellAnchor>
    <xdr:from>
      <xdr:col>8</xdr:col>
      <xdr:colOff>371475</xdr:colOff>
      <xdr:row>103</xdr:row>
      <xdr:rowOff>66675</xdr:rowOff>
    </xdr:from>
    <xdr:to>
      <xdr:col>12</xdr:col>
      <xdr:colOff>1200150</xdr:colOff>
      <xdr:row>105</xdr:row>
      <xdr:rowOff>142875</xdr:rowOff>
    </xdr:to>
    <xdr:sp macro="" textlink="">
      <xdr:nvSpPr>
        <xdr:cNvPr id="12" name="TextBox 1">
          <a:extLst>
            <a:ext uri="{FF2B5EF4-FFF2-40B4-BE49-F238E27FC236}">
              <a16:creationId xmlns:a16="http://schemas.microsoft.com/office/drawing/2014/main" id="{00000000-0008-0000-0900-00000C000000}"/>
            </a:ext>
          </a:extLst>
        </xdr:cNvPr>
        <xdr:cNvSpPr txBox="1"/>
      </xdr:nvSpPr>
      <xdr:spPr>
        <a:xfrm>
          <a:off x="6076950" y="19964400"/>
          <a:ext cx="6686550" cy="4762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100"/>
            <a:t>Note 1: MAP Guidelines require only that RY1 and RY2 RfR ending balances be &gt;$0, so</a:t>
          </a:r>
          <a:r>
            <a:rPr lang="en-US" sz="1100" baseline="0"/>
            <a:t> that meeting the RY1 and RY2 Minimum Balances is not required. A Negative RfR balance in either RY1 or RY2 is a MAP Guideline violation.</a:t>
          </a:r>
          <a:endParaRPr 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22</xdr:col>
      <xdr:colOff>581025</xdr:colOff>
      <xdr:row>71</xdr:row>
      <xdr:rowOff>133350</xdr:rowOff>
    </xdr:from>
    <xdr:to>
      <xdr:col>28</xdr:col>
      <xdr:colOff>9525</xdr:colOff>
      <xdr:row>86</xdr:row>
      <xdr:rowOff>19050</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123825</xdr:colOff>
      <xdr:row>71</xdr:row>
      <xdr:rowOff>133350</xdr:rowOff>
    </xdr:from>
    <xdr:to>
      <xdr:col>22</xdr:col>
      <xdr:colOff>409575</xdr:colOff>
      <xdr:row>86</xdr:row>
      <xdr:rowOff>19050</xdr:rowOff>
    </xdr:to>
    <xdr:graphicFrame macro="">
      <xdr:nvGraphicFramePr>
        <xdr:cNvPr id="3" name="Chart 2">
          <a:extLst>
            <a:ext uri="{FF2B5EF4-FFF2-40B4-BE49-F238E27FC236}">
              <a16:creationId xmlns:a16="http://schemas.microsoft.com/office/drawing/2014/main" id="{00000000-0008-0000-0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495300</xdr:colOff>
      <xdr:row>71</xdr:row>
      <xdr:rowOff>123825</xdr:rowOff>
    </xdr:from>
    <xdr:to>
      <xdr:col>16</xdr:col>
      <xdr:colOff>781050</xdr:colOff>
      <xdr:row>86</xdr:row>
      <xdr:rowOff>9525</xdr:rowOff>
    </xdr:to>
    <xdr:graphicFrame macro="">
      <xdr:nvGraphicFramePr>
        <xdr:cNvPr id="4" name="Chart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47625</xdr:colOff>
      <xdr:row>71</xdr:row>
      <xdr:rowOff>114300</xdr:rowOff>
    </xdr:from>
    <xdr:to>
      <xdr:col>11</xdr:col>
      <xdr:colOff>352425</xdr:colOff>
      <xdr:row>86</xdr:row>
      <xdr:rowOff>0</xdr:rowOff>
    </xdr:to>
    <xdr:graphicFrame macro="">
      <xdr:nvGraphicFramePr>
        <xdr:cNvPr id="5" name="Chart 4">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576262</xdr:colOff>
      <xdr:row>87</xdr:row>
      <xdr:rowOff>166687</xdr:rowOff>
    </xdr:from>
    <xdr:to>
      <xdr:col>17</xdr:col>
      <xdr:colOff>4762</xdr:colOff>
      <xdr:row>102</xdr:row>
      <xdr:rowOff>52387</xdr:rowOff>
    </xdr:to>
    <xdr:graphicFrame macro="">
      <xdr:nvGraphicFramePr>
        <xdr:cNvPr id="6" name="Chart 5">
          <a:extLst>
            <a:ext uri="{FF2B5EF4-FFF2-40B4-BE49-F238E27FC236}">
              <a16:creationId xmlns:a16="http://schemas.microsoft.com/office/drawing/2014/main" id="{00000000-0008-0000-07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33337</xdr:colOff>
      <xdr:row>87</xdr:row>
      <xdr:rowOff>138112</xdr:rowOff>
    </xdr:from>
    <xdr:to>
      <xdr:col>11</xdr:col>
      <xdr:colOff>338137</xdr:colOff>
      <xdr:row>102</xdr:row>
      <xdr:rowOff>23812</xdr:rowOff>
    </xdr:to>
    <xdr:graphicFrame macro="">
      <xdr:nvGraphicFramePr>
        <xdr:cNvPr id="7" name="Chart 6">
          <a:extLst>
            <a:ext uri="{FF2B5EF4-FFF2-40B4-BE49-F238E27FC236}">
              <a16:creationId xmlns:a16="http://schemas.microsoft.com/office/drawing/2014/main" id="{00000000-0008-0000-07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242887</xdr:colOff>
      <xdr:row>87</xdr:row>
      <xdr:rowOff>157163</xdr:rowOff>
    </xdr:from>
    <xdr:to>
      <xdr:col>22</xdr:col>
      <xdr:colOff>528637</xdr:colOff>
      <xdr:row>102</xdr:row>
      <xdr:rowOff>13607</xdr:rowOff>
    </xdr:to>
    <xdr:graphicFrame macro="">
      <xdr:nvGraphicFramePr>
        <xdr:cNvPr id="8" name="Chart 7">
          <a:extLst>
            <a:ext uri="{FF2B5EF4-FFF2-40B4-BE49-F238E27FC236}">
              <a16:creationId xmlns:a16="http://schemas.microsoft.com/office/drawing/2014/main" id="{00000000-0008-0000-07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276225</xdr:colOff>
      <xdr:row>15</xdr:row>
      <xdr:rowOff>57150</xdr:rowOff>
    </xdr:from>
    <xdr:to>
      <xdr:col>9</xdr:col>
      <xdr:colOff>266700</xdr:colOff>
      <xdr:row>19</xdr:row>
      <xdr:rowOff>123825</xdr:rowOff>
    </xdr:to>
    <xdr:sp macro="" textlink="">
      <xdr:nvSpPr>
        <xdr:cNvPr id="2" name="TextBox 1">
          <a:extLst>
            <a:ext uri="{FF2B5EF4-FFF2-40B4-BE49-F238E27FC236}">
              <a16:creationId xmlns:a16="http://schemas.microsoft.com/office/drawing/2014/main" id="{A981603A-D4C3-4C05-B74B-5AF9D26F25E4}"/>
            </a:ext>
          </a:extLst>
        </xdr:cNvPr>
        <xdr:cNvSpPr txBox="1"/>
      </xdr:nvSpPr>
      <xdr:spPr>
        <a:xfrm>
          <a:off x="600075" y="2743200"/>
          <a:ext cx="6486525" cy="828675"/>
        </a:xfrm>
        <a:prstGeom prst="rect">
          <a:avLst/>
        </a:prstGeom>
        <a:gradFill>
          <a:gsLst>
            <a:gs pos="0">
              <a:schemeClr val="accent1">
                <a:lumMod val="20000"/>
                <a:lumOff val="80000"/>
              </a:schemeClr>
            </a:gs>
            <a:gs pos="100000">
              <a:schemeClr val="accent1">
                <a:lumMod val="40000"/>
                <a:lumOff val="60000"/>
              </a:schemeClr>
            </a:gs>
          </a:gsLst>
          <a:lin ang="5400000" scaled="1"/>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INSTRUCTIONS</a:t>
          </a:r>
        </a:p>
        <a:p>
          <a:endParaRPr lang="en-US" sz="110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FF0000"/>
              </a:solidFill>
              <a:effectLst/>
              <a:latin typeface="+mn-lt"/>
              <a:ea typeface="+mn-ea"/>
              <a:cs typeface="+mn-cs"/>
            </a:rPr>
            <a:t>Paste the copied data</a:t>
          </a:r>
          <a:r>
            <a:rPr lang="en-US" sz="1100" baseline="0">
              <a:solidFill>
                <a:schemeClr val="dk1"/>
              </a:solidFill>
              <a:effectLst/>
              <a:latin typeface="+mn-lt"/>
              <a:ea typeface="+mn-ea"/>
              <a:cs typeface="+mn-cs"/>
            </a:rPr>
            <a:t> from the exported Financial Schedule Excel file into the matching data fields (Descriptions and Years) in the outlined area above.  </a:t>
          </a:r>
          <a:endParaRPr lang="en-US">
            <a:effectLst/>
          </a:endParaRP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120650</xdr:colOff>
      <xdr:row>17</xdr:row>
      <xdr:rowOff>23813</xdr:rowOff>
    </xdr:from>
    <xdr:to>
      <xdr:col>3</xdr:col>
      <xdr:colOff>15875</xdr:colOff>
      <xdr:row>20</xdr:row>
      <xdr:rowOff>14288</xdr:rowOff>
    </xdr:to>
    <xdr:sp macro="" textlink="">
      <xdr:nvSpPr>
        <xdr:cNvPr id="2" name="TextBox 1">
          <a:extLst>
            <a:ext uri="{FF2B5EF4-FFF2-40B4-BE49-F238E27FC236}">
              <a16:creationId xmlns:a16="http://schemas.microsoft.com/office/drawing/2014/main" id="{0AD101B0-99D1-412F-A2E6-E3A8036499B5}"/>
            </a:ext>
          </a:extLst>
        </xdr:cNvPr>
        <xdr:cNvSpPr txBox="1"/>
      </xdr:nvSpPr>
      <xdr:spPr>
        <a:xfrm>
          <a:off x="438150" y="3452813"/>
          <a:ext cx="4602163" cy="561975"/>
        </a:xfrm>
        <a:prstGeom prst="rect">
          <a:avLst/>
        </a:prstGeom>
        <a:gradFill>
          <a:gsLst>
            <a:gs pos="0">
              <a:schemeClr val="accent1">
                <a:lumMod val="20000"/>
                <a:lumOff val="80000"/>
              </a:schemeClr>
            </a:gs>
            <a:gs pos="100000">
              <a:schemeClr val="accent1">
                <a:lumMod val="40000"/>
                <a:lumOff val="60000"/>
              </a:schemeClr>
            </a:gs>
          </a:gsLst>
          <a:lin ang="5400000" scaled="1"/>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INSTRUCTION</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ysClr val="windowText" lastClr="000000"/>
              </a:solidFill>
              <a:effectLst/>
              <a:latin typeface="+mn-lt"/>
              <a:ea typeface="+mn-ea"/>
              <a:cs typeface="+mn-cs"/>
            </a:rPr>
            <a:t>Enter the information requested above.</a:t>
          </a:r>
          <a:endParaRPr lang="en-US">
            <a:solidFill>
              <a:sysClr val="windowText" lastClr="000000"/>
            </a:solidFill>
            <a:effectLst/>
          </a:endParaRPr>
        </a:p>
        <a:p>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74543</xdr:colOff>
      <xdr:row>12</xdr:row>
      <xdr:rowOff>69158</xdr:rowOff>
    </xdr:from>
    <xdr:to>
      <xdr:col>5</xdr:col>
      <xdr:colOff>1507435</xdr:colOff>
      <xdr:row>12</xdr:row>
      <xdr:rowOff>675033</xdr:rowOff>
    </xdr:to>
    <xdr:sp macro="" textlink="">
      <xdr:nvSpPr>
        <xdr:cNvPr id="11" name="TextBox 10">
          <a:extLst>
            <a:ext uri="{FF2B5EF4-FFF2-40B4-BE49-F238E27FC236}">
              <a16:creationId xmlns:a16="http://schemas.microsoft.com/office/drawing/2014/main" id="{E1A8FBEC-E45A-4379-A35E-DAEACFE2BA77}"/>
            </a:ext>
          </a:extLst>
        </xdr:cNvPr>
        <xdr:cNvSpPr txBox="1"/>
      </xdr:nvSpPr>
      <xdr:spPr>
        <a:xfrm>
          <a:off x="2219739" y="4243593"/>
          <a:ext cx="3197087" cy="605875"/>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50" i="0"/>
            <a:t>If "Violation</a:t>
          </a:r>
          <a:r>
            <a:rPr lang="en-US" sz="1050" i="0" baseline="0"/>
            <a:t> Exists," t</a:t>
          </a:r>
          <a:r>
            <a:rPr lang="en-US" sz="1050" i="0"/>
            <a:t>he CNA eTool submission does not meet MAP Guideline requirements.</a:t>
          </a:r>
        </a:p>
      </xdr:txBody>
    </xdr:sp>
    <xdr:clientData/>
  </xdr:twoCellAnchor>
  <xdr:twoCellAnchor>
    <xdr:from>
      <xdr:col>3</xdr:col>
      <xdr:colOff>1295400</xdr:colOff>
      <xdr:row>4</xdr:row>
      <xdr:rowOff>107441</xdr:rowOff>
    </xdr:from>
    <xdr:to>
      <xdr:col>5</xdr:col>
      <xdr:colOff>38100</xdr:colOff>
      <xdr:row>4</xdr:row>
      <xdr:rowOff>258417</xdr:rowOff>
    </xdr:to>
    <xdr:sp macro="" textlink="">
      <xdr:nvSpPr>
        <xdr:cNvPr id="2" name="Arrow: Right 1">
          <a:extLst>
            <a:ext uri="{FF2B5EF4-FFF2-40B4-BE49-F238E27FC236}">
              <a16:creationId xmlns:a16="http://schemas.microsoft.com/office/drawing/2014/main" id="{85E3C4FF-91AF-4695-833B-32951CAF7B49}"/>
            </a:ext>
          </a:extLst>
        </xdr:cNvPr>
        <xdr:cNvSpPr/>
      </xdr:nvSpPr>
      <xdr:spPr>
        <a:xfrm>
          <a:off x="3241813" y="1830224"/>
          <a:ext cx="308113" cy="150976"/>
        </a:xfrm>
        <a:prstGeom prst="rightArrow">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1314450</xdr:colOff>
      <xdr:row>4</xdr:row>
      <xdr:rowOff>104775</xdr:rowOff>
    </xdr:from>
    <xdr:to>
      <xdr:col>7</xdr:col>
      <xdr:colOff>57150</xdr:colOff>
      <xdr:row>4</xdr:row>
      <xdr:rowOff>255751</xdr:rowOff>
    </xdr:to>
    <xdr:sp macro="" textlink="">
      <xdr:nvSpPr>
        <xdr:cNvPr id="13" name="Arrow: Right 12">
          <a:extLst>
            <a:ext uri="{FF2B5EF4-FFF2-40B4-BE49-F238E27FC236}">
              <a16:creationId xmlns:a16="http://schemas.microsoft.com/office/drawing/2014/main" id="{2D41E636-421B-417B-9B07-465D9F04C056}"/>
            </a:ext>
          </a:extLst>
        </xdr:cNvPr>
        <xdr:cNvSpPr/>
      </xdr:nvSpPr>
      <xdr:spPr>
        <a:xfrm>
          <a:off x="4826276" y="1827558"/>
          <a:ext cx="308113" cy="150976"/>
        </a:xfrm>
        <a:prstGeom prst="rightArrow">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endParaRPr lang="en-US" sz="1100"/>
        </a:p>
      </xdr:txBody>
    </xdr:sp>
    <xdr:clientData/>
  </xdr:twoCellAnchor>
  <xdr:twoCellAnchor>
    <xdr:from>
      <xdr:col>1</xdr:col>
      <xdr:colOff>24847</xdr:colOff>
      <xdr:row>22</xdr:row>
      <xdr:rowOff>107674</xdr:rowOff>
    </xdr:from>
    <xdr:to>
      <xdr:col>7</xdr:col>
      <xdr:colOff>1499152</xdr:colOff>
      <xdr:row>22</xdr:row>
      <xdr:rowOff>356152</xdr:rowOff>
    </xdr:to>
    <xdr:sp macro="" textlink="">
      <xdr:nvSpPr>
        <xdr:cNvPr id="5" name="TextBox 4">
          <a:extLst>
            <a:ext uri="{FF2B5EF4-FFF2-40B4-BE49-F238E27FC236}">
              <a16:creationId xmlns:a16="http://schemas.microsoft.com/office/drawing/2014/main" id="{B356688E-35CB-4DF8-9903-57F53EA704C9}"/>
            </a:ext>
          </a:extLst>
        </xdr:cNvPr>
        <xdr:cNvSpPr txBox="1"/>
      </xdr:nvSpPr>
      <xdr:spPr>
        <a:xfrm>
          <a:off x="405847" y="7636565"/>
          <a:ext cx="6766892" cy="248478"/>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50" i="0"/>
            <a:t>Note: The</a:t>
          </a:r>
          <a:r>
            <a:rPr lang="en-US" sz="1050" i="0" baseline="0"/>
            <a:t> amounts reflected in the Risk Analysis are all approximate and for estimation purposes only.</a:t>
          </a:r>
          <a:endParaRPr lang="en-US" sz="1050" i="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185843</xdr:colOff>
      <xdr:row>15</xdr:row>
      <xdr:rowOff>94408</xdr:rowOff>
    </xdr:from>
    <xdr:to>
      <xdr:col>9</xdr:col>
      <xdr:colOff>165652</xdr:colOff>
      <xdr:row>15</xdr:row>
      <xdr:rowOff>652003</xdr:rowOff>
    </xdr:to>
    <xdr:sp macro="" textlink="">
      <xdr:nvSpPr>
        <xdr:cNvPr id="5" name="TextBox 1">
          <a:extLst>
            <a:ext uri="{FF2B5EF4-FFF2-40B4-BE49-F238E27FC236}">
              <a16:creationId xmlns:a16="http://schemas.microsoft.com/office/drawing/2014/main" id="{944EA6F4-E0C7-4A27-AB82-A7F40CAF3321}"/>
            </a:ext>
          </a:extLst>
        </xdr:cNvPr>
        <xdr:cNvSpPr txBox="1"/>
      </xdr:nvSpPr>
      <xdr:spPr>
        <a:xfrm>
          <a:off x="7539143" y="9619408"/>
          <a:ext cx="5828159" cy="557595"/>
        </a:xfrm>
        <a:prstGeom prst="rect">
          <a:avLst/>
        </a:prstGeom>
        <a:solidFill>
          <a:schemeClr val="bg2">
            <a:lumMod val="90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n-US" sz="1050"/>
            <a:t>*Note:  The MAP Guide</a:t>
          </a:r>
          <a:r>
            <a:rPr lang="en-US" sz="1050" baseline="0"/>
            <a:t> requirement for </a:t>
          </a:r>
          <a:r>
            <a:rPr lang="en-US" sz="1050"/>
            <a:t>RY1 and RY2</a:t>
          </a:r>
          <a:r>
            <a:rPr lang="en-US" sz="1050" baseline="0"/>
            <a:t> is an ending balance amount that is </a:t>
          </a:r>
          <a:r>
            <a:rPr lang="en-US" sz="1050"/>
            <a:t>greater</a:t>
          </a:r>
          <a:r>
            <a:rPr lang="en-US" sz="1050" baseline="0"/>
            <a:t> than </a:t>
          </a:r>
          <a:r>
            <a:rPr lang="en-US" sz="1050"/>
            <a:t>$0 and not</a:t>
          </a:r>
          <a:r>
            <a:rPr lang="en-US" sz="1050" baseline="0"/>
            <a:t> the calculated RMB</a:t>
          </a:r>
          <a:r>
            <a:rPr lang="en-US" sz="1050"/>
            <a:t>.</a:t>
          </a:r>
          <a:r>
            <a:rPr lang="en-US" sz="1050" baseline="0"/>
            <a:t>  A negative balance in either RY1 or RY2 is a violation.</a:t>
          </a:r>
          <a:endParaRPr lang="en-US" sz="1050"/>
        </a:p>
      </xdr:txBody>
    </xdr:sp>
    <xdr:clientData/>
  </xdr:twoCellAnchor>
  <xdr:twoCellAnchor>
    <xdr:from>
      <xdr:col>10</xdr:col>
      <xdr:colOff>155490</xdr:colOff>
      <xdr:row>36</xdr:row>
      <xdr:rowOff>33130</xdr:rowOff>
    </xdr:from>
    <xdr:to>
      <xdr:col>15</xdr:col>
      <xdr:colOff>480392</xdr:colOff>
      <xdr:row>51</xdr:row>
      <xdr:rowOff>168089</xdr:rowOff>
    </xdr:to>
    <xdr:graphicFrame macro="">
      <xdr:nvGraphicFramePr>
        <xdr:cNvPr id="8" name="Chart 7">
          <a:extLst>
            <a:ext uri="{FF2B5EF4-FFF2-40B4-BE49-F238E27FC236}">
              <a16:creationId xmlns:a16="http://schemas.microsoft.com/office/drawing/2014/main" id="{37A9F001-5ED7-4565-9CDD-28B885F58D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238125</xdr:colOff>
      <xdr:row>47</xdr:row>
      <xdr:rowOff>95250</xdr:rowOff>
    </xdr:from>
    <xdr:to>
      <xdr:col>9</xdr:col>
      <xdr:colOff>9525</xdr:colOff>
      <xdr:row>50</xdr:row>
      <xdr:rowOff>180976</xdr:rowOff>
    </xdr:to>
    <xdr:sp macro="" textlink="">
      <xdr:nvSpPr>
        <xdr:cNvPr id="10" name="TextBox 9">
          <a:extLst>
            <a:ext uri="{FF2B5EF4-FFF2-40B4-BE49-F238E27FC236}">
              <a16:creationId xmlns:a16="http://schemas.microsoft.com/office/drawing/2014/main" id="{3C153B92-CC4E-4A6A-81F1-B209B402CE40}"/>
            </a:ext>
          </a:extLst>
        </xdr:cNvPr>
        <xdr:cNvSpPr txBox="1"/>
      </xdr:nvSpPr>
      <xdr:spPr>
        <a:xfrm>
          <a:off x="7591425" y="17649825"/>
          <a:ext cx="5619750" cy="657226"/>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50"/>
            <a:t>*Note: The Cumulative Amortization Allowance Offset is the amount paid down on the FHA mortgage times an allowable factor.  This represents a portion of equity build-up that could, upon a refinancing, provide funds to address a forecasted shortfall of RfR deposits vs. capital needs.</a:t>
          </a:r>
        </a:p>
      </xdr:txBody>
    </xdr:sp>
    <xdr:clientData/>
  </xdr:twoCellAnchor>
  <xdr:twoCellAnchor>
    <xdr:from>
      <xdr:col>11</xdr:col>
      <xdr:colOff>0</xdr:colOff>
      <xdr:row>15</xdr:row>
      <xdr:rowOff>86406</xdr:rowOff>
    </xdr:from>
    <xdr:to>
      <xdr:col>18</xdr:col>
      <xdr:colOff>0</xdr:colOff>
      <xdr:row>15</xdr:row>
      <xdr:rowOff>495300</xdr:rowOff>
    </xdr:to>
    <xdr:sp macro="" textlink="">
      <xdr:nvSpPr>
        <xdr:cNvPr id="15" name="TextBox 1">
          <a:extLst>
            <a:ext uri="{FF2B5EF4-FFF2-40B4-BE49-F238E27FC236}">
              <a16:creationId xmlns:a16="http://schemas.microsoft.com/office/drawing/2014/main" id="{0BA6AB91-8A1C-482E-8AA7-2114B9D8011A}"/>
            </a:ext>
          </a:extLst>
        </xdr:cNvPr>
        <xdr:cNvSpPr txBox="1"/>
      </xdr:nvSpPr>
      <xdr:spPr>
        <a:xfrm>
          <a:off x="8172450" y="3220131"/>
          <a:ext cx="7915275" cy="408894"/>
        </a:xfrm>
        <a:prstGeom prst="rect">
          <a:avLst/>
        </a:prstGeom>
        <a:solidFill>
          <a:schemeClr val="bg2">
            <a:lumMod val="90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n-US" sz="1050"/>
            <a:t>Note:  Figures include interest income; RY 1-10 figures include</a:t>
          </a:r>
          <a:r>
            <a:rPr lang="en-US" sz="1050" baseline="0"/>
            <a:t> </a:t>
          </a:r>
          <a:r>
            <a:rPr lang="en-US" sz="1050"/>
            <a:t>initial deposit.</a:t>
          </a:r>
        </a:p>
      </xdr:txBody>
    </xdr:sp>
    <xdr:clientData/>
  </xdr:twoCellAnchor>
  <xdr:twoCellAnchor>
    <xdr:from>
      <xdr:col>15</xdr:col>
      <xdr:colOff>579783</xdr:colOff>
      <xdr:row>36</xdr:row>
      <xdr:rowOff>19050</xdr:rowOff>
    </xdr:from>
    <xdr:to>
      <xdr:col>20</xdr:col>
      <xdr:colOff>381000</xdr:colOff>
      <xdr:row>51</xdr:row>
      <xdr:rowOff>175932</xdr:rowOff>
    </xdr:to>
    <xdr:graphicFrame macro="">
      <xdr:nvGraphicFramePr>
        <xdr:cNvPr id="16" name="Chart 15">
          <a:extLst>
            <a:ext uri="{FF2B5EF4-FFF2-40B4-BE49-F238E27FC236}">
              <a16:creationId xmlns:a16="http://schemas.microsoft.com/office/drawing/2014/main" id="{5FCA0EB9-BB02-44CB-AA62-5345C60AE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204106</xdr:colOff>
      <xdr:row>52</xdr:row>
      <xdr:rowOff>185551</xdr:rowOff>
    </xdr:from>
    <xdr:to>
      <xdr:col>20</xdr:col>
      <xdr:colOff>369793</xdr:colOff>
      <xdr:row>78</xdr:row>
      <xdr:rowOff>190500</xdr:rowOff>
    </xdr:to>
    <xdr:graphicFrame macro="">
      <xdr:nvGraphicFramePr>
        <xdr:cNvPr id="17" name="Chart 16">
          <a:extLst>
            <a:ext uri="{FF2B5EF4-FFF2-40B4-BE49-F238E27FC236}">
              <a16:creationId xmlns:a16="http://schemas.microsoft.com/office/drawing/2014/main" id="{6BCE230A-1F81-42DE-9F28-6F07C04DA5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177401</xdr:colOff>
      <xdr:row>17</xdr:row>
      <xdr:rowOff>2329</xdr:rowOff>
    </xdr:from>
    <xdr:to>
      <xdr:col>20</xdr:col>
      <xdr:colOff>401010</xdr:colOff>
      <xdr:row>35</xdr:row>
      <xdr:rowOff>44822</xdr:rowOff>
    </xdr:to>
    <xdr:graphicFrame macro="">
      <xdr:nvGraphicFramePr>
        <xdr:cNvPr id="18" name="Chart 17">
          <a:extLst>
            <a:ext uri="{FF2B5EF4-FFF2-40B4-BE49-F238E27FC236}">
              <a16:creationId xmlns:a16="http://schemas.microsoft.com/office/drawing/2014/main" id="{3509F8C4-3498-4806-83B9-49F0512444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0.00838</cdr:x>
      <cdr:y>0.84614</cdr:y>
    </cdr:from>
    <cdr:to>
      <cdr:x>0.50457</cdr:x>
      <cdr:y>0.98064</cdr:y>
    </cdr:to>
    <cdr:sp macro="" textlink="">
      <cdr:nvSpPr>
        <cdr:cNvPr id="2" name="TextBox 1">
          <a:extLst xmlns:a="http://schemas.openxmlformats.org/drawingml/2006/main">
            <a:ext uri="{FF2B5EF4-FFF2-40B4-BE49-F238E27FC236}">
              <a16:creationId xmlns:a16="http://schemas.microsoft.com/office/drawing/2014/main" id="{1377CBB5-4F07-4D42-8A8F-251269D35DEC}"/>
            </a:ext>
          </a:extLst>
        </cdr:cNvPr>
        <cdr:cNvSpPr txBox="1"/>
      </cdr:nvSpPr>
      <cdr:spPr>
        <a:xfrm xmlns:a="http://schemas.openxmlformats.org/drawingml/2006/main">
          <a:off x="77262" y="3252736"/>
          <a:ext cx="4574098" cy="517036"/>
        </a:xfrm>
        <a:prstGeom xmlns:a="http://schemas.openxmlformats.org/drawingml/2006/main" prst="rect">
          <a:avLst/>
        </a:prstGeom>
        <a:solidFill xmlns:a="http://schemas.openxmlformats.org/drawingml/2006/main">
          <a:schemeClr val="bg2">
            <a:lumMod val="90000"/>
          </a:schemeClr>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900">
              <a:solidFill>
                <a:schemeClr val="tx1">
                  <a:lumMod val="65000"/>
                  <a:lumOff val="35000"/>
                </a:schemeClr>
              </a:solidFill>
            </a:rPr>
            <a:t>Note:  The MAP Guide requirement for RY1 and RY2 is an ending balance amount that is greater than $0 and not the calculated RMB.  A negative balance in either RY1 or RY2 is a violation.</a:t>
          </a:r>
        </a:p>
      </cdr:txBody>
    </cdr:sp>
  </cdr:relSizeAnchor>
</c:userShapes>
</file>

<file path=xl/drawings/drawing7.xml><?xml version="1.0" encoding="utf-8"?>
<xdr:wsDr xmlns:xdr="http://schemas.openxmlformats.org/drawingml/2006/spreadsheetDrawing" xmlns:a="http://schemas.openxmlformats.org/drawingml/2006/main">
  <xdr:twoCellAnchor>
    <xdr:from>
      <xdr:col>10</xdr:col>
      <xdr:colOff>266139</xdr:colOff>
      <xdr:row>28</xdr:row>
      <xdr:rowOff>75961</xdr:rowOff>
    </xdr:from>
    <xdr:to>
      <xdr:col>19</xdr:col>
      <xdr:colOff>123825</xdr:colOff>
      <xdr:row>42</xdr:row>
      <xdr:rowOff>351945</xdr:rowOff>
    </xdr:to>
    <xdr:graphicFrame macro="">
      <xdr:nvGraphicFramePr>
        <xdr:cNvPr id="3" name="Chart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280147</xdr:colOff>
      <xdr:row>14</xdr:row>
      <xdr:rowOff>199223</xdr:rowOff>
    </xdr:from>
    <xdr:to>
      <xdr:col>19</xdr:col>
      <xdr:colOff>142875</xdr:colOff>
      <xdr:row>27</xdr:row>
      <xdr:rowOff>90921</xdr:rowOff>
    </xdr:to>
    <xdr:graphicFrame macro="">
      <xdr:nvGraphicFramePr>
        <xdr:cNvPr id="4" name="Chart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246530</xdr:colOff>
      <xdr:row>60</xdr:row>
      <xdr:rowOff>13608</xdr:rowOff>
    </xdr:from>
    <xdr:to>
      <xdr:col>19</xdr:col>
      <xdr:colOff>104775</xdr:colOff>
      <xdr:row>76</xdr:row>
      <xdr:rowOff>11206</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257735</xdr:colOff>
      <xdr:row>42</xdr:row>
      <xdr:rowOff>536864</xdr:rowOff>
    </xdr:from>
    <xdr:to>
      <xdr:col>19</xdr:col>
      <xdr:colOff>123264</xdr:colOff>
      <xdr:row>59</xdr:row>
      <xdr:rowOff>13608</xdr:rowOff>
    </xdr:to>
    <xdr:graphicFrame macro="">
      <xdr:nvGraphicFramePr>
        <xdr:cNvPr id="7" name="Chart 6">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171450</xdr:colOff>
      <xdr:row>20</xdr:row>
      <xdr:rowOff>133350</xdr:rowOff>
    </xdr:from>
    <xdr:to>
      <xdr:col>8</xdr:col>
      <xdr:colOff>1314450</xdr:colOff>
      <xdr:row>24</xdr:row>
      <xdr:rowOff>47625</xdr:rowOff>
    </xdr:to>
    <xdr:sp macro="" textlink="">
      <xdr:nvSpPr>
        <xdr:cNvPr id="10" name="TextBox 9">
          <a:extLst>
            <a:ext uri="{FF2B5EF4-FFF2-40B4-BE49-F238E27FC236}">
              <a16:creationId xmlns:a16="http://schemas.microsoft.com/office/drawing/2014/main" id="{751FFEC5-5BDE-44A3-A79C-1AC2742CCE12}"/>
            </a:ext>
          </a:extLst>
        </xdr:cNvPr>
        <xdr:cNvSpPr txBox="1"/>
      </xdr:nvSpPr>
      <xdr:spPr>
        <a:xfrm>
          <a:off x="381000" y="6877050"/>
          <a:ext cx="6753225" cy="714375"/>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50" b="1" i="0"/>
            <a:t>Note:  </a:t>
          </a:r>
        </a:p>
        <a:p>
          <a:pPr algn="l"/>
          <a:r>
            <a:rPr lang="en-US" sz="1050" b="0" i="0"/>
            <a:t>The Trial Deposit Analysis is provided</a:t>
          </a:r>
          <a:r>
            <a:rPr lang="en-US" sz="1050" b="0" i="0" baseline="0"/>
            <a:t> as a tool</a:t>
          </a:r>
          <a:r>
            <a:rPr lang="en-US" sz="1050" b="0" i="0"/>
            <a:t> for</a:t>
          </a:r>
          <a:r>
            <a:rPr lang="en-US" sz="1050" b="0" i="0" baseline="0"/>
            <a:t> </a:t>
          </a:r>
          <a:r>
            <a:rPr lang="en-US" sz="1050" b="0" i="0" baseline="0">
              <a:solidFill>
                <a:srgbClr val="FF0000"/>
              </a:solidFill>
            </a:rPr>
            <a:t>estimation purposes only.  </a:t>
          </a:r>
          <a:r>
            <a:rPr lang="en-US" sz="1050" b="0" i="0" baseline="0"/>
            <a:t>The official figures must be entered and submitted through CNA eTool.   </a:t>
          </a:r>
        </a:p>
        <a:p>
          <a:pPr algn="l"/>
          <a:endParaRPr lang="en-US" sz="1050" i="0" baseline="0"/>
        </a:p>
        <a:p>
          <a:pPr algn="l"/>
          <a:endParaRPr lang="en-US" sz="1050" i="0"/>
        </a:p>
      </xdr:txBody>
    </xdr:sp>
    <xdr:clientData/>
  </xdr:twoCellAnchor>
  <xdr:twoCellAnchor>
    <xdr:from>
      <xdr:col>4</xdr:col>
      <xdr:colOff>1262268</xdr:colOff>
      <xdr:row>16</xdr:row>
      <xdr:rowOff>104775</xdr:rowOff>
    </xdr:from>
    <xdr:to>
      <xdr:col>6</xdr:col>
      <xdr:colOff>33543</xdr:colOff>
      <xdr:row>16</xdr:row>
      <xdr:rowOff>255751</xdr:rowOff>
    </xdr:to>
    <xdr:sp macro="" textlink="">
      <xdr:nvSpPr>
        <xdr:cNvPr id="11" name="Arrow: Right 10">
          <a:extLst>
            <a:ext uri="{FF2B5EF4-FFF2-40B4-BE49-F238E27FC236}">
              <a16:creationId xmlns:a16="http://schemas.microsoft.com/office/drawing/2014/main" id="{7321CB3E-5230-43A4-AE48-5FD2A770B90E}"/>
            </a:ext>
          </a:extLst>
        </xdr:cNvPr>
        <xdr:cNvSpPr/>
      </xdr:nvSpPr>
      <xdr:spPr>
        <a:xfrm>
          <a:off x="4014993" y="5753100"/>
          <a:ext cx="304800" cy="150976"/>
        </a:xfrm>
        <a:prstGeom prst="rightArrow">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1268067</xdr:colOff>
      <xdr:row>16</xdr:row>
      <xdr:rowOff>106017</xdr:rowOff>
    </xdr:from>
    <xdr:to>
      <xdr:col>8</xdr:col>
      <xdr:colOff>39342</xdr:colOff>
      <xdr:row>16</xdr:row>
      <xdr:rowOff>256993</xdr:rowOff>
    </xdr:to>
    <xdr:sp macro="" textlink="">
      <xdr:nvSpPr>
        <xdr:cNvPr id="12" name="Arrow: Right 11">
          <a:extLst>
            <a:ext uri="{FF2B5EF4-FFF2-40B4-BE49-F238E27FC236}">
              <a16:creationId xmlns:a16="http://schemas.microsoft.com/office/drawing/2014/main" id="{E7FE719D-E276-42B4-B22D-48E592995DFA}"/>
            </a:ext>
          </a:extLst>
        </xdr:cNvPr>
        <xdr:cNvSpPr/>
      </xdr:nvSpPr>
      <xdr:spPr>
        <a:xfrm>
          <a:off x="5554317" y="5754342"/>
          <a:ext cx="304800" cy="150976"/>
        </a:xfrm>
        <a:prstGeom prst="rightArrow">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endParaRPr lang="en-US" sz="1100"/>
        </a:p>
      </xdr:txBody>
    </xdr:sp>
    <xdr:clientData/>
  </xdr:twoCellAnchor>
  <xdr:twoCellAnchor>
    <xdr:from>
      <xdr:col>1</xdr:col>
      <xdr:colOff>180975</xdr:colOff>
      <xdr:row>42</xdr:row>
      <xdr:rowOff>85726</xdr:rowOff>
    </xdr:from>
    <xdr:to>
      <xdr:col>8</xdr:col>
      <xdr:colOff>1343025</xdr:colOff>
      <xdr:row>42</xdr:row>
      <xdr:rowOff>542926</xdr:rowOff>
    </xdr:to>
    <xdr:sp macro="" textlink="">
      <xdr:nvSpPr>
        <xdr:cNvPr id="13" name="TextBox 1">
          <a:extLst>
            <a:ext uri="{FF2B5EF4-FFF2-40B4-BE49-F238E27FC236}">
              <a16:creationId xmlns:a16="http://schemas.microsoft.com/office/drawing/2014/main" id="{BF3402E2-1BDC-499F-A56E-D65497802EF6}"/>
            </a:ext>
          </a:extLst>
        </xdr:cNvPr>
        <xdr:cNvSpPr txBox="1"/>
      </xdr:nvSpPr>
      <xdr:spPr>
        <a:xfrm>
          <a:off x="390525" y="11363326"/>
          <a:ext cx="6772275" cy="457200"/>
        </a:xfrm>
        <a:prstGeom prst="rect">
          <a:avLst/>
        </a:prstGeom>
        <a:solidFill>
          <a:schemeClr val="bg2">
            <a:lumMod val="90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n-US" sz="1100">
              <a:solidFill>
                <a:schemeClr val="dk1"/>
              </a:solidFill>
              <a:effectLst/>
              <a:latin typeface="+mn-lt"/>
              <a:ea typeface="+mn-ea"/>
              <a:cs typeface="+mn-cs"/>
            </a:rPr>
            <a:t>Note:  The MAP Guide</a:t>
          </a:r>
          <a:r>
            <a:rPr lang="en-US" sz="1100" baseline="0">
              <a:solidFill>
                <a:schemeClr val="dk1"/>
              </a:solidFill>
              <a:effectLst/>
              <a:latin typeface="+mn-lt"/>
              <a:ea typeface="+mn-ea"/>
              <a:cs typeface="+mn-cs"/>
            </a:rPr>
            <a:t> requirement for </a:t>
          </a:r>
          <a:r>
            <a:rPr lang="en-US" sz="1100">
              <a:solidFill>
                <a:schemeClr val="dk1"/>
              </a:solidFill>
              <a:effectLst/>
              <a:latin typeface="+mn-lt"/>
              <a:ea typeface="+mn-ea"/>
              <a:cs typeface="+mn-cs"/>
            </a:rPr>
            <a:t>RY1 and RY2</a:t>
          </a:r>
          <a:r>
            <a:rPr lang="en-US" sz="1100" baseline="0">
              <a:solidFill>
                <a:schemeClr val="dk1"/>
              </a:solidFill>
              <a:effectLst/>
              <a:latin typeface="+mn-lt"/>
              <a:ea typeface="+mn-ea"/>
              <a:cs typeface="+mn-cs"/>
            </a:rPr>
            <a:t> is an ending balance amount that is </a:t>
          </a:r>
          <a:r>
            <a:rPr lang="en-US" sz="1100">
              <a:solidFill>
                <a:schemeClr val="dk1"/>
              </a:solidFill>
              <a:effectLst/>
              <a:latin typeface="+mn-lt"/>
              <a:ea typeface="+mn-ea"/>
              <a:cs typeface="+mn-cs"/>
            </a:rPr>
            <a:t>greater</a:t>
          </a:r>
          <a:r>
            <a:rPr lang="en-US" sz="1100" baseline="0">
              <a:solidFill>
                <a:schemeClr val="dk1"/>
              </a:solidFill>
              <a:effectLst/>
              <a:latin typeface="+mn-lt"/>
              <a:ea typeface="+mn-ea"/>
              <a:cs typeface="+mn-cs"/>
            </a:rPr>
            <a:t> than </a:t>
          </a:r>
          <a:r>
            <a:rPr lang="en-US" sz="1100">
              <a:solidFill>
                <a:schemeClr val="dk1"/>
              </a:solidFill>
              <a:effectLst/>
              <a:latin typeface="+mn-lt"/>
              <a:ea typeface="+mn-ea"/>
              <a:cs typeface="+mn-cs"/>
            </a:rPr>
            <a:t>$0 and not</a:t>
          </a:r>
          <a:r>
            <a:rPr lang="en-US" sz="1100" baseline="0">
              <a:solidFill>
                <a:schemeClr val="dk1"/>
              </a:solidFill>
              <a:effectLst/>
              <a:latin typeface="+mn-lt"/>
              <a:ea typeface="+mn-ea"/>
              <a:cs typeface="+mn-cs"/>
            </a:rPr>
            <a:t> the calculated RMB</a:t>
          </a:r>
          <a:r>
            <a:rPr lang="en-US" sz="1100">
              <a:solidFill>
                <a:schemeClr val="dk1"/>
              </a:solidFill>
              <a:effectLst/>
              <a:latin typeface="+mn-lt"/>
              <a:ea typeface="+mn-ea"/>
              <a:cs typeface="+mn-cs"/>
            </a:rPr>
            <a:t>.</a:t>
          </a:r>
          <a:r>
            <a:rPr lang="en-US" sz="1100" baseline="0">
              <a:solidFill>
                <a:schemeClr val="dk1"/>
              </a:solidFill>
              <a:effectLst/>
              <a:latin typeface="+mn-lt"/>
              <a:ea typeface="+mn-ea"/>
              <a:cs typeface="+mn-cs"/>
            </a:rPr>
            <a:t>  A negative balance in either RY1 or RY2 is a violation.</a:t>
          </a:r>
          <a:endParaRPr lang="en-US" sz="1000"/>
        </a:p>
      </xdr:txBody>
    </xdr:sp>
    <xdr:clientData/>
  </xdr:twoCellAnchor>
  <xdr:twoCellAnchor>
    <xdr:from>
      <xdr:col>1</xdr:col>
      <xdr:colOff>323849</xdr:colOff>
      <xdr:row>103</xdr:row>
      <xdr:rowOff>85725</xdr:rowOff>
    </xdr:from>
    <xdr:to>
      <xdr:col>12</xdr:col>
      <xdr:colOff>1200149</xdr:colOff>
      <xdr:row>104</xdr:row>
      <xdr:rowOff>666750</xdr:rowOff>
    </xdr:to>
    <xdr:sp macro="" textlink="">
      <xdr:nvSpPr>
        <xdr:cNvPr id="14" name="TextBox 1">
          <a:extLst>
            <a:ext uri="{FF2B5EF4-FFF2-40B4-BE49-F238E27FC236}">
              <a16:creationId xmlns:a16="http://schemas.microsoft.com/office/drawing/2014/main" id="{3CAFC0F7-C580-4556-8E73-E94228A277DA}"/>
            </a:ext>
          </a:extLst>
        </xdr:cNvPr>
        <xdr:cNvSpPr txBox="1"/>
      </xdr:nvSpPr>
      <xdr:spPr>
        <a:xfrm>
          <a:off x="533399" y="26012775"/>
          <a:ext cx="9553575" cy="781050"/>
        </a:xfrm>
        <a:prstGeom prst="rect">
          <a:avLst/>
        </a:prstGeom>
        <a:solidFill>
          <a:schemeClr val="bg2">
            <a:lumMod val="90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lang="en-US" sz="1050"/>
            <a:t>Note:  </a:t>
          </a:r>
        </a:p>
        <a:p>
          <a:pPr marL="0" marR="0" lvl="0" indent="0" algn="l" defTabSz="914400" eaLnBrk="1" fontAlgn="auto" latinLnBrk="0" hangingPunct="1">
            <a:lnSpc>
              <a:spcPct val="100000"/>
            </a:lnSpc>
            <a:spcBef>
              <a:spcPts val="0"/>
            </a:spcBef>
            <a:spcAft>
              <a:spcPts val="0"/>
            </a:spcAft>
            <a:buClrTx/>
            <a:buSzTx/>
            <a:buFontTx/>
            <a:buNone/>
            <a:tabLst/>
            <a:defRPr/>
          </a:pPr>
          <a:r>
            <a:rPr lang="en-US" sz="1050"/>
            <a:t>The columns above with blue texts are generated and imported from the e-Tool. The two rightmost columns show User Input results and the differences between the eTool results and User Input results.  The values</a:t>
          </a:r>
          <a:r>
            <a:rPr lang="en-US" sz="1050" baseline="0"/>
            <a:t> reflected in the Comparison column </a:t>
          </a:r>
          <a:r>
            <a:rPr lang="en-US" sz="1100">
              <a:solidFill>
                <a:schemeClr val="dk1"/>
              </a:solidFill>
              <a:effectLst/>
              <a:latin typeface="+mn-lt"/>
              <a:ea typeface="+mn-ea"/>
              <a:cs typeface="+mn-cs"/>
            </a:rPr>
            <a:t>may show</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slight differences due to rounding even though the eTool</a:t>
          </a:r>
          <a:r>
            <a:rPr lang="en-US" sz="1100" baseline="0">
              <a:solidFill>
                <a:schemeClr val="dk1"/>
              </a:solidFill>
              <a:effectLst/>
              <a:latin typeface="+mn-lt"/>
              <a:ea typeface="+mn-ea"/>
              <a:cs typeface="+mn-cs"/>
            </a:rPr>
            <a:t> deposits</a:t>
          </a:r>
          <a:r>
            <a:rPr lang="en-US" sz="1100">
              <a:solidFill>
                <a:schemeClr val="dk1"/>
              </a:solidFill>
              <a:effectLst/>
              <a:latin typeface="+mn-lt"/>
              <a:ea typeface="+mn-ea"/>
              <a:cs typeface="+mn-cs"/>
            </a:rPr>
            <a:t> and the User Input deposits are identical.</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For estimating purposes, the variances are</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not considered significant.  </a:t>
          </a:r>
          <a:endParaRPr lang="en-US" sz="1050">
            <a:effectLst/>
          </a:endParaRPr>
        </a:p>
        <a:p>
          <a:pPr algn="l"/>
          <a:endParaRPr lang="en-US" sz="1050"/>
        </a:p>
      </xdr:txBody>
    </xdr:sp>
    <xdr:clientData/>
  </xdr:twoCellAnchor>
  <xdr:twoCellAnchor>
    <xdr:from>
      <xdr:col>1</xdr:col>
      <xdr:colOff>184288</xdr:colOff>
      <xdr:row>74</xdr:row>
      <xdr:rowOff>144946</xdr:rowOff>
    </xdr:from>
    <xdr:to>
      <xdr:col>8</xdr:col>
      <xdr:colOff>1346752</xdr:colOff>
      <xdr:row>75</xdr:row>
      <xdr:rowOff>487846</xdr:rowOff>
    </xdr:to>
    <xdr:sp macro="" textlink="">
      <xdr:nvSpPr>
        <xdr:cNvPr id="15" name="TextBox 1">
          <a:extLst>
            <a:ext uri="{FF2B5EF4-FFF2-40B4-BE49-F238E27FC236}">
              <a16:creationId xmlns:a16="http://schemas.microsoft.com/office/drawing/2014/main" id="{9BE5900D-EBCE-4656-8D3D-1BD4631E5B1B}"/>
            </a:ext>
          </a:extLst>
        </xdr:cNvPr>
        <xdr:cNvSpPr txBox="1"/>
      </xdr:nvSpPr>
      <xdr:spPr>
        <a:xfrm>
          <a:off x="391353" y="18822229"/>
          <a:ext cx="6769790" cy="533400"/>
        </a:xfrm>
        <a:prstGeom prst="rect">
          <a:avLst/>
        </a:prstGeom>
        <a:solidFill>
          <a:schemeClr val="bg2">
            <a:lumMod val="90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lang="en-US" sz="1000"/>
            <a:t>**Note:  The Cumulative Amortization Allowance Offset is the amount paid down on the FHA mortgage times  an allowable factor.  This represents a portion of equity build-up that could, upon a refinancing, provide funds to address a forecasted shortfall of RfR deposits vs capital needs.</a:t>
          </a:r>
        </a:p>
      </xdr:txBody>
    </xdr:sp>
    <xdr:clientData/>
  </xdr:twoCellAnchor>
  <xdr:twoCellAnchor>
    <xdr:from>
      <xdr:col>1</xdr:col>
      <xdr:colOff>9525</xdr:colOff>
      <xdr:row>0</xdr:row>
      <xdr:rowOff>95250</xdr:rowOff>
    </xdr:from>
    <xdr:to>
      <xdr:col>10</xdr:col>
      <xdr:colOff>9525</xdr:colOff>
      <xdr:row>0</xdr:row>
      <xdr:rowOff>723900</xdr:rowOff>
    </xdr:to>
    <xdr:sp macro="" textlink="">
      <xdr:nvSpPr>
        <xdr:cNvPr id="16" name="TextBox 15">
          <a:extLst>
            <a:ext uri="{FF2B5EF4-FFF2-40B4-BE49-F238E27FC236}">
              <a16:creationId xmlns:a16="http://schemas.microsoft.com/office/drawing/2014/main" id="{FD6C139A-DB97-49B5-9BA9-EDF6A140CDB0}"/>
            </a:ext>
          </a:extLst>
        </xdr:cNvPr>
        <xdr:cNvSpPr txBox="1"/>
      </xdr:nvSpPr>
      <xdr:spPr>
        <a:xfrm>
          <a:off x="219075" y="95250"/>
          <a:ext cx="7143750" cy="628650"/>
        </a:xfrm>
        <a:prstGeom prst="rect">
          <a:avLst/>
        </a:prstGeom>
        <a:gradFill>
          <a:gsLst>
            <a:gs pos="0">
              <a:schemeClr val="accent1">
                <a:lumMod val="20000"/>
                <a:lumOff val="80000"/>
              </a:schemeClr>
            </a:gs>
            <a:gs pos="100000">
              <a:schemeClr val="accent1">
                <a:lumMod val="40000"/>
                <a:lumOff val="60000"/>
              </a:schemeClr>
            </a:gs>
          </a:gsLst>
          <a:lin ang="5400000" scaled="1"/>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INSTRUCTION</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ysClr val="windowText" lastClr="000000"/>
              </a:solidFill>
              <a:effectLst/>
              <a:latin typeface="+mn-lt"/>
              <a:ea typeface="+mn-ea"/>
              <a:cs typeface="+mn-cs"/>
            </a:rPr>
            <a:t>Enter the </a:t>
          </a:r>
          <a:r>
            <a:rPr lang="en-US" sz="1100" b="1" baseline="0">
              <a:solidFill>
                <a:sysClr val="windowText" lastClr="000000"/>
              </a:solidFill>
              <a:effectLst/>
              <a:latin typeface="+mn-lt"/>
              <a:ea typeface="+mn-ea"/>
              <a:cs typeface="+mn-cs"/>
            </a:rPr>
            <a:t>User Trial Input </a:t>
          </a:r>
          <a:r>
            <a:rPr lang="en-US" sz="1100" baseline="0">
              <a:solidFill>
                <a:sysClr val="windowText" lastClr="000000"/>
              </a:solidFill>
              <a:effectLst/>
              <a:latin typeface="+mn-lt"/>
              <a:ea typeface="+mn-ea"/>
              <a:cs typeface="+mn-cs"/>
            </a:rPr>
            <a:t>values in the turquoise fields below. </a:t>
          </a:r>
        </a:p>
        <a:p>
          <a:pPr marL="0" marR="0" lvl="0" indent="0" defTabSz="914400" eaLnBrk="1" fontAlgn="auto" latinLnBrk="0" hangingPunct="1">
            <a:lnSpc>
              <a:spcPct val="100000"/>
            </a:lnSpc>
            <a:spcBef>
              <a:spcPts val="0"/>
            </a:spcBef>
            <a:spcAft>
              <a:spcPts val="0"/>
            </a:spcAft>
            <a:buClrTx/>
            <a:buSzTx/>
            <a:buFontTx/>
            <a:buNone/>
            <a:tabLst/>
            <a:defRPr/>
          </a:pPr>
          <a:r>
            <a:rPr lang="en-US" sz="1050" u="sng" baseline="0">
              <a:solidFill>
                <a:sysClr val="windowText" lastClr="000000"/>
              </a:solidFill>
              <a:effectLst/>
              <a:latin typeface="+mn-lt"/>
              <a:ea typeface="+mn-ea"/>
              <a:cs typeface="+mn-cs"/>
            </a:rPr>
            <a:t>Note</a:t>
          </a:r>
          <a:r>
            <a:rPr lang="en-US" sz="1050" u="none" baseline="0">
              <a:solidFill>
                <a:sysClr val="windowText" lastClr="000000"/>
              </a:solidFill>
              <a:effectLst/>
              <a:latin typeface="+mn-lt"/>
              <a:ea typeface="+mn-ea"/>
              <a:cs typeface="+mn-cs"/>
            </a:rPr>
            <a:t>:  </a:t>
          </a:r>
          <a:r>
            <a:rPr lang="en-US" sz="1050" baseline="0">
              <a:solidFill>
                <a:sysClr val="windowText" lastClr="000000"/>
              </a:solidFill>
              <a:effectLst/>
              <a:latin typeface="+mn-lt"/>
              <a:ea typeface="+mn-ea"/>
              <a:cs typeface="+mn-cs"/>
            </a:rPr>
            <a:t>The fields will show values equal to the eTool Data by default. </a:t>
          </a:r>
        </a:p>
        <a:p>
          <a:pPr marL="0" marR="0" lvl="0" indent="0" defTabSz="914400" eaLnBrk="1" fontAlgn="auto" latinLnBrk="0" hangingPunct="1">
            <a:lnSpc>
              <a:spcPct val="100000"/>
            </a:lnSpc>
            <a:spcBef>
              <a:spcPts val="0"/>
            </a:spcBef>
            <a:spcAft>
              <a:spcPts val="0"/>
            </a:spcAft>
            <a:buClrTx/>
            <a:buSzTx/>
            <a:buFontTx/>
            <a:buNone/>
            <a:tabLst/>
            <a:defRPr/>
          </a:pPr>
          <a:endParaRPr lang="en-US">
            <a:solidFill>
              <a:sysClr val="windowText" lastClr="000000"/>
            </a:solidFill>
            <a:effectLst/>
          </a:endParaRPr>
        </a:p>
        <a:p>
          <a:endParaRPr lang="en-US" sz="1100"/>
        </a:p>
      </xdr:txBody>
    </xdr:sp>
    <xdr:clientData/>
  </xdr:twoCellAnchor>
  <xdr:twoCellAnchor>
    <xdr:from>
      <xdr:col>6</xdr:col>
      <xdr:colOff>142875</xdr:colOff>
      <xdr:row>7</xdr:row>
      <xdr:rowOff>1</xdr:rowOff>
    </xdr:from>
    <xdr:to>
      <xdr:col>7</xdr:col>
      <xdr:colOff>28574</xdr:colOff>
      <xdr:row>11</xdr:row>
      <xdr:rowOff>104775</xdr:rowOff>
    </xdr:to>
    <xdr:sp macro="" textlink="">
      <xdr:nvSpPr>
        <xdr:cNvPr id="18" name="TextBox 17">
          <a:extLst>
            <a:ext uri="{FF2B5EF4-FFF2-40B4-BE49-F238E27FC236}">
              <a16:creationId xmlns:a16="http://schemas.microsoft.com/office/drawing/2014/main" id="{1B2D44E4-6BF5-4B0F-AEF8-D47DC0098D06}"/>
            </a:ext>
          </a:extLst>
        </xdr:cNvPr>
        <xdr:cNvSpPr txBox="1"/>
      </xdr:nvSpPr>
      <xdr:spPr>
        <a:xfrm>
          <a:off x="4429125" y="2819401"/>
          <a:ext cx="1266824" cy="15049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US" sz="900">
              <a:solidFill>
                <a:schemeClr val="dk1"/>
              </a:solidFill>
              <a:effectLst/>
              <a:latin typeface="+mn-lt"/>
              <a:ea typeface="+mn-ea"/>
              <a:cs typeface="+mn-cs"/>
            </a:rPr>
            <a:t>This value may show a slight difference due to rounding even though the eTool</a:t>
          </a:r>
          <a:r>
            <a:rPr lang="en-US" sz="900" baseline="0">
              <a:solidFill>
                <a:schemeClr val="dk1"/>
              </a:solidFill>
              <a:effectLst/>
              <a:latin typeface="+mn-lt"/>
              <a:ea typeface="+mn-ea"/>
              <a:cs typeface="+mn-cs"/>
            </a:rPr>
            <a:t> deposits</a:t>
          </a:r>
          <a:r>
            <a:rPr lang="en-US" sz="900">
              <a:solidFill>
                <a:schemeClr val="dk1"/>
              </a:solidFill>
              <a:effectLst/>
              <a:latin typeface="+mn-lt"/>
              <a:ea typeface="+mn-ea"/>
              <a:cs typeface="+mn-cs"/>
            </a:rPr>
            <a:t> and the User Input deposits are identical.</a:t>
          </a:r>
          <a:r>
            <a:rPr lang="en-US" sz="900" baseline="0">
              <a:solidFill>
                <a:schemeClr val="dk1"/>
              </a:solidFill>
              <a:effectLst/>
              <a:latin typeface="+mn-lt"/>
              <a:ea typeface="+mn-ea"/>
              <a:cs typeface="+mn-cs"/>
            </a:rPr>
            <a:t>  </a:t>
          </a:r>
          <a:r>
            <a:rPr lang="en-US" sz="900">
              <a:solidFill>
                <a:schemeClr val="dk1"/>
              </a:solidFill>
              <a:effectLst/>
              <a:latin typeface="+mn-lt"/>
              <a:ea typeface="+mn-ea"/>
              <a:cs typeface="+mn-cs"/>
            </a:rPr>
            <a:t>For estimating purposes, the variance is not considered significant.  </a:t>
          </a:r>
          <a:endParaRPr lang="en-US" sz="900"/>
        </a:p>
      </xdr:txBody>
    </xdr:sp>
    <xdr:clientData/>
  </xdr:twoCellAnchor>
  <xdr:twoCellAnchor>
    <xdr:from>
      <xdr:col>6</xdr:col>
      <xdr:colOff>1458191</xdr:colOff>
      <xdr:row>9</xdr:row>
      <xdr:rowOff>2598</xdr:rowOff>
    </xdr:from>
    <xdr:to>
      <xdr:col>8</xdr:col>
      <xdr:colOff>153266</xdr:colOff>
      <xdr:row>9</xdr:row>
      <xdr:rowOff>250248</xdr:rowOff>
    </xdr:to>
    <xdr:sp macro="" textlink="">
      <xdr:nvSpPr>
        <xdr:cNvPr id="19" name="Arrow: Right 18">
          <a:extLst>
            <a:ext uri="{FF2B5EF4-FFF2-40B4-BE49-F238E27FC236}">
              <a16:creationId xmlns:a16="http://schemas.microsoft.com/office/drawing/2014/main" id="{5938887B-E8A3-4FC1-8394-D9C20E690E20}"/>
            </a:ext>
          </a:extLst>
        </xdr:cNvPr>
        <xdr:cNvSpPr/>
      </xdr:nvSpPr>
      <xdr:spPr>
        <a:xfrm>
          <a:off x="6047509" y="3587462"/>
          <a:ext cx="335973" cy="247650"/>
        </a:xfrm>
        <a:prstGeom prst="rightArrow">
          <a:avLst/>
        </a:prstGeom>
        <a:solidFill>
          <a:schemeClr val="bg2">
            <a:lumMod val="90000"/>
          </a:schemeClr>
        </a:solidFill>
        <a:ln w="12700">
          <a:solidFill>
            <a:schemeClr val="bg2">
              <a:lumMod val="25000"/>
            </a:schemeClr>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US" sz="1100"/>
        </a:p>
      </xdr:txBody>
    </xdr:sp>
    <xdr:clientData/>
  </xdr:twoCellAnchor>
  <xdr:twoCellAnchor>
    <xdr:from>
      <xdr:col>17</xdr:col>
      <xdr:colOff>104774</xdr:colOff>
      <xdr:row>6</xdr:row>
      <xdr:rowOff>266701</xdr:rowOff>
    </xdr:from>
    <xdr:to>
      <xdr:col>19</xdr:col>
      <xdr:colOff>66674</xdr:colOff>
      <xdr:row>9</xdr:row>
      <xdr:rowOff>257175</xdr:rowOff>
    </xdr:to>
    <xdr:sp macro="" textlink="">
      <xdr:nvSpPr>
        <xdr:cNvPr id="21" name="TextBox 20">
          <a:extLst>
            <a:ext uri="{FF2B5EF4-FFF2-40B4-BE49-F238E27FC236}">
              <a16:creationId xmlns:a16="http://schemas.microsoft.com/office/drawing/2014/main" id="{66390802-6FE1-4269-A5E1-B05027C36B06}"/>
            </a:ext>
          </a:extLst>
        </xdr:cNvPr>
        <xdr:cNvSpPr txBox="1"/>
      </xdr:nvSpPr>
      <xdr:spPr>
        <a:xfrm>
          <a:off x="12401549" y="2771776"/>
          <a:ext cx="1857375" cy="1076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900">
              <a:solidFill>
                <a:schemeClr val="dk1"/>
              </a:solidFill>
              <a:effectLst/>
              <a:latin typeface="+mn-lt"/>
              <a:ea typeface="+mn-ea"/>
              <a:cs typeface="+mn-cs"/>
            </a:rPr>
            <a:t>This value may show a slight difference due to rounding even though the eTool</a:t>
          </a:r>
          <a:r>
            <a:rPr lang="en-US" sz="900" baseline="0">
              <a:solidFill>
                <a:schemeClr val="dk1"/>
              </a:solidFill>
              <a:effectLst/>
              <a:latin typeface="+mn-lt"/>
              <a:ea typeface="+mn-ea"/>
              <a:cs typeface="+mn-cs"/>
            </a:rPr>
            <a:t> deposits</a:t>
          </a:r>
          <a:r>
            <a:rPr lang="en-US" sz="900">
              <a:solidFill>
                <a:schemeClr val="dk1"/>
              </a:solidFill>
              <a:effectLst/>
              <a:latin typeface="+mn-lt"/>
              <a:ea typeface="+mn-ea"/>
              <a:cs typeface="+mn-cs"/>
            </a:rPr>
            <a:t> and the User Input deposits are identical.</a:t>
          </a:r>
          <a:r>
            <a:rPr lang="en-US" sz="900" baseline="0">
              <a:solidFill>
                <a:schemeClr val="dk1"/>
              </a:solidFill>
              <a:effectLst/>
              <a:latin typeface="+mn-lt"/>
              <a:ea typeface="+mn-ea"/>
              <a:cs typeface="+mn-cs"/>
            </a:rPr>
            <a:t>  </a:t>
          </a:r>
          <a:r>
            <a:rPr lang="en-US" sz="900">
              <a:solidFill>
                <a:schemeClr val="dk1"/>
              </a:solidFill>
              <a:effectLst/>
              <a:latin typeface="+mn-lt"/>
              <a:ea typeface="+mn-ea"/>
              <a:cs typeface="+mn-cs"/>
            </a:rPr>
            <a:t>For estimating purposes, the variance is not considered significant.  </a:t>
          </a:r>
          <a:endParaRPr lang="en-US" sz="9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328614</xdr:colOff>
      <xdr:row>6</xdr:row>
      <xdr:rowOff>11206</xdr:rowOff>
    </xdr:from>
    <xdr:to>
      <xdr:col>22</xdr:col>
      <xdr:colOff>576263</xdr:colOff>
      <xdr:row>21</xdr:row>
      <xdr:rowOff>78440</xdr:rowOff>
    </xdr:to>
    <xdr:graphicFrame macro="">
      <xdr:nvGraphicFramePr>
        <xdr:cNvPr id="3" name="Chart 2">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285750</xdr:colOff>
      <xdr:row>12</xdr:row>
      <xdr:rowOff>78317</xdr:rowOff>
    </xdr:from>
    <xdr:to>
      <xdr:col>6</xdr:col>
      <xdr:colOff>552450</xdr:colOff>
      <xdr:row>13</xdr:row>
      <xdr:rowOff>173567</xdr:rowOff>
    </xdr:to>
    <xdr:sp macro="" textlink="">
      <xdr:nvSpPr>
        <xdr:cNvPr id="4" name="Arrow: Up 3">
          <a:extLst>
            <a:ext uri="{FF2B5EF4-FFF2-40B4-BE49-F238E27FC236}">
              <a16:creationId xmlns:a16="http://schemas.microsoft.com/office/drawing/2014/main" id="{00000000-0008-0000-0A00-000004000000}"/>
            </a:ext>
          </a:extLst>
        </xdr:cNvPr>
        <xdr:cNvSpPr/>
      </xdr:nvSpPr>
      <xdr:spPr>
        <a:xfrm>
          <a:off x="4878917" y="3136900"/>
          <a:ext cx="266700" cy="296334"/>
        </a:xfrm>
        <a:prstGeom prst="upArrow">
          <a:avLst/>
        </a:prstGeom>
        <a:solidFill>
          <a:srgbClr val="66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184150</xdr:colOff>
      <xdr:row>22</xdr:row>
      <xdr:rowOff>39158</xdr:rowOff>
    </xdr:from>
    <xdr:to>
      <xdr:col>5</xdr:col>
      <xdr:colOff>450850</xdr:colOff>
      <xdr:row>23</xdr:row>
      <xdr:rowOff>134408</xdr:rowOff>
    </xdr:to>
    <xdr:sp macro="" textlink="">
      <xdr:nvSpPr>
        <xdr:cNvPr id="5" name="Arrow: Up 4">
          <a:extLst>
            <a:ext uri="{FF2B5EF4-FFF2-40B4-BE49-F238E27FC236}">
              <a16:creationId xmlns:a16="http://schemas.microsoft.com/office/drawing/2014/main" id="{00000000-0008-0000-0A00-000005000000}"/>
            </a:ext>
          </a:extLst>
        </xdr:cNvPr>
        <xdr:cNvSpPr/>
      </xdr:nvSpPr>
      <xdr:spPr>
        <a:xfrm>
          <a:off x="4078817" y="5701241"/>
          <a:ext cx="266700" cy="296334"/>
        </a:xfrm>
        <a:prstGeom prst="upArrow">
          <a:avLst/>
        </a:prstGeom>
        <a:solidFill>
          <a:srgbClr val="66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293688</xdr:colOff>
      <xdr:row>32</xdr:row>
      <xdr:rowOff>82019</xdr:rowOff>
    </xdr:from>
    <xdr:to>
      <xdr:col>6</xdr:col>
      <xdr:colOff>560388</xdr:colOff>
      <xdr:row>33</xdr:row>
      <xdr:rowOff>177269</xdr:rowOff>
    </xdr:to>
    <xdr:sp macro="" textlink="">
      <xdr:nvSpPr>
        <xdr:cNvPr id="6" name="Arrow: Up 5">
          <a:extLst>
            <a:ext uri="{FF2B5EF4-FFF2-40B4-BE49-F238E27FC236}">
              <a16:creationId xmlns:a16="http://schemas.microsoft.com/office/drawing/2014/main" id="{00000000-0008-0000-0A00-000006000000}"/>
            </a:ext>
          </a:extLst>
        </xdr:cNvPr>
        <xdr:cNvSpPr/>
      </xdr:nvSpPr>
      <xdr:spPr>
        <a:xfrm>
          <a:off x="4886855" y="8516936"/>
          <a:ext cx="266700" cy="296333"/>
        </a:xfrm>
        <a:prstGeom prst="upArrow">
          <a:avLst/>
        </a:prstGeom>
        <a:solidFill>
          <a:srgbClr val="66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85725</xdr:colOff>
      <xdr:row>4</xdr:row>
      <xdr:rowOff>80531</xdr:rowOff>
    </xdr:from>
    <xdr:to>
      <xdr:col>6</xdr:col>
      <xdr:colOff>752475</xdr:colOff>
      <xdr:row>4</xdr:row>
      <xdr:rowOff>877167</xdr:rowOff>
    </xdr:to>
    <xdr:sp macro="" textlink="">
      <xdr:nvSpPr>
        <xdr:cNvPr id="7" name="TextBox 6">
          <a:extLst>
            <a:ext uri="{FF2B5EF4-FFF2-40B4-BE49-F238E27FC236}">
              <a16:creationId xmlns:a16="http://schemas.microsoft.com/office/drawing/2014/main" id="{572D42A8-C8B8-473B-A7BA-9495B26D1A02}"/>
            </a:ext>
          </a:extLst>
        </xdr:cNvPr>
        <xdr:cNvSpPr txBox="1"/>
      </xdr:nvSpPr>
      <xdr:spPr>
        <a:xfrm>
          <a:off x="828675" y="1061606"/>
          <a:ext cx="4638675" cy="796636"/>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000" b="1" i="0"/>
            <a:t>Note:  </a:t>
          </a:r>
        </a:p>
        <a:p>
          <a:pPr algn="l"/>
          <a:r>
            <a:rPr lang="en-US" sz="1000" i="0"/>
            <a:t>Because of the complexity of RfR calculations, calculated figures are approximate.  </a:t>
          </a:r>
        </a:p>
        <a:p>
          <a:pPr algn="l"/>
          <a:r>
            <a:rPr lang="en-US" sz="1000" i="0"/>
            <a:t>Entries can be made in combination, for example, a One-Time RY 11 Deposit can be combined with an additional RY 11 Annual Deposit.</a:t>
          </a:r>
        </a:p>
      </xdr:txBody>
    </xdr:sp>
    <xdr:clientData/>
  </xdr:twoCellAnchor>
  <xdr:twoCellAnchor>
    <xdr:from>
      <xdr:col>8</xdr:col>
      <xdr:colOff>85724</xdr:colOff>
      <xdr:row>4</xdr:row>
      <xdr:rowOff>77067</xdr:rowOff>
    </xdr:from>
    <xdr:to>
      <xdr:col>12</xdr:col>
      <xdr:colOff>981074</xdr:colOff>
      <xdr:row>4</xdr:row>
      <xdr:rowOff>866775</xdr:rowOff>
    </xdr:to>
    <xdr:sp macro="" textlink="">
      <xdr:nvSpPr>
        <xdr:cNvPr id="8" name="TextBox 7">
          <a:extLst>
            <a:ext uri="{FF2B5EF4-FFF2-40B4-BE49-F238E27FC236}">
              <a16:creationId xmlns:a16="http://schemas.microsoft.com/office/drawing/2014/main" id="{E8CE130B-4DA5-42D3-9E02-9333255DE535}"/>
            </a:ext>
          </a:extLst>
        </xdr:cNvPr>
        <xdr:cNvSpPr txBox="1"/>
      </xdr:nvSpPr>
      <xdr:spPr>
        <a:xfrm>
          <a:off x="6429374" y="1058142"/>
          <a:ext cx="3952875" cy="789708"/>
        </a:xfrm>
        <a:prstGeom prst="rect">
          <a:avLst/>
        </a:prstGeom>
        <a:gradFill>
          <a:gsLst>
            <a:gs pos="0">
              <a:schemeClr val="accent1">
                <a:lumMod val="20000"/>
                <a:lumOff val="80000"/>
              </a:schemeClr>
            </a:gs>
            <a:gs pos="100000">
              <a:schemeClr val="accent1">
                <a:lumMod val="40000"/>
                <a:lumOff val="60000"/>
              </a:schemeClr>
            </a:gs>
          </a:gsLst>
          <a:lin ang="5400000" scaled="1"/>
        </a:gra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t>INSTRUCTIONS</a:t>
          </a:r>
        </a:p>
        <a:p>
          <a:r>
            <a:rPr lang="en-US" sz="1000"/>
            <a:t>Inputting figures in the turquoise cells below will alter the figures to the left.  Remove entries to return to the Trial Deposit results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114301</xdr:colOff>
      <xdr:row>28</xdr:row>
      <xdr:rowOff>133350</xdr:rowOff>
    </xdr:from>
    <xdr:to>
      <xdr:col>6</xdr:col>
      <xdr:colOff>57150</xdr:colOff>
      <xdr:row>53</xdr:row>
      <xdr:rowOff>19050</xdr:rowOff>
    </xdr:to>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390524</xdr:colOff>
      <xdr:row>28</xdr:row>
      <xdr:rowOff>123825</xdr:rowOff>
    </xdr:from>
    <xdr:to>
      <xdr:col>11</xdr:col>
      <xdr:colOff>639535</xdr:colOff>
      <xdr:row>53</xdr:row>
      <xdr:rowOff>0</xdr:rowOff>
    </xdr:to>
    <xdr:graphicFrame macro="">
      <xdr:nvGraphicFramePr>
        <xdr:cNvPr id="3" name="Chart 2">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942975</xdr:colOff>
      <xdr:row>28</xdr:row>
      <xdr:rowOff>133350</xdr:rowOff>
    </xdr:from>
    <xdr:to>
      <xdr:col>16</xdr:col>
      <xdr:colOff>1009650</xdr:colOff>
      <xdr:row>52</xdr:row>
      <xdr:rowOff>190499</xdr:rowOff>
    </xdr:to>
    <xdr:graphicFrame macro="">
      <xdr:nvGraphicFramePr>
        <xdr:cNvPr id="4" name="Chart 3">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123824</xdr:colOff>
      <xdr:row>55</xdr:row>
      <xdr:rowOff>1</xdr:rowOff>
    </xdr:from>
    <xdr:to>
      <xdr:col>6</xdr:col>
      <xdr:colOff>27214</xdr:colOff>
      <xdr:row>80</xdr:row>
      <xdr:rowOff>63501</xdr:rowOff>
    </xdr:to>
    <xdr:graphicFrame macro="">
      <xdr:nvGraphicFramePr>
        <xdr:cNvPr id="5" name="Chart 4">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384173</xdr:colOff>
      <xdr:row>54</xdr:row>
      <xdr:rowOff>146051</xdr:rowOff>
    </xdr:from>
    <xdr:to>
      <xdr:col>11</xdr:col>
      <xdr:colOff>565149</xdr:colOff>
      <xdr:row>80</xdr:row>
      <xdr:rowOff>50801</xdr:rowOff>
    </xdr:to>
    <xdr:graphicFrame macro="">
      <xdr:nvGraphicFramePr>
        <xdr:cNvPr id="6" name="Chart 5">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917575</xdr:colOff>
      <xdr:row>54</xdr:row>
      <xdr:rowOff>146050</xdr:rowOff>
    </xdr:from>
    <xdr:to>
      <xdr:col>16</xdr:col>
      <xdr:colOff>1063625</xdr:colOff>
      <xdr:row>80</xdr:row>
      <xdr:rowOff>63500</xdr:rowOff>
    </xdr:to>
    <xdr:graphicFrame macro="">
      <xdr:nvGraphicFramePr>
        <xdr:cNvPr id="7" name="Chart 6">
          <a:extLst>
            <a:ext uri="{FF2B5EF4-FFF2-40B4-BE49-F238E27FC236}">
              <a16:creationId xmlns:a16="http://schemas.microsoft.com/office/drawing/2014/main" id="{00000000-0008-0000-06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406400</xdr:colOff>
      <xdr:row>4</xdr:row>
      <xdr:rowOff>3175</xdr:rowOff>
    </xdr:from>
    <xdr:to>
      <xdr:col>11</xdr:col>
      <xdr:colOff>679450</xdr:colOff>
      <xdr:row>28</xdr:row>
      <xdr:rowOff>22225</xdr:rowOff>
    </xdr:to>
    <xdr:graphicFrame macro="">
      <xdr:nvGraphicFramePr>
        <xdr:cNvPr id="9" name="Chart 8">
          <a:extLst>
            <a:ext uri="{FF2B5EF4-FFF2-40B4-BE49-F238E27FC236}">
              <a16:creationId xmlns:a16="http://schemas.microsoft.com/office/drawing/2014/main" id="{00000000-0008-0000-06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914400</xdr:colOff>
      <xdr:row>3</xdr:row>
      <xdr:rowOff>180974</xdr:rowOff>
    </xdr:from>
    <xdr:to>
      <xdr:col>16</xdr:col>
      <xdr:colOff>1009650</xdr:colOff>
      <xdr:row>28</xdr:row>
      <xdr:rowOff>57149</xdr:rowOff>
    </xdr:to>
    <xdr:graphicFrame macro="">
      <xdr:nvGraphicFramePr>
        <xdr:cNvPr id="12" name="Chart 11">
          <a:extLst>
            <a:ext uri="{FF2B5EF4-FFF2-40B4-BE49-F238E27FC236}">
              <a16:creationId xmlns:a16="http://schemas.microsoft.com/office/drawing/2014/main" id="{00000000-0008-0000-06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142875</xdr:colOff>
      <xdr:row>4</xdr:row>
      <xdr:rowOff>19050</xdr:rowOff>
    </xdr:from>
    <xdr:to>
      <xdr:col>6</xdr:col>
      <xdr:colOff>44450</xdr:colOff>
      <xdr:row>28</xdr:row>
      <xdr:rowOff>38100</xdr:rowOff>
    </xdr:to>
    <xdr:graphicFrame macro="">
      <xdr:nvGraphicFramePr>
        <xdr:cNvPr id="11" name="Chart 10">
          <a:extLst>
            <a:ext uri="{FF2B5EF4-FFF2-40B4-BE49-F238E27FC236}">
              <a16:creationId xmlns:a16="http://schemas.microsoft.com/office/drawing/2014/main" id="{00000000-0008-0000-06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2.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O92"/>
  <sheetViews>
    <sheetView tabSelected="1" topLeftCell="B1" workbookViewId="0"/>
  </sheetViews>
  <sheetFormatPr defaultColWidth="9.06640625" defaultRowHeight="14.25" x14ac:dyDescent="0.45"/>
  <cols>
    <col min="1" max="1" width="5.73046875" style="217" customWidth="1"/>
    <col min="2" max="16384" width="9.06640625" style="217"/>
  </cols>
  <sheetData>
    <row r="1" spans="2:15" x14ac:dyDescent="0.45">
      <c r="B1" s="392"/>
      <c r="C1" s="392"/>
      <c r="D1" s="392"/>
      <c r="E1" s="392"/>
      <c r="F1" s="392"/>
      <c r="G1" s="392"/>
      <c r="H1" s="392"/>
      <c r="I1" s="392"/>
      <c r="J1" s="392"/>
      <c r="K1" s="392"/>
      <c r="L1" s="392"/>
      <c r="M1" s="392"/>
      <c r="N1" s="392"/>
      <c r="O1" s="392"/>
    </row>
    <row r="2" spans="2:15" x14ac:dyDescent="0.45">
      <c r="B2" s="392"/>
      <c r="C2" s="392"/>
      <c r="D2" s="392"/>
      <c r="E2" s="392"/>
      <c r="F2" s="392"/>
      <c r="G2" s="392"/>
      <c r="H2" s="392"/>
      <c r="I2" s="392"/>
      <c r="J2" s="392"/>
      <c r="K2" s="392"/>
      <c r="L2" s="392"/>
      <c r="M2" s="392"/>
      <c r="N2" s="392"/>
      <c r="O2" s="392"/>
    </row>
    <row r="3" spans="2:15" x14ac:dyDescent="0.45">
      <c r="B3" s="392"/>
      <c r="C3" s="392"/>
      <c r="D3" s="392"/>
      <c r="E3" s="392"/>
      <c r="F3" s="392"/>
      <c r="G3" s="392"/>
      <c r="H3" s="392"/>
      <c r="I3" s="392"/>
      <c r="J3" s="392"/>
      <c r="K3" s="392"/>
      <c r="L3" s="392"/>
      <c r="M3" s="392"/>
      <c r="N3" s="392"/>
      <c r="O3" s="392"/>
    </row>
    <row r="4" spans="2:15" x14ac:dyDescent="0.45">
      <c r="B4" s="392"/>
      <c r="C4" s="392"/>
      <c r="D4" s="392"/>
      <c r="E4" s="392"/>
      <c r="F4" s="392"/>
      <c r="G4" s="392"/>
      <c r="H4" s="392"/>
      <c r="I4" s="392"/>
      <c r="J4" s="392"/>
      <c r="K4" s="392"/>
      <c r="L4" s="392"/>
      <c r="M4" s="392"/>
      <c r="N4" s="392"/>
      <c r="O4" s="392"/>
    </row>
    <row r="5" spans="2:15" x14ac:dyDescent="0.45">
      <c r="B5" s="392"/>
      <c r="C5" s="392"/>
      <c r="D5" s="392"/>
      <c r="E5" s="392"/>
      <c r="F5" s="392"/>
      <c r="G5" s="392"/>
      <c r="H5" s="392"/>
      <c r="I5" s="392"/>
      <c r="J5" s="392"/>
      <c r="K5" s="392"/>
      <c r="L5" s="392"/>
      <c r="M5" s="392"/>
      <c r="N5" s="392"/>
      <c r="O5" s="392"/>
    </row>
    <row r="6" spans="2:15" x14ac:dyDescent="0.45">
      <c r="B6" s="392"/>
      <c r="C6" s="392"/>
      <c r="D6" s="392"/>
      <c r="E6" s="392"/>
      <c r="F6" s="392"/>
      <c r="G6" s="392"/>
      <c r="H6" s="392"/>
      <c r="I6" s="392"/>
      <c r="J6" s="392"/>
      <c r="K6" s="392"/>
      <c r="L6" s="392"/>
      <c r="M6" s="392"/>
      <c r="N6" s="392"/>
      <c r="O6" s="392"/>
    </row>
    <row r="7" spans="2:15" x14ac:dyDescent="0.45">
      <c r="B7" s="392"/>
      <c r="C7" s="392"/>
      <c r="D7" s="392"/>
      <c r="E7" s="392"/>
      <c r="F7" s="392"/>
      <c r="G7" s="392"/>
      <c r="H7" s="392"/>
      <c r="I7" s="392"/>
      <c r="J7" s="392"/>
      <c r="K7" s="392"/>
      <c r="L7" s="392"/>
      <c r="M7" s="392"/>
      <c r="N7" s="392"/>
      <c r="O7" s="392"/>
    </row>
    <row r="8" spans="2:15" x14ac:dyDescent="0.45">
      <c r="B8" s="392"/>
      <c r="C8" s="392"/>
      <c r="D8" s="392"/>
      <c r="E8" s="392"/>
      <c r="F8" s="392"/>
      <c r="G8" s="392"/>
      <c r="H8" s="392"/>
      <c r="I8" s="392"/>
      <c r="J8" s="392"/>
      <c r="K8" s="392"/>
      <c r="L8" s="392"/>
      <c r="M8" s="392"/>
      <c r="N8" s="392"/>
      <c r="O8" s="392"/>
    </row>
    <row r="9" spans="2:15" x14ac:dyDescent="0.45">
      <c r="B9" s="392"/>
      <c r="C9" s="392"/>
      <c r="D9" s="392"/>
      <c r="E9" s="392"/>
      <c r="F9" s="392"/>
      <c r="G9" s="392"/>
      <c r="H9" s="392"/>
      <c r="I9" s="392"/>
      <c r="J9" s="392"/>
      <c r="K9" s="392"/>
      <c r="L9" s="392"/>
      <c r="M9" s="392"/>
      <c r="N9" s="392"/>
      <c r="O9" s="392"/>
    </row>
    <row r="10" spans="2:15" x14ac:dyDescent="0.45">
      <c r="B10" s="392"/>
      <c r="C10" s="392"/>
      <c r="D10" s="392"/>
      <c r="E10" s="392"/>
      <c r="F10" s="392"/>
      <c r="G10" s="392"/>
      <c r="H10" s="392"/>
      <c r="I10" s="392"/>
      <c r="J10" s="392"/>
      <c r="K10" s="392"/>
      <c r="L10" s="392"/>
      <c r="M10" s="392"/>
      <c r="N10" s="392"/>
      <c r="O10" s="392"/>
    </row>
    <row r="11" spans="2:15" x14ac:dyDescent="0.45">
      <c r="B11" s="392"/>
      <c r="C11" s="392"/>
      <c r="D11" s="392"/>
      <c r="E11" s="392"/>
      <c r="F11" s="392"/>
      <c r="G11" s="392"/>
      <c r="H11" s="392"/>
      <c r="I11" s="392"/>
      <c r="J11" s="392"/>
      <c r="K11" s="392"/>
      <c r="L11" s="392"/>
      <c r="M11" s="392"/>
      <c r="N11" s="392"/>
      <c r="O11" s="392"/>
    </row>
    <row r="12" spans="2:15" x14ac:dyDescent="0.45">
      <c r="B12" s="392"/>
      <c r="C12" s="392"/>
      <c r="D12" s="392"/>
      <c r="E12" s="392"/>
      <c r="F12" s="392"/>
      <c r="G12" s="392"/>
      <c r="H12" s="392"/>
      <c r="I12" s="392"/>
      <c r="J12" s="392"/>
      <c r="K12" s="392"/>
      <c r="L12" s="392"/>
      <c r="M12" s="392"/>
      <c r="N12" s="392"/>
      <c r="O12" s="392"/>
    </row>
    <row r="13" spans="2:15" x14ac:dyDescent="0.45">
      <c r="B13" s="392"/>
      <c r="C13" s="392"/>
      <c r="D13" s="392"/>
      <c r="E13" s="392"/>
      <c r="F13" s="392"/>
      <c r="G13" s="392"/>
      <c r="H13" s="392"/>
      <c r="I13" s="392"/>
      <c r="J13" s="392"/>
      <c r="K13" s="392"/>
      <c r="L13" s="392"/>
      <c r="M13" s="392"/>
      <c r="N13" s="392"/>
      <c r="O13" s="392"/>
    </row>
    <row r="14" spans="2:15" x14ac:dyDescent="0.45">
      <c r="B14" s="392"/>
      <c r="C14" s="392"/>
      <c r="D14" s="392"/>
      <c r="E14" s="392"/>
      <c r="F14" s="392"/>
      <c r="G14" s="392"/>
      <c r="H14" s="392"/>
      <c r="I14" s="392"/>
      <c r="J14" s="392"/>
      <c r="K14" s="392"/>
      <c r="L14" s="392"/>
      <c r="M14" s="392"/>
      <c r="N14" s="392"/>
      <c r="O14" s="392"/>
    </row>
    <row r="15" spans="2:15" x14ac:dyDescent="0.45">
      <c r="B15" s="392"/>
      <c r="C15" s="392"/>
      <c r="D15" s="392"/>
      <c r="E15" s="392"/>
      <c r="F15" s="392"/>
      <c r="G15" s="392"/>
      <c r="H15" s="392"/>
      <c r="I15" s="392"/>
      <c r="J15" s="392"/>
      <c r="K15" s="392"/>
      <c r="L15" s="392"/>
      <c r="M15" s="392"/>
      <c r="N15" s="392"/>
      <c r="O15" s="392"/>
    </row>
    <row r="16" spans="2:15" x14ac:dyDescent="0.45">
      <c r="B16" s="392"/>
      <c r="C16" s="392"/>
      <c r="D16" s="392"/>
      <c r="E16" s="392"/>
      <c r="F16" s="392"/>
      <c r="G16" s="392"/>
      <c r="H16" s="392"/>
      <c r="I16" s="392"/>
      <c r="J16" s="392"/>
      <c r="K16" s="392"/>
      <c r="L16" s="392"/>
      <c r="M16" s="392"/>
      <c r="N16" s="392"/>
      <c r="O16" s="392"/>
    </row>
    <row r="17" spans="2:15" x14ac:dyDescent="0.45">
      <c r="B17" s="392"/>
      <c r="C17" s="392"/>
      <c r="D17" s="392"/>
      <c r="E17" s="392"/>
      <c r="F17" s="392"/>
      <c r="G17" s="392"/>
      <c r="H17" s="392"/>
      <c r="I17" s="392"/>
      <c r="J17" s="392"/>
      <c r="K17" s="392"/>
      <c r="L17" s="392"/>
      <c r="M17" s="392"/>
      <c r="N17" s="392"/>
      <c r="O17" s="392"/>
    </row>
    <row r="18" spans="2:15" x14ac:dyDescent="0.45">
      <c r="B18" s="392"/>
      <c r="C18" s="392"/>
      <c r="D18" s="392"/>
      <c r="E18" s="392"/>
      <c r="F18" s="392"/>
      <c r="G18" s="392"/>
      <c r="H18" s="392"/>
      <c r="I18" s="392"/>
      <c r="J18" s="392"/>
      <c r="K18" s="392"/>
      <c r="L18" s="392"/>
      <c r="M18" s="392"/>
      <c r="N18" s="392"/>
      <c r="O18" s="392"/>
    </row>
    <row r="19" spans="2:15" x14ac:dyDescent="0.45">
      <c r="B19" s="392"/>
      <c r="C19" s="392"/>
      <c r="D19" s="392"/>
      <c r="E19" s="392"/>
      <c r="F19" s="392"/>
      <c r="G19" s="392"/>
      <c r="H19" s="392"/>
      <c r="I19" s="392"/>
      <c r="J19" s="392"/>
      <c r="K19" s="392"/>
      <c r="L19" s="392"/>
      <c r="M19" s="392"/>
      <c r="N19" s="392"/>
      <c r="O19" s="392"/>
    </row>
    <row r="20" spans="2:15" x14ac:dyDescent="0.45">
      <c r="B20" s="392"/>
      <c r="C20" s="392"/>
      <c r="D20" s="392"/>
      <c r="E20" s="392"/>
      <c r="F20" s="392"/>
      <c r="G20" s="392"/>
      <c r="H20" s="392"/>
      <c r="I20" s="392"/>
      <c r="J20" s="392"/>
      <c r="K20" s="392"/>
      <c r="L20" s="392"/>
      <c r="M20" s="392"/>
      <c r="N20" s="392"/>
      <c r="O20" s="392"/>
    </row>
    <row r="21" spans="2:15" x14ac:dyDescent="0.45">
      <c r="B21" s="392"/>
      <c r="C21" s="392"/>
      <c r="D21" s="392"/>
      <c r="E21" s="392"/>
      <c r="F21" s="392"/>
      <c r="G21" s="392"/>
      <c r="H21" s="392"/>
      <c r="I21" s="392"/>
      <c r="J21" s="392"/>
      <c r="K21" s="392"/>
      <c r="L21" s="392"/>
      <c r="M21" s="392"/>
      <c r="N21" s="392"/>
      <c r="O21" s="392"/>
    </row>
    <row r="22" spans="2:15" x14ac:dyDescent="0.45">
      <c r="B22" s="392"/>
      <c r="C22" s="392"/>
      <c r="D22" s="392"/>
      <c r="E22" s="392"/>
      <c r="F22" s="392"/>
      <c r="G22" s="392"/>
      <c r="H22" s="392"/>
      <c r="I22" s="392"/>
      <c r="J22" s="392"/>
      <c r="K22" s="392"/>
      <c r="L22" s="392"/>
      <c r="M22" s="392"/>
      <c r="N22" s="392"/>
      <c r="O22" s="392"/>
    </row>
    <row r="23" spans="2:15" x14ac:dyDescent="0.45">
      <c r="B23" s="392"/>
      <c r="C23" s="392"/>
      <c r="D23" s="392"/>
      <c r="E23" s="392"/>
      <c r="F23" s="392"/>
      <c r="G23" s="392"/>
      <c r="H23" s="392"/>
      <c r="I23" s="392"/>
      <c r="J23" s="392"/>
      <c r="K23" s="392"/>
      <c r="L23" s="392"/>
      <c r="M23" s="392"/>
      <c r="N23" s="392"/>
      <c r="O23" s="392"/>
    </row>
    <row r="24" spans="2:15" x14ac:dyDescent="0.45">
      <c r="B24" s="392"/>
      <c r="C24" s="392"/>
      <c r="D24" s="392"/>
      <c r="E24" s="392"/>
      <c r="F24" s="392"/>
      <c r="G24" s="392"/>
      <c r="H24" s="392"/>
      <c r="I24" s="392"/>
      <c r="J24" s="392"/>
      <c r="K24" s="392"/>
      <c r="L24" s="392"/>
      <c r="M24" s="392"/>
      <c r="N24" s="392"/>
      <c r="O24" s="392"/>
    </row>
    <row r="25" spans="2:15" x14ac:dyDescent="0.45">
      <c r="B25" s="392"/>
      <c r="C25" s="392"/>
      <c r="D25" s="392"/>
      <c r="E25" s="392"/>
      <c r="F25" s="392"/>
      <c r="G25" s="392"/>
      <c r="H25" s="392"/>
      <c r="I25" s="392"/>
      <c r="J25" s="392"/>
      <c r="K25" s="392"/>
      <c r="L25" s="392"/>
      <c r="M25" s="392"/>
      <c r="N25" s="392"/>
      <c r="O25" s="392"/>
    </row>
    <row r="26" spans="2:15" x14ac:dyDescent="0.45">
      <c r="B26" s="392"/>
      <c r="C26" s="392"/>
      <c r="D26" s="392"/>
      <c r="E26" s="392"/>
      <c r="F26" s="392"/>
      <c r="G26" s="392"/>
      <c r="H26" s="392"/>
      <c r="I26" s="392"/>
      <c r="J26" s="392"/>
      <c r="K26" s="392"/>
      <c r="L26" s="392"/>
      <c r="M26" s="392"/>
      <c r="N26" s="392"/>
      <c r="O26" s="392"/>
    </row>
    <row r="27" spans="2:15" x14ac:dyDescent="0.45">
      <c r="B27" s="392"/>
      <c r="C27" s="392"/>
      <c r="D27" s="392"/>
      <c r="E27" s="392"/>
      <c r="F27" s="392"/>
      <c r="G27" s="392"/>
      <c r="H27" s="392"/>
      <c r="I27" s="392"/>
      <c r="J27" s="392"/>
      <c r="K27" s="392"/>
      <c r="L27" s="392"/>
      <c r="M27" s="392"/>
      <c r="N27" s="392"/>
      <c r="O27" s="392"/>
    </row>
    <row r="28" spans="2:15" x14ac:dyDescent="0.45">
      <c r="B28" s="392"/>
      <c r="C28" s="392"/>
      <c r="D28" s="392"/>
      <c r="E28" s="392"/>
      <c r="F28" s="392"/>
      <c r="G28" s="392"/>
      <c r="H28" s="392"/>
      <c r="I28" s="392"/>
      <c r="J28" s="392"/>
      <c r="K28" s="392"/>
      <c r="L28" s="392"/>
      <c r="M28" s="392"/>
      <c r="N28" s="392"/>
      <c r="O28" s="392"/>
    </row>
    <row r="29" spans="2:15" x14ac:dyDescent="0.45">
      <c r="B29" s="392"/>
      <c r="C29" s="392"/>
      <c r="D29" s="392"/>
      <c r="E29" s="392"/>
      <c r="F29" s="392"/>
      <c r="G29" s="392"/>
      <c r="H29" s="392"/>
      <c r="I29" s="392"/>
      <c r="J29" s="392"/>
      <c r="K29" s="392"/>
      <c r="L29" s="392"/>
      <c r="M29" s="392"/>
      <c r="N29" s="392"/>
      <c r="O29" s="392"/>
    </row>
    <row r="30" spans="2:15" x14ac:dyDescent="0.45">
      <c r="B30" s="392"/>
      <c r="C30" s="392"/>
      <c r="D30" s="392"/>
      <c r="E30" s="392"/>
      <c r="F30" s="392"/>
      <c r="G30" s="392"/>
      <c r="H30" s="392"/>
      <c r="I30" s="392"/>
      <c r="J30" s="392"/>
      <c r="K30" s="392"/>
      <c r="L30" s="392"/>
      <c r="M30" s="392"/>
      <c r="N30" s="392"/>
      <c r="O30" s="392"/>
    </row>
    <row r="31" spans="2:15" x14ac:dyDescent="0.45">
      <c r="B31" s="392"/>
      <c r="C31" s="392"/>
      <c r="D31" s="392"/>
      <c r="E31" s="392"/>
      <c r="F31" s="392"/>
      <c r="G31" s="392"/>
      <c r="H31" s="392"/>
      <c r="I31" s="392"/>
      <c r="J31" s="392"/>
      <c r="K31" s="392"/>
      <c r="L31" s="392"/>
      <c r="M31" s="392"/>
      <c r="N31" s="392"/>
      <c r="O31" s="392"/>
    </row>
    <row r="32" spans="2:15" x14ac:dyDescent="0.45">
      <c r="B32" s="392"/>
      <c r="C32" s="392"/>
      <c r="D32" s="392"/>
      <c r="E32" s="392"/>
      <c r="F32" s="392"/>
      <c r="G32" s="392"/>
      <c r="H32" s="392"/>
      <c r="I32" s="392"/>
      <c r="J32" s="392"/>
      <c r="K32" s="392"/>
      <c r="L32" s="392"/>
      <c r="M32" s="392"/>
      <c r="N32" s="392"/>
      <c r="O32" s="392"/>
    </row>
    <row r="33" spans="2:15" x14ac:dyDescent="0.45">
      <c r="B33" s="392"/>
      <c r="C33" s="392"/>
      <c r="D33" s="392"/>
      <c r="E33" s="392"/>
      <c r="F33" s="392"/>
      <c r="G33" s="392"/>
      <c r="H33" s="392"/>
      <c r="I33" s="392"/>
      <c r="J33" s="392"/>
      <c r="K33" s="392"/>
      <c r="L33" s="392"/>
      <c r="M33" s="392"/>
      <c r="N33" s="392"/>
      <c r="O33" s="392"/>
    </row>
    <row r="34" spans="2:15" x14ac:dyDescent="0.45">
      <c r="B34" s="392"/>
      <c r="C34" s="392"/>
      <c r="D34" s="392"/>
      <c r="E34" s="392"/>
      <c r="F34" s="392"/>
      <c r="G34" s="392"/>
      <c r="H34" s="392"/>
      <c r="I34" s="392"/>
      <c r="J34" s="392"/>
      <c r="K34" s="392"/>
      <c r="L34" s="392"/>
      <c r="M34" s="392"/>
      <c r="N34" s="392"/>
      <c r="O34" s="392"/>
    </row>
    <row r="35" spans="2:15" x14ac:dyDescent="0.45">
      <c r="B35" s="392"/>
      <c r="C35" s="392"/>
      <c r="D35" s="392"/>
      <c r="E35" s="392"/>
      <c r="F35" s="392"/>
      <c r="G35" s="392"/>
      <c r="H35" s="392"/>
      <c r="I35" s="392"/>
      <c r="J35" s="392"/>
      <c r="K35" s="392"/>
      <c r="L35" s="392"/>
      <c r="M35" s="392"/>
      <c r="N35" s="392"/>
      <c r="O35" s="392"/>
    </row>
    <row r="36" spans="2:15" x14ac:dyDescent="0.45">
      <c r="B36" s="392"/>
      <c r="C36" s="392"/>
      <c r="D36" s="392"/>
      <c r="E36" s="392"/>
      <c r="F36" s="392"/>
      <c r="G36" s="392"/>
      <c r="H36" s="392"/>
      <c r="I36" s="392"/>
      <c r="J36" s="392"/>
      <c r="K36" s="392"/>
      <c r="L36" s="392"/>
      <c r="M36" s="392"/>
      <c r="N36" s="392"/>
      <c r="O36" s="392"/>
    </row>
    <row r="37" spans="2:15" x14ac:dyDescent="0.45">
      <c r="B37" s="392"/>
      <c r="C37" s="392"/>
      <c r="D37" s="392"/>
      <c r="E37" s="392"/>
      <c r="F37" s="392"/>
      <c r="G37" s="392"/>
      <c r="H37" s="392"/>
      <c r="I37" s="392"/>
      <c r="J37" s="392"/>
      <c r="K37" s="392"/>
      <c r="L37" s="392"/>
      <c r="M37" s="392"/>
      <c r="N37" s="392"/>
      <c r="O37" s="392"/>
    </row>
    <row r="38" spans="2:15" x14ac:dyDescent="0.45">
      <c r="B38" s="392"/>
      <c r="C38" s="392"/>
      <c r="D38" s="392"/>
      <c r="E38" s="392"/>
      <c r="F38" s="392"/>
      <c r="G38" s="392"/>
      <c r="H38" s="392"/>
      <c r="I38" s="392"/>
      <c r="J38" s="392"/>
      <c r="K38" s="392"/>
      <c r="L38" s="392"/>
      <c r="M38" s="392"/>
      <c r="N38" s="392"/>
      <c r="O38" s="392"/>
    </row>
    <row r="39" spans="2:15" x14ac:dyDescent="0.45">
      <c r="B39" s="392"/>
      <c r="C39" s="392"/>
      <c r="D39" s="392"/>
      <c r="E39" s="392"/>
      <c r="F39" s="392"/>
      <c r="G39" s="392"/>
      <c r="H39" s="392"/>
      <c r="I39" s="392"/>
      <c r="J39" s="392"/>
      <c r="K39" s="392"/>
      <c r="L39" s="392"/>
      <c r="M39" s="392"/>
      <c r="N39" s="392"/>
      <c r="O39" s="392"/>
    </row>
    <row r="40" spans="2:15" x14ac:dyDescent="0.45">
      <c r="B40" s="392"/>
      <c r="C40" s="392"/>
      <c r="D40" s="392"/>
      <c r="E40" s="392"/>
      <c r="F40" s="392"/>
      <c r="G40" s="392"/>
      <c r="H40" s="392"/>
      <c r="I40" s="392"/>
      <c r="J40" s="392"/>
      <c r="K40" s="392"/>
      <c r="L40" s="392"/>
      <c r="M40" s="392"/>
      <c r="N40" s="392"/>
      <c r="O40" s="392"/>
    </row>
    <row r="41" spans="2:15" x14ac:dyDescent="0.45">
      <c r="B41" s="392"/>
      <c r="C41" s="392"/>
      <c r="D41" s="392"/>
      <c r="E41" s="392"/>
      <c r="F41" s="392"/>
      <c r="G41" s="392"/>
      <c r="H41" s="392"/>
      <c r="I41" s="392"/>
      <c r="J41" s="392"/>
      <c r="K41" s="392"/>
      <c r="L41" s="392"/>
      <c r="M41" s="392"/>
      <c r="N41" s="392"/>
      <c r="O41" s="392"/>
    </row>
    <row r="42" spans="2:15" x14ac:dyDescent="0.45">
      <c r="B42" s="392"/>
      <c r="C42" s="392"/>
      <c r="D42" s="392"/>
      <c r="E42" s="392"/>
      <c r="F42" s="392"/>
      <c r="G42" s="392"/>
      <c r="H42" s="392"/>
      <c r="I42" s="392"/>
      <c r="J42" s="392"/>
      <c r="K42" s="392"/>
      <c r="L42" s="392"/>
      <c r="M42" s="392"/>
      <c r="N42" s="392"/>
      <c r="O42" s="392"/>
    </row>
    <row r="43" spans="2:15" x14ac:dyDescent="0.45">
      <c r="B43" s="392"/>
      <c r="C43" s="392"/>
      <c r="D43" s="392"/>
      <c r="E43" s="392"/>
      <c r="F43" s="392"/>
      <c r="G43" s="392"/>
      <c r="H43" s="392"/>
      <c r="I43" s="392"/>
      <c r="J43" s="392"/>
      <c r="K43" s="392"/>
      <c r="L43" s="392"/>
      <c r="M43" s="392"/>
      <c r="N43" s="392"/>
      <c r="O43" s="392"/>
    </row>
    <row r="44" spans="2:15" x14ac:dyDescent="0.45">
      <c r="B44" s="392"/>
      <c r="C44" s="392"/>
      <c r="D44" s="392"/>
      <c r="E44" s="392"/>
      <c r="F44" s="392"/>
      <c r="G44" s="392"/>
      <c r="H44" s="392"/>
      <c r="I44" s="392"/>
      <c r="J44" s="392"/>
      <c r="K44" s="392"/>
      <c r="L44" s="392"/>
      <c r="M44" s="392"/>
      <c r="N44" s="392"/>
      <c r="O44" s="392"/>
    </row>
    <row r="45" spans="2:15" x14ac:dyDescent="0.45">
      <c r="B45" s="392"/>
      <c r="C45" s="392"/>
      <c r="D45" s="392"/>
      <c r="E45" s="392"/>
      <c r="F45" s="392"/>
      <c r="G45" s="392"/>
      <c r="H45" s="392"/>
      <c r="I45" s="392"/>
      <c r="J45" s="392"/>
      <c r="K45" s="392"/>
      <c r="L45" s="392"/>
      <c r="M45" s="392"/>
      <c r="N45" s="392"/>
      <c r="O45" s="392"/>
    </row>
    <row r="46" spans="2:15" x14ac:dyDescent="0.45">
      <c r="B46" s="392"/>
      <c r="C46" s="392"/>
      <c r="D46" s="392"/>
      <c r="E46" s="392"/>
      <c r="F46" s="392"/>
      <c r="G46" s="392"/>
      <c r="H46" s="392"/>
      <c r="I46" s="392"/>
      <c r="J46" s="392"/>
      <c r="K46" s="392"/>
      <c r="L46" s="392"/>
      <c r="M46" s="392"/>
      <c r="N46" s="392"/>
      <c r="O46" s="392"/>
    </row>
    <row r="47" spans="2:15" x14ac:dyDescent="0.45">
      <c r="B47" s="392"/>
      <c r="C47" s="392"/>
      <c r="D47" s="392"/>
      <c r="E47" s="392"/>
      <c r="F47" s="392"/>
      <c r="G47" s="392"/>
      <c r="H47" s="392"/>
      <c r="I47" s="392"/>
      <c r="J47" s="392"/>
      <c r="K47" s="392"/>
      <c r="L47" s="392"/>
      <c r="M47" s="392"/>
      <c r="N47" s="392"/>
      <c r="O47" s="392"/>
    </row>
    <row r="48" spans="2:15" x14ac:dyDescent="0.45">
      <c r="B48" s="392"/>
      <c r="C48" s="392"/>
      <c r="D48" s="392"/>
      <c r="E48" s="392"/>
      <c r="F48" s="392"/>
      <c r="G48" s="392"/>
      <c r="H48" s="392"/>
      <c r="I48" s="392"/>
      <c r="J48" s="392"/>
      <c r="K48" s="392"/>
      <c r="L48" s="392"/>
      <c r="M48" s="392"/>
      <c r="N48" s="392"/>
      <c r="O48" s="392"/>
    </row>
    <row r="49" spans="2:15" x14ac:dyDescent="0.45">
      <c r="B49" s="392"/>
      <c r="C49" s="392"/>
      <c r="D49" s="392"/>
      <c r="E49" s="392"/>
      <c r="F49" s="392"/>
      <c r="G49" s="392"/>
      <c r="H49" s="392"/>
      <c r="I49" s="392"/>
      <c r="J49" s="392"/>
      <c r="K49" s="392"/>
      <c r="L49" s="392"/>
      <c r="M49" s="392"/>
      <c r="N49" s="392"/>
      <c r="O49" s="392"/>
    </row>
    <row r="50" spans="2:15" x14ac:dyDescent="0.45">
      <c r="B50" s="392"/>
      <c r="C50" s="392"/>
      <c r="D50" s="392"/>
      <c r="E50" s="392"/>
      <c r="F50" s="392"/>
      <c r="G50" s="392"/>
      <c r="H50" s="392"/>
      <c r="I50" s="392"/>
      <c r="J50" s="392"/>
      <c r="K50" s="392"/>
      <c r="L50" s="392"/>
      <c r="M50" s="392"/>
      <c r="N50" s="392"/>
      <c r="O50" s="392"/>
    </row>
    <row r="51" spans="2:15" x14ac:dyDescent="0.45">
      <c r="B51" s="392"/>
      <c r="C51" s="392"/>
      <c r="D51" s="392"/>
      <c r="E51" s="392"/>
      <c r="F51" s="392"/>
      <c r="G51" s="392"/>
      <c r="H51" s="392"/>
      <c r="I51" s="392"/>
      <c r="J51" s="392"/>
      <c r="K51" s="392"/>
      <c r="L51" s="392"/>
      <c r="M51" s="392"/>
      <c r="N51" s="392"/>
      <c r="O51" s="392"/>
    </row>
    <row r="52" spans="2:15" x14ac:dyDescent="0.45">
      <c r="B52" s="392"/>
      <c r="C52" s="392"/>
      <c r="D52" s="392"/>
      <c r="E52" s="392"/>
      <c r="F52" s="392"/>
      <c r="G52" s="392"/>
      <c r="H52" s="392"/>
      <c r="I52" s="392"/>
      <c r="J52" s="392"/>
      <c r="K52" s="392"/>
      <c r="L52" s="392"/>
      <c r="M52" s="392"/>
      <c r="N52" s="392"/>
      <c r="O52" s="392"/>
    </row>
    <row r="53" spans="2:15" x14ac:dyDescent="0.45">
      <c r="B53" s="392"/>
      <c r="C53" s="392"/>
      <c r="D53" s="392"/>
      <c r="E53" s="392"/>
      <c r="F53" s="392"/>
      <c r="G53" s="392"/>
      <c r="H53" s="392"/>
      <c r="I53" s="392"/>
      <c r="J53" s="392"/>
      <c r="K53" s="392"/>
      <c r="L53" s="392"/>
      <c r="M53" s="392"/>
      <c r="N53" s="392"/>
      <c r="O53" s="392"/>
    </row>
    <row r="54" spans="2:15" x14ac:dyDescent="0.45">
      <c r="B54" s="392"/>
      <c r="C54" s="392"/>
      <c r="D54" s="392"/>
      <c r="E54" s="392"/>
      <c r="F54" s="392"/>
      <c r="G54" s="392"/>
      <c r="H54" s="392"/>
      <c r="I54" s="392"/>
      <c r="J54" s="392"/>
      <c r="K54" s="392"/>
      <c r="L54" s="392"/>
      <c r="M54" s="392"/>
      <c r="N54" s="392"/>
      <c r="O54" s="392"/>
    </row>
    <row r="55" spans="2:15" x14ac:dyDescent="0.45">
      <c r="B55" s="392"/>
      <c r="C55" s="392"/>
      <c r="D55" s="392"/>
      <c r="E55" s="392"/>
      <c r="F55" s="392"/>
      <c r="G55" s="392"/>
      <c r="H55" s="392"/>
      <c r="I55" s="392"/>
      <c r="J55" s="392"/>
      <c r="K55" s="392"/>
      <c r="L55" s="392"/>
      <c r="M55" s="392"/>
      <c r="N55" s="392"/>
      <c r="O55" s="392"/>
    </row>
    <row r="56" spans="2:15" x14ac:dyDescent="0.45">
      <c r="B56" s="392"/>
      <c r="C56" s="392"/>
      <c r="D56" s="392"/>
      <c r="E56" s="392"/>
      <c r="F56" s="392"/>
      <c r="G56" s="392"/>
      <c r="H56" s="392"/>
      <c r="I56" s="392"/>
      <c r="J56" s="392"/>
      <c r="K56" s="392"/>
      <c r="L56" s="392"/>
      <c r="M56" s="392"/>
      <c r="N56" s="392"/>
      <c r="O56" s="392"/>
    </row>
    <row r="57" spans="2:15" x14ac:dyDescent="0.45">
      <c r="B57" s="392"/>
      <c r="C57" s="392"/>
      <c r="D57" s="392"/>
      <c r="E57" s="392"/>
      <c r="F57" s="392"/>
      <c r="G57" s="392"/>
      <c r="H57" s="392"/>
      <c r="I57" s="392"/>
      <c r="J57" s="392"/>
      <c r="K57" s="392"/>
      <c r="L57" s="392"/>
      <c r="M57" s="392"/>
      <c r="N57" s="392"/>
      <c r="O57" s="392"/>
    </row>
    <row r="58" spans="2:15" x14ac:dyDescent="0.45">
      <c r="B58" s="392"/>
      <c r="C58" s="392"/>
      <c r="D58" s="392"/>
      <c r="E58" s="392"/>
      <c r="F58" s="392"/>
      <c r="G58" s="392"/>
      <c r="H58" s="392"/>
      <c r="I58" s="392"/>
      <c r="J58" s="392"/>
      <c r="K58" s="392"/>
      <c r="L58" s="392"/>
      <c r="M58" s="392"/>
      <c r="N58" s="392"/>
      <c r="O58" s="392"/>
    </row>
    <row r="59" spans="2:15" x14ac:dyDescent="0.45">
      <c r="B59" s="392"/>
      <c r="C59" s="392"/>
      <c r="D59" s="392"/>
      <c r="E59" s="392"/>
      <c r="F59" s="392"/>
      <c r="G59" s="392"/>
      <c r="H59" s="392"/>
      <c r="I59" s="392"/>
      <c r="J59" s="392"/>
      <c r="K59" s="392"/>
      <c r="L59" s="392"/>
      <c r="M59" s="392"/>
      <c r="N59" s="392"/>
      <c r="O59" s="392"/>
    </row>
    <row r="60" spans="2:15" x14ac:dyDescent="0.45">
      <c r="B60" s="392"/>
      <c r="C60" s="392"/>
      <c r="D60" s="392"/>
      <c r="E60" s="392"/>
      <c r="F60" s="392"/>
      <c r="G60" s="392"/>
      <c r="H60" s="392"/>
      <c r="I60" s="392"/>
      <c r="J60" s="392"/>
      <c r="K60" s="392"/>
      <c r="L60" s="392"/>
      <c r="M60" s="392"/>
      <c r="N60" s="392"/>
      <c r="O60" s="392"/>
    </row>
    <row r="61" spans="2:15" x14ac:dyDescent="0.45">
      <c r="B61" s="392"/>
      <c r="C61" s="392"/>
      <c r="D61" s="392"/>
      <c r="E61" s="392"/>
      <c r="F61" s="392"/>
      <c r="G61" s="392"/>
      <c r="H61" s="392"/>
      <c r="I61" s="392"/>
      <c r="J61" s="392"/>
      <c r="K61" s="392"/>
      <c r="L61" s="392"/>
      <c r="M61" s="392"/>
      <c r="N61" s="392"/>
      <c r="O61" s="392"/>
    </row>
    <row r="62" spans="2:15" x14ac:dyDescent="0.45">
      <c r="B62" s="392"/>
      <c r="C62" s="392"/>
      <c r="D62" s="392"/>
      <c r="E62" s="392"/>
      <c r="F62" s="392"/>
      <c r="G62" s="392"/>
      <c r="H62" s="392"/>
      <c r="I62" s="392"/>
      <c r="J62" s="392"/>
      <c r="K62" s="392"/>
      <c r="L62" s="392"/>
      <c r="M62" s="392"/>
      <c r="N62" s="392"/>
      <c r="O62" s="392"/>
    </row>
    <row r="63" spans="2:15" x14ac:dyDescent="0.45">
      <c r="B63" s="392"/>
      <c r="C63" s="392"/>
      <c r="D63" s="392"/>
      <c r="E63" s="392"/>
      <c r="F63" s="392"/>
      <c r="G63" s="392"/>
      <c r="H63" s="392"/>
      <c r="I63" s="392"/>
      <c r="J63" s="392"/>
      <c r="K63" s="392"/>
      <c r="L63" s="392"/>
      <c r="M63" s="392"/>
      <c r="N63" s="392"/>
      <c r="O63" s="392"/>
    </row>
    <row r="64" spans="2:15" x14ac:dyDescent="0.45">
      <c r="B64" s="392"/>
      <c r="C64" s="392"/>
      <c r="D64" s="392"/>
      <c r="E64" s="392"/>
      <c r="F64" s="392"/>
      <c r="G64" s="392"/>
      <c r="H64" s="392"/>
      <c r="I64" s="392"/>
      <c r="J64" s="392"/>
      <c r="K64" s="392"/>
      <c r="L64" s="392"/>
      <c r="M64" s="392"/>
      <c r="N64" s="392"/>
      <c r="O64" s="392"/>
    </row>
    <row r="65" spans="2:15" x14ac:dyDescent="0.45">
      <c r="B65" s="392"/>
      <c r="C65" s="392"/>
      <c r="D65" s="392"/>
      <c r="E65" s="392"/>
      <c r="F65" s="392"/>
      <c r="G65" s="392"/>
      <c r="H65" s="392"/>
      <c r="I65" s="392"/>
      <c r="J65" s="392"/>
      <c r="K65" s="392"/>
      <c r="L65" s="392"/>
      <c r="M65" s="392"/>
      <c r="N65" s="392"/>
      <c r="O65" s="392"/>
    </row>
    <row r="66" spans="2:15" x14ac:dyDescent="0.45">
      <c r="B66" s="392"/>
      <c r="C66" s="392"/>
      <c r="D66" s="392"/>
      <c r="E66" s="392"/>
      <c r="F66" s="392"/>
      <c r="G66" s="392"/>
      <c r="H66" s="392"/>
      <c r="I66" s="392"/>
      <c r="J66" s="392"/>
      <c r="K66" s="392"/>
      <c r="L66" s="392"/>
      <c r="M66" s="392"/>
      <c r="N66" s="392"/>
      <c r="O66" s="392"/>
    </row>
    <row r="67" spans="2:15" x14ac:dyDescent="0.45">
      <c r="B67" s="392"/>
      <c r="C67" s="392"/>
      <c r="D67" s="392"/>
      <c r="E67" s="392"/>
      <c r="F67" s="392"/>
      <c r="G67" s="392"/>
      <c r="H67" s="392"/>
      <c r="I67" s="392"/>
      <c r="J67" s="392"/>
      <c r="K67" s="392"/>
      <c r="L67" s="392"/>
      <c r="M67" s="392"/>
      <c r="N67" s="392"/>
      <c r="O67" s="392"/>
    </row>
    <row r="68" spans="2:15" x14ac:dyDescent="0.45">
      <c r="B68" s="392"/>
      <c r="C68" s="392"/>
      <c r="D68" s="392"/>
      <c r="E68" s="392"/>
      <c r="F68" s="392"/>
      <c r="G68" s="392"/>
      <c r="H68" s="392"/>
      <c r="I68" s="392"/>
      <c r="J68" s="392"/>
      <c r="K68" s="392"/>
      <c r="L68" s="392"/>
      <c r="M68" s="392"/>
      <c r="N68" s="392"/>
      <c r="O68" s="392"/>
    </row>
    <row r="69" spans="2:15" x14ac:dyDescent="0.45">
      <c r="B69" s="392"/>
      <c r="C69" s="392"/>
      <c r="D69" s="392"/>
      <c r="E69" s="392"/>
      <c r="F69" s="392"/>
      <c r="G69" s="392"/>
      <c r="H69" s="392"/>
      <c r="I69" s="392"/>
      <c r="J69" s="392"/>
      <c r="K69" s="392"/>
      <c r="L69" s="392"/>
      <c r="M69" s="392"/>
      <c r="N69" s="392"/>
      <c r="O69" s="392"/>
    </row>
    <row r="70" spans="2:15" x14ac:dyDescent="0.45">
      <c r="B70" s="392"/>
      <c r="C70" s="392"/>
      <c r="D70" s="392"/>
      <c r="E70" s="392"/>
      <c r="F70" s="392"/>
      <c r="G70" s="392"/>
      <c r="H70" s="392"/>
      <c r="I70" s="392"/>
      <c r="J70" s="392"/>
      <c r="K70" s="392"/>
      <c r="L70" s="392"/>
      <c r="M70" s="392"/>
      <c r="N70" s="392"/>
      <c r="O70" s="392"/>
    </row>
    <row r="71" spans="2:15" x14ac:dyDescent="0.45">
      <c r="B71" s="392"/>
      <c r="C71" s="392"/>
      <c r="D71" s="392"/>
      <c r="E71" s="392"/>
      <c r="F71" s="392"/>
      <c r="G71" s="392"/>
      <c r="H71" s="392"/>
      <c r="I71" s="392"/>
      <c r="J71" s="392"/>
      <c r="K71" s="392"/>
      <c r="L71" s="392"/>
      <c r="M71" s="392"/>
      <c r="N71" s="392"/>
      <c r="O71" s="392"/>
    </row>
    <row r="72" spans="2:15" x14ac:dyDescent="0.45">
      <c r="B72" s="392"/>
      <c r="C72" s="392"/>
      <c r="D72" s="392"/>
      <c r="E72" s="392"/>
      <c r="F72" s="392"/>
      <c r="G72" s="392"/>
      <c r="H72" s="392"/>
      <c r="I72" s="392"/>
      <c r="J72" s="392"/>
      <c r="K72" s="392"/>
      <c r="L72" s="392"/>
      <c r="M72" s="392"/>
      <c r="N72" s="392"/>
      <c r="O72" s="392"/>
    </row>
    <row r="73" spans="2:15" x14ac:dyDescent="0.45">
      <c r="B73" s="392"/>
      <c r="C73" s="392"/>
      <c r="D73" s="392"/>
      <c r="E73" s="392"/>
      <c r="F73" s="392"/>
      <c r="G73" s="392"/>
      <c r="H73" s="392"/>
      <c r="I73" s="392"/>
      <c r="J73" s="392"/>
      <c r="K73" s="392"/>
      <c r="L73" s="392"/>
      <c r="M73" s="392"/>
      <c r="N73" s="392"/>
      <c r="O73" s="392"/>
    </row>
    <row r="74" spans="2:15" x14ac:dyDescent="0.45">
      <c r="B74" s="392"/>
      <c r="C74" s="392"/>
      <c r="D74" s="392"/>
      <c r="E74" s="392"/>
      <c r="F74" s="392"/>
      <c r="G74" s="392"/>
      <c r="H74" s="392"/>
      <c r="I74" s="392"/>
      <c r="J74" s="392"/>
      <c r="K74" s="392"/>
      <c r="L74" s="392"/>
      <c r="M74" s="392"/>
      <c r="N74" s="392"/>
      <c r="O74" s="392"/>
    </row>
    <row r="75" spans="2:15" x14ac:dyDescent="0.45">
      <c r="B75" s="392"/>
      <c r="C75" s="392"/>
      <c r="D75" s="392"/>
      <c r="E75" s="392"/>
      <c r="F75" s="392"/>
      <c r="G75" s="392"/>
      <c r="H75" s="392"/>
      <c r="I75" s="392"/>
      <c r="J75" s="392"/>
      <c r="K75" s="392"/>
      <c r="L75" s="392"/>
      <c r="M75" s="392"/>
      <c r="N75" s="392"/>
      <c r="O75" s="392"/>
    </row>
    <row r="76" spans="2:15" x14ac:dyDescent="0.45">
      <c r="B76" s="392"/>
      <c r="C76" s="392"/>
      <c r="D76" s="392"/>
      <c r="E76" s="392"/>
      <c r="F76" s="392"/>
      <c r="G76" s="392"/>
      <c r="H76" s="392"/>
      <c r="I76" s="392"/>
      <c r="J76" s="392"/>
      <c r="K76" s="392"/>
      <c r="L76" s="392"/>
      <c r="M76" s="392"/>
      <c r="N76" s="392"/>
      <c r="O76" s="392"/>
    </row>
    <row r="77" spans="2:15" x14ac:dyDescent="0.45">
      <c r="B77" s="392"/>
      <c r="C77" s="392"/>
      <c r="D77" s="392"/>
      <c r="E77" s="392"/>
      <c r="F77" s="392"/>
      <c r="G77" s="392"/>
      <c r="H77" s="392"/>
      <c r="I77" s="392"/>
      <c r="J77" s="392"/>
      <c r="K77" s="392"/>
      <c r="L77" s="392"/>
      <c r="M77" s="392"/>
      <c r="N77" s="392"/>
      <c r="O77" s="392"/>
    </row>
    <row r="78" spans="2:15" x14ac:dyDescent="0.45">
      <c r="B78" s="392"/>
      <c r="C78" s="392"/>
      <c r="D78" s="392"/>
      <c r="E78" s="392"/>
      <c r="F78" s="392"/>
      <c r="G78" s="392"/>
      <c r="H78" s="392"/>
      <c r="I78" s="392"/>
      <c r="J78" s="392"/>
      <c r="K78" s="392"/>
      <c r="L78" s="392"/>
      <c r="M78" s="392"/>
      <c r="N78" s="392"/>
      <c r="O78" s="392"/>
    </row>
    <row r="79" spans="2:15" x14ac:dyDescent="0.45">
      <c r="B79" s="392"/>
      <c r="C79" s="392"/>
      <c r="D79" s="392"/>
      <c r="E79" s="392"/>
      <c r="F79" s="392"/>
      <c r="G79" s="392"/>
      <c r="H79" s="392"/>
      <c r="I79" s="392"/>
      <c r="J79" s="392"/>
      <c r="K79" s="392"/>
      <c r="L79" s="392"/>
      <c r="M79" s="392"/>
      <c r="N79" s="392"/>
      <c r="O79" s="392"/>
    </row>
    <row r="80" spans="2:15" x14ac:dyDescent="0.45">
      <c r="B80" s="392"/>
      <c r="C80" s="392"/>
      <c r="D80" s="392"/>
      <c r="E80" s="392"/>
      <c r="F80" s="392"/>
      <c r="G80" s="392"/>
      <c r="H80" s="392"/>
      <c r="I80" s="392"/>
      <c r="J80" s="392"/>
      <c r="K80" s="392"/>
      <c r="L80" s="392"/>
      <c r="M80" s="392"/>
      <c r="N80" s="392"/>
      <c r="O80" s="392"/>
    </row>
    <row r="81" spans="2:15" x14ac:dyDescent="0.45">
      <c r="B81" s="392"/>
      <c r="C81" s="392"/>
      <c r="D81" s="392"/>
      <c r="E81" s="392"/>
      <c r="F81" s="392"/>
      <c r="G81" s="392"/>
      <c r="H81" s="392"/>
      <c r="I81" s="392"/>
      <c r="J81" s="392"/>
      <c r="K81" s="392"/>
      <c r="L81" s="392"/>
      <c r="M81" s="392"/>
      <c r="N81" s="392"/>
      <c r="O81" s="392"/>
    </row>
    <row r="82" spans="2:15" x14ac:dyDescent="0.45">
      <c r="B82" s="392"/>
      <c r="C82" s="392"/>
      <c r="D82" s="392"/>
      <c r="E82" s="392"/>
      <c r="F82" s="392"/>
      <c r="G82" s="392"/>
      <c r="H82" s="392"/>
      <c r="I82" s="392"/>
      <c r="J82" s="392"/>
      <c r="K82" s="392"/>
      <c r="L82" s="392"/>
      <c r="M82" s="392"/>
      <c r="N82" s="392"/>
      <c r="O82" s="392"/>
    </row>
    <row r="83" spans="2:15" x14ac:dyDescent="0.45">
      <c r="B83" s="392"/>
      <c r="C83" s="392"/>
      <c r="D83" s="392"/>
      <c r="E83" s="392"/>
      <c r="F83" s="392"/>
      <c r="G83" s="392"/>
      <c r="H83" s="392"/>
      <c r="I83" s="392"/>
      <c r="J83" s="392"/>
      <c r="K83" s="392"/>
      <c r="L83" s="392"/>
      <c r="M83" s="392"/>
      <c r="N83" s="392"/>
      <c r="O83" s="392"/>
    </row>
    <row r="84" spans="2:15" x14ac:dyDescent="0.45">
      <c r="B84" s="392"/>
      <c r="C84" s="392"/>
      <c r="D84" s="392"/>
      <c r="E84" s="392"/>
      <c r="F84" s="392"/>
      <c r="G84" s="392"/>
      <c r="H84" s="392"/>
      <c r="I84" s="392"/>
      <c r="J84" s="392"/>
      <c r="K84" s="392"/>
      <c r="L84" s="392"/>
      <c r="M84" s="392"/>
      <c r="N84" s="392"/>
      <c r="O84" s="392"/>
    </row>
    <row r="85" spans="2:15" x14ac:dyDescent="0.45">
      <c r="B85" s="392"/>
      <c r="C85" s="392"/>
      <c r="D85" s="392"/>
      <c r="E85" s="392"/>
      <c r="F85" s="392"/>
      <c r="G85" s="392"/>
      <c r="H85" s="392"/>
      <c r="I85" s="392"/>
      <c r="J85" s="392"/>
      <c r="K85" s="392"/>
      <c r="L85" s="392"/>
      <c r="M85" s="392"/>
      <c r="N85" s="392"/>
      <c r="O85" s="392"/>
    </row>
    <row r="86" spans="2:15" x14ac:dyDescent="0.45">
      <c r="B86" s="392"/>
      <c r="C86" s="392"/>
      <c r="D86" s="392"/>
      <c r="E86" s="392"/>
      <c r="F86" s="392"/>
      <c r="G86" s="392"/>
      <c r="H86" s="392"/>
      <c r="I86" s="392"/>
      <c r="J86" s="392"/>
      <c r="K86" s="392"/>
      <c r="L86" s="392"/>
      <c r="M86" s="392"/>
      <c r="N86" s="392"/>
      <c r="O86" s="392"/>
    </row>
    <row r="87" spans="2:15" x14ac:dyDescent="0.45">
      <c r="B87" s="392"/>
      <c r="C87" s="392"/>
      <c r="D87" s="392"/>
      <c r="E87" s="392"/>
      <c r="F87" s="392"/>
      <c r="G87" s="392"/>
      <c r="H87" s="392"/>
      <c r="I87" s="392"/>
      <c r="J87" s="392"/>
      <c r="K87" s="392"/>
      <c r="L87" s="392"/>
      <c r="M87" s="392"/>
      <c r="N87" s="392"/>
      <c r="O87" s="392"/>
    </row>
    <row r="88" spans="2:15" x14ac:dyDescent="0.45">
      <c r="B88" s="392"/>
      <c r="C88" s="392"/>
      <c r="D88" s="392"/>
      <c r="E88" s="392"/>
      <c r="F88" s="392"/>
      <c r="G88" s="392"/>
      <c r="H88" s="392"/>
      <c r="I88" s="392"/>
      <c r="J88" s="392"/>
      <c r="K88" s="392"/>
      <c r="L88" s="392"/>
      <c r="M88" s="392"/>
      <c r="N88" s="392"/>
      <c r="O88" s="392"/>
    </row>
    <row r="89" spans="2:15" x14ac:dyDescent="0.45">
      <c r="B89" s="392"/>
      <c r="C89" s="392"/>
      <c r="D89" s="392"/>
      <c r="E89" s="392"/>
      <c r="F89" s="392"/>
      <c r="G89" s="392"/>
      <c r="H89" s="392"/>
      <c r="I89" s="392"/>
      <c r="J89" s="392"/>
      <c r="K89" s="392"/>
      <c r="L89" s="392"/>
      <c r="M89" s="392"/>
      <c r="N89" s="392"/>
      <c r="O89" s="392"/>
    </row>
    <row r="90" spans="2:15" x14ac:dyDescent="0.45">
      <c r="B90" s="392"/>
      <c r="C90" s="392"/>
      <c r="D90" s="392"/>
      <c r="E90" s="392"/>
      <c r="F90" s="392"/>
      <c r="G90" s="392"/>
      <c r="H90" s="392"/>
      <c r="I90" s="392"/>
      <c r="J90" s="392"/>
      <c r="K90" s="392"/>
      <c r="L90" s="392"/>
      <c r="M90" s="392"/>
      <c r="N90" s="392"/>
      <c r="O90" s="392"/>
    </row>
    <row r="91" spans="2:15" x14ac:dyDescent="0.45">
      <c r="B91" s="392"/>
      <c r="C91" s="392"/>
      <c r="D91" s="392"/>
      <c r="E91" s="392"/>
      <c r="F91" s="392"/>
      <c r="G91" s="392"/>
      <c r="H91" s="392"/>
      <c r="I91" s="392"/>
      <c r="J91" s="392"/>
      <c r="K91" s="392"/>
      <c r="L91" s="392"/>
      <c r="M91" s="392"/>
      <c r="N91" s="392"/>
      <c r="O91" s="392"/>
    </row>
    <row r="92" spans="2:15" x14ac:dyDescent="0.45">
      <c r="B92" s="392"/>
      <c r="C92" s="392"/>
      <c r="D92" s="392"/>
      <c r="E92" s="392"/>
      <c r="F92" s="392"/>
      <c r="G92" s="392"/>
      <c r="H92" s="392"/>
      <c r="I92" s="392"/>
      <c r="J92" s="392"/>
      <c r="K92" s="392"/>
      <c r="L92" s="392"/>
      <c r="M92" s="392"/>
      <c r="N92" s="392"/>
      <c r="O92" s="392"/>
    </row>
  </sheetData>
  <sheetProtection algorithmName="SHA-512" hashValue="mWZ5Xg5all9BD6c6GPLxFmwBahhbLe0pbk5JN7pR0ruzhJ01SYRl78bCYs7OUzYvkUJmmdbpF/fl58jGJG7+wg==" saltValue="blmpY7VhDWWyNGioQoByEg==" spinCount="100000" sheet="1" objects="1" scenarios="1" selectLockedCells="1" selectUnlockedCell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tabColor theme="6" tint="0.59999389629810485"/>
    <pageSetUpPr fitToPage="1"/>
  </sheetPr>
  <dimension ref="B1:Q81"/>
  <sheetViews>
    <sheetView workbookViewId="0"/>
  </sheetViews>
  <sheetFormatPr defaultColWidth="9.06640625" defaultRowHeight="14.25" x14ac:dyDescent="0.45"/>
  <cols>
    <col min="1" max="1" width="4.06640625" style="207" customWidth="1"/>
    <col min="2" max="2" width="20.796875" style="207" customWidth="1"/>
    <col min="3" max="3" width="20.73046875" style="207" customWidth="1"/>
    <col min="4" max="4" width="25.796875" style="207" customWidth="1"/>
    <col min="5" max="5" width="20.73046875" style="207" customWidth="1"/>
    <col min="6" max="6" width="20.59765625" style="207" customWidth="1"/>
    <col min="7" max="7" width="20.265625" style="207" customWidth="1"/>
    <col min="8" max="18" width="20.73046875" style="207" customWidth="1"/>
    <col min="19" max="16384" width="9.06640625" style="207"/>
  </cols>
  <sheetData>
    <row r="1" spans="2:17" ht="14.65" thickBot="1" x14ac:dyDescent="0.5"/>
    <row r="2" spans="2:17" ht="15" customHeight="1" x14ac:dyDescent="0.45">
      <c r="B2" s="1157" t="s">
        <v>471</v>
      </c>
      <c r="C2" s="1158"/>
      <c r="D2" s="1158"/>
      <c r="E2" s="1158"/>
      <c r="F2" s="1158"/>
      <c r="G2" s="1158"/>
      <c r="H2" s="1158"/>
      <c r="I2" s="1158"/>
      <c r="J2" s="1158"/>
      <c r="K2" s="1158"/>
      <c r="L2" s="1158"/>
      <c r="M2" s="1158"/>
      <c r="N2" s="1158"/>
      <c r="O2" s="1158"/>
      <c r="P2" s="1158"/>
      <c r="Q2" s="1159"/>
    </row>
    <row r="3" spans="2:17" ht="14.65" thickBot="1" x14ac:dyDescent="0.5">
      <c r="B3" s="1160"/>
      <c r="C3" s="1161"/>
      <c r="D3" s="1161"/>
      <c r="E3" s="1161"/>
      <c r="F3" s="1161"/>
      <c r="G3" s="1161"/>
      <c r="H3" s="1161"/>
      <c r="I3" s="1161"/>
      <c r="J3" s="1161"/>
      <c r="K3" s="1161"/>
      <c r="L3" s="1161"/>
      <c r="M3" s="1161"/>
      <c r="N3" s="1161"/>
      <c r="O3" s="1161"/>
      <c r="P3" s="1161"/>
      <c r="Q3" s="1162"/>
    </row>
    <row r="4" spans="2:17" x14ac:dyDescent="0.45">
      <c r="B4" s="547"/>
      <c r="C4" s="381"/>
      <c r="D4" s="381"/>
      <c r="E4" s="381"/>
      <c r="F4" s="381"/>
      <c r="G4" s="381"/>
      <c r="H4" s="381"/>
      <c r="I4" s="381"/>
      <c r="J4" s="381"/>
      <c r="K4" s="381"/>
      <c r="L4" s="381"/>
      <c r="M4" s="381"/>
      <c r="N4" s="381"/>
      <c r="O4" s="381"/>
      <c r="P4" s="381"/>
      <c r="Q4" s="548"/>
    </row>
    <row r="5" spans="2:17" x14ac:dyDescent="0.45">
      <c r="B5" s="547"/>
      <c r="C5" s="381"/>
      <c r="D5" s="381"/>
      <c r="E5" s="381"/>
      <c r="F5" s="381"/>
      <c r="G5" s="381"/>
      <c r="H5" s="381"/>
      <c r="I5" s="381"/>
      <c r="J5" s="381"/>
      <c r="K5" s="381"/>
      <c r="L5" s="381"/>
      <c r="M5" s="381"/>
      <c r="N5" s="381"/>
      <c r="O5" s="381"/>
      <c r="P5" s="381"/>
      <c r="Q5" s="548"/>
    </row>
    <row r="6" spans="2:17" x14ac:dyDescent="0.45">
      <c r="B6" s="547"/>
      <c r="C6" s="381"/>
      <c r="D6" s="381"/>
      <c r="E6" s="381"/>
      <c r="F6" s="381"/>
      <c r="G6" s="381"/>
      <c r="H6" s="381"/>
      <c r="I6" s="381"/>
      <c r="J6" s="381"/>
      <c r="K6" s="381"/>
      <c r="L6" s="381"/>
      <c r="M6" s="381"/>
      <c r="N6" s="381"/>
      <c r="O6" s="381"/>
      <c r="P6" s="381"/>
      <c r="Q6" s="548"/>
    </row>
    <row r="7" spans="2:17" x14ac:dyDescent="0.45">
      <c r="B7" s="547"/>
      <c r="C7" s="381"/>
      <c r="D7" s="381"/>
      <c r="E7" s="381"/>
      <c r="F7" s="381"/>
      <c r="G7" s="381"/>
      <c r="H7" s="381"/>
      <c r="I7" s="381"/>
      <c r="J7" s="381"/>
      <c r="K7" s="381"/>
      <c r="L7" s="381"/>
      <c r="M7" s="381"/>
      <c r="N7" s="381"/>
      <c r="O7" s="381"/>
      <c r="P7" s="381"/>
      <c r="Q7" s="548"/>
    </row>
    <row r="8" spans="2:17" x14ac:dyDescent="0.45">
      <c r="B8" s="547"/>
      <c r="C8" s="381"/>
      <c r="D8" s="381"/>
      <c r="E8" s="381"/>
      <c r="F8" s="381"/>
      <c r="G8" s="381"/>
      <c r="H8" s="381"/>
      <c r="I8" s="381"/>
      <c r="J8" s="381"/>
      <c r="K8" s="381"/>
      <c r="L8" s="381"/>
      <c r="M8" s="381"/>
      <c r="N8" s="381"/>
      <c r="O8" s="381"/>
      <c r="P8" s="381"/>
      <c r="Q8" s="548"/>
    </row>
    <row r="9" spans="2:17" x14ac:dyDescent="0.45">
      <c r="B9" s="547"/>
      <c r="C9" s="381"/>
      <c r="D9" s="381"/>
      <c r="E9" s="381"/>
      <c r="F9" s="381"/>
      <c r="G9" s="381"/>
      <c r="H9" s="381"/>
      <c r="I9" s="381"/>
      <c r="J9" s="381"/>
      <c r="K9" s="381"/>
      <c r="L9" s="381"/>
      <c r="M9" s="381"/>
      <c r="N9" s="381"/>
      <c r="O9" s="381"/>
      <c r="P9" s="381"/>
      <c r="Q9" s="548"/>
    </row>
    <row r="10" spans="2:17" x14ac:dyDescent="0.45">
      <c r="B10" s="547"/>
      <c r="C10" s="381"/>
      <c r="D10" s="381"/>
      <c r="E10" s="381"/>
      <c r="F10" s="381"/>
      <c r="G10" s="381"/>
      <c r="H10" s="381"/>
      <c r="I10" s="381"/>
      <c r="J10" s="381"/>
      <c r="K10" s="381"/>
      <c r="L10" s="381"/>
      <c r="M10" s="381"/>
      <c r="N10" s="381"/>
      <c r="O10" s="381"/>
      <c r="P10" s="381"/>
      <c r="Q10" s="548"/>
    </row>
    <row r="11" spans="2:17" x14ac:dyDescent="0.45">
      <c r="B11" s="547"/>
      <c r="C11" s="381"/>
      <c r="D11" s="381"/>
      <c r="E11" s="381"/>
      <c r="F11" s="381"/>
      <c r="G11" s="381"/>
      <c r="H11" s="381"/>
      <c r="I11" s="381"/>
      <c r="J11" s="381"/>
      <c r="K11" s="381"/>
      <c r="L11" s="381"/>
      <c r="M11" s="381"/>
      <c r="N11" s="381"/>
      <c r="O11" s="381"/>
      <c r="P11" s="381"/>
      <c r="Q11" s="548"/>
    </row>
    <row r="12" spans="2:17" x14ac:dyDescent="0.45">
      <c r="B12" s="547"/>
      <c r="C12" s="381"/>
      <c r="D12" s="381"/>
      <c r="E12" s="381"/>
      <c r="F12" s="381"/>
      <c r="G12" s="381"/>
      <c r="H12" s="381"/>
      <c r="I12" s="381"/>
      <c r="J12" s="381"/>
      <c r="K12" s="381"/>
      <c r="L12" s="381"/>
      <c r="M12" s="381"/>
      <c r="N12" s="381"/>
      <c r="O12" s="381"/>
      <c r="P12" s="381"/>
      <c r="Q12" s="548"/>
    </row>
    <row r="13" spans="2:17" x14ac:dyDescent="0.45">
      <c r="B13" s="547"/>
      <c r="C13" s="381"/>
      <c r="D13" s="381"/>
      <c r="E13" s="381"/>
      <c r="F13" s="381"/>
      <c r="G13" s="381"/>
      <c r="H13" s="381"/>
      <c r="I13" s="381"/>
      <c r="J13" s="381"/>
      <c r="K13" s="381"/>
      <c r="L13" s="381"/>
      <c r="M13" s="381"/>
      <c r="N13" s="381"/>
      <c r="O13" s="381"/>
      <c r="P13" s="381"/>
      <c r="Q13" s="548"/>
    </row>
    <row r="14" spans="2:17" x14ac:dyDescent="0.45">
      <c r="B14" s="547"/>
      <c r="C14" s="381"/>
      <c r="D14" s="381"/>
      <c r="E14" s="381"/>
      <c r="F14" s="381"/>
      <c r="G14" s="381"/>
      <c r="H14" s="381"/>
      <c r="I14" s="381"/>
      <c r="J14" s="381"/>
      <c r="K14" s="381"/>
      <c r="L14" s="381"/>
      <c r="M14" s="381"/>
      <c r="N14" s="381"/>
      <c r="O14" s="381"/>
      <c r="P14" s="381"/>
      <c r="Q14" s="548"/>
    </row>
    <row r="15" spans="2:17" x14ac:dyDescent="0.45">
      <c r="B15" s="547"/>
      <c r="C15" s="381"/>
      <c r="D15" s="381"/>
      <c r="E15" s="381"/>
      <c r="F15" s="381"/>
      <c r="G15" s="381"/>
      <c r="H15" s="381"/>
      <c r="I15" s="381"/>
      <c r="J15" s="381"/>
      <c r="K15" s="381"/>
      <c r="L15" s="381"/>
      <c r="M15" s="381"/>
      <c r="N15" s="381"/>
      <c r="O15" s="381"/>
      <c r="P15" s="381"/>
      <c r="Q15" s="548"/>
    </row>
    <row r="16" spans="2:17" x14ac:dyDescent="0.45">
      <c r="B16" s="547"/>
      <c r="C16" s="381"/>
      <c r="D16" s="381"/>
      <c r="E16" s="381"/>
      <c r="F16" s="381"/>
      <c r="G16" s="381"/>
      <c r="H16" s="381"/>
      <c r="I16" s="381"/>
      <c r="J16" s="381"/>
      <c r="K16" s="381"/>
      <c r="L16" s="381"/>
      <c r="M16" s="381"/>
      <c r="N16" s="381"/>
      <c r="O16" s="381"/>
      <c r="P16" s="381"/>
      <c r="Q16" s="548"/>
    </row>
    <row r="17" spans="2:17" x14ac:dyDescent="0.45">
      <c r="B17" s="547"/>
      <c r="C17" s="381"/>
      <c r="D17" s="381"/>
      <c r="E17" s="381"/>
      <c r="F17" s="381"/>
      <c r="G17" s="381"/>
      <c r="H17" s="381"/>
      <c r="I17" s="381"/>
      <c r="J17" s="381"/>
      <c r="K17" s="381"/>
      <c r="L17" s="381"/>
      <c r="M17" s="381"/>
      <c r="N17" s="381"/>
      <c r="O17" s="381"/>
      <c r="P17" s="381"/>
      <c r="Q17" s="548"/>
    </row>
    <row r="18" spans="2:17" x14ac:dyDescent="0.45">
      <c r="B18" s="547"/>
      <c r="C18" s="381"/>
      <c r="D18" s="381"/>
      <c r="E18" s="381"/>
      <c r="F18" s="381"/>
      <c r="G18" s="381"/>
      <c r="H18" s="381"/>
      <c r="I18" s="381"/>
      <c r="J18" s="381"/>
      <c r="K18" s="381"/>
      <c r="L18" s="381"/>
      <c r="M18" s="381"/>
      <c r="N18" s="381"/>
      <c r="O18" s="381"/>
      <c r="P18" s="381"/>
      <c r="Q18" s="548"/>
    </row>
    <row r="19" spans="2:17" x14ac:dyDescent="0.45">
      <c r="B19" s="547"/>
      <c r="C19" s="381"/>
      <c r="D19" s="381"/>
      <c r="E19" s="381"/>
      <c r="F19" s="381"/>
      <c r="G19" s="381"/>
      <c r="H19" s="381"/>
      <c r="I19" s="381"/>
      <c r="J19" s="381"/>
      <c r="K19" s="381"/>
      <c r="L19" s="381"/>
      <c r="M19" s="381"/>
      <c r="N19" s="381"/>
      <c r="O19" s="381"/>
      <c r="P19" s="381"/>
      <c r="Q19" s="548"/>
    </row>
    <row r="20" spans="2:17" x14ac:dyDescent="0.45">
      <c r="B20" s="547"/>
      <c r="C20" s="381"/>
      <c r="D20" s="381"/>
      <c r="E20" s="381"/>
      <c r="F20" s="381"/>
      <c r="G20" s="381"/>
      <c r="H20" s="381"/>
      <c r="I20" s="381"/>
      <c r="J20" s="381"/>
      <c r="K20" s="381"/>
      <c r="L20" s="381"/>
      <c r="M20" s="381"/>
      <c r="N20" s="381"/>
      <c r="O20" s="381"/>
      <c r="P20" s="381"/>
      <c r="Q20" s="548"/>
    </row>
    <row r="21" spans="2:17" x14ac:dyDescent="0.45">
      <c r="B21" s="547"/>
      <c r="C21" s="381"/>
      <c r="D21" s="381"/>
      <c r="E21" s="381"/>
      <c r="F21" s="381"/>
      <c r="G21" s="381"/>
      <c r="H21" s="381"/>
      <c r="I21" s="381"/>
      <c r="J21" s="381"/>
      <c r="K21" s="381"/>
      <c r="L21" s="381"/>
      <c r="M21" s="381"/>
      <c r="N21" s="381"/>
      <c r="O21" s="381"/>
      <c r="P21" s="381"/>
      <c r="Q21" s="548"/>
    </row>
    <row r="22" spans="2:17" x14ac:dyDescent="0.45">
      <c r="B22" s="547"/>
      <c r="C22" s="381"/>
      <c r="D22" s="381"/>
      <c r="E22" s="381"/>
      <c r="F22" s="381"/>
      <c r="G22" s="381"/>
      <c r="H22" s="381"/>
      <c r="I22" s="381"/>
      <c r="J22" s="381"/>
      <c r="K22" s="381"/>
      <c r="L22" s="381"/>
      <c r="M22" s="381"/>
      <c r="N22" s="381"/>
      <c r="O22" s="381"/>
      <c r="P22" s="381"/>
      <c r="Q22" s="548"/>
    </row>
    <row r="23" spans="2:17" x14ac:dyDescent="0.45">
      <c r="B23" s="547"/>
      <c r="C23" s="381"/>
      <c r="D23" s="381"/>
      <c r="E23" s="381"/>
      <c r="F23" s="381"/>
      <c r="G23" s="381"/>
      <c r="H23" s="381"/>
      <c r="I23" s="381"/>
      <c r="J23" s="381"/>
      <c r="K23" s="381"/>
      <c r="L23" s="381"/>
      <c r="M23" s="381"/>
      <c r="N23" s="381"/>
      <c r="O23" s="381"/>
      <c r="P23" s="381"/>
      <c r="Q23" s="548"/>
    </row>
    <row r="24" spans="2:17" x14ac:dyDescent="0.45">
      <c r="B24" s="547"/>
      <c r="C24" s="381"/>
      <c r="D24" s="381"/>
      <c r="E24" s="381"/>
      <c r="F24" s="381"/>
      <c r="G24" s="381"/>
      <c r="H24" s="381"/>
      <c r="I24" s="381"/>
      <c r="J24" s="381"/>
      <c r="K24" s="381"/>
      <c r="L24" s="381"/>
      <c r="M24" s="381"/>
      <c r="N24" s="381"/>
      <c r="O24" s="381"/>
      <c r="P24" s="381"/>
      <c r="Q24" s="548"/>
    </row>
    <row r="25" spans="2:17" x14ac:dyDescent="0.45">
      <c r="B25" s="547"/>
      <c r="C25" s="381"/>
      <c r="D25" s="381"/>
      <c r="E25" s="381"/>
      <c r="F25" s="381"/>
      <c r="G25" s="381"/>
      <c r="H25" s="381"/>
      <c r="I25" s="381"/>
      <c r="J25" s="381"/>
      <c r="K25" s="381"/>
      <c r="L25" s="381"/>
      <c r="M25" s="381"/>
      <c r="N25" s="381"/>
      <c r="O25" s="381"/>
      <c r="P25" s="381"/>
      <c r="Q25" s="548"/>
    </row>
    <row r="26" spans="2:17" x14ac:dyDescent="0.45">
      <c r="B26" s="547"/>
      <c r="C26" s="381"/>
      <c r="D26" s="381"/>
      <c r="E26" s="381"/>
      <c r="F26" s="381"/>
      <c r="G26" s="381"/>
      <c r="H26" s="381"/>
      <c r="I26" s="381"/>
      <c r="J26" s="381"/>
      <c r="K26" s="381"/>
      <c r="L26" s="381"/>
      <c r="M26" s="381"/>
      <c r="N26" s="381"/>
      <c r="O26" s="381"/>
      <c r="P26" s="381"/>
      <c r="Q26" s="548"/>
    </row>
    <row r="27" spans="2:17" x14ac:dyDescent="0.45">
      <c r="B27" s="547"/>
      <c r="C27" s="381"/>
      <c r="D27" s="381"/>
      <c r="E27" s="381"/>
      <c r="F27" s="381"/>
      <c r="G27" s="381"/>
      <c r="H27" s="381"/>
      <c r="I27" s="381"/>
      <c r="J27" s="381"/>
      <c r="K27" s="381"/>
      <c r="L27" s="381"/>
      <c r="M27" s="381"/>
      <c r="N27" s="381"/>
      <c r="O27" s="381"/>
      <c r="P27" s="381"/>
      <c r="Q27" s="548"/>
    </row>
    <row r="28" spans="2:17" x14ac:dyDescent="0.45">
      <c r="B28" s="547"/>
      <c r="C28" s="381"/>
      <c r="D28" s="381"/>
      <c r="E28" s="381"/>
      <c r="F28" s="381"/>
      <c r="G28" s="381"/>
      <c r="H28" s="381"/>
      <c r="I28" s="381"/>
      <c r="J28" s="381"/>
      <c r="K28" s="381"/>
      <c r="L28" s="381"/>
      <c r="M28" s="381"/>
      <c r="N28" s="381"/>
      <c r="O28" s="381"/>
      <c r="P28" s="381"/>
      <c r="Q28" s="548"/>
    </row>
    <row r="29" spans="2:17" x14ac:dyDescent="0.45">
      <c r="B29" s="547"/>
      <c r="C29" s="381"/>
      <c r="D29" s="381"/>
      <c r="E29" s="381"/>
      <c r="F29" s="381"/>
      <c r="G29" s="381"/>
      <c r="H29" s="381"/>
      <c r="I29" s="381"/>
      <c r="J29" s="381"/>
      <c r="K29" s="381"/>
      <c r="L29" s="381"/>
      <c r="M29" s="381"/>
      <c r="N29" s="381"/>
      <c r="O29" s="381"/>
      <c r="P29" s="381"/>
      <c r="Q29" s="548"/>
    </row>
    <row r="30" spans="2:17" x14ac:dyDescent="0.45">
      <c r="B30" s="547"/>
      <c r="C30" s="381"/>
      <c r="D30" s="381"/>
      <c r="E30" s="381"/>
      <c r="F30" s="381"/>
      <c r="G30" s="381"/>
      <c r="H30" s="381"/>
      <c r="I30" s="381"/>
      <c r="J30" s="381"/>
      <c r="K30" s="381"/>
      <c r="L30" s="381"/>
      <c r="M30" s="381"/>
      <c r="N30" s="381"/>
      <c r="O30" s="381"/>
      <c r="P30" s="381"/>
      <c r="Q30" s="548"/>
    </row>
    <row r="31" spans="2:17" x14ac:dyDescent="0.45">
      <c r="B31" s="547"/>
      <c r="C31" s="381"/>
      <c r="D31" s="381"/>
      <c r="E31" s="381"/>
      <c r="F31" s="381"/>
      <c r="G31" s="381"/>
      <c r="H31" s="381"/>
      <c r="I31" s="381"/>
      <c r="J31" s="381"/>
      <c r="K31" s="381"/>
      <c r="L31" s="381"/>
      <c r="M31" s="381"/>
      <c r="N31" s="381"/>
      <c r="O31" s="381"/>
      <c r="P31" s="381"/>
      <c r="Q31" s="548"/>
    </row>
    <row r="32" spans="2:17" x14ac:dyDescent="0.45">
      <c r="B32" s="547"/>
      <c r="C32" s="381"/>
      <c r="D32" s="381"/>
      <c r="E32" s="381"/>
      <c r="F32" s="381"/>
      <c r="G32" s="381"/>
      <c r="H32" s="381"/>
      <c r="I32" s="381"/>
      <c r="J32" s="381"/>
      <c r="K32" s="381"/>
      <c r="L32" s="381"/>
      <c r="M32" s="381"/>
      <c r="N32" s="381"/>
      <c r="O32" s="381"/>
      <c r="P32" s="381"/>
      <c r="Q32" s="548"/>
    </row>
    <row r="33" spans="2:17" x14ac:dyDescent="0.45">
      <c r="B33" s="547"/>
      <c r="C33" s="381"/>
      <c r="D33" s="381"/>
      <c r="E33" s="381"/>
      <c r="F33" s="381"/>
      <c r="G33" s="381"/>
      <c r="H33" s="381"/>
      <c r="I33" s="381"/>
      <c r="J33" s="381"/>
      <c r="K33" s="381"/>
      <c r="L33" s="381"/>
      <c r="M33" s="381"/>
      <c r="N33" s="381"/>
      <c r="O33" s="381"/>
      <c r="P33" s="381"/>
      <c r="Q33" s="548"/>
    </row>
    <row r="34" spans="2:17" x14ac:dyDescent="0.45">
      <c r="B34" s="547"/>
      <c r="C34" s="381"/>
      <c r="D34" s="381"/>
      <c r="E34" s="381"/>
      <c r="F34" s="381"/>
      <c r="G34" s="381"/>
      <c r="H34" s="381"/>
      <c r="I34" s="381"/>
      <c r="J34" s="381"/>
      <c r="K34" s="381"/>
      <c r="L34" s="381"/>
      <c r="M34" s="381"/>
      <c r="N34" s="381"/>
      <c r="O34" s="381"/>
      <c r="P34" s="381"/>
      <c r="Q34" s="548"/>
    </row>
    <row r="35" spans="2:17" x14ac:dyDescent="0.45">
      <c r="B35" s="547"/>
      <c r="C35" s="381"/>
      <c r="D35" s="381"/>
      <c r="E35" s="381"/>
      <c r="F35" s="381"/>
      <c r="G35" s="381"/>
      <c r="H35" s="381"/>
      <c r="I35" s="381"/>
      <c r="J35" s="381"/>
      <c r="K35" s="381"/>
      <c r="L35" s="381"/>
      <c r="M35" s="381"/>
      <c r="N35" s="381"/>
      <c r="O35" s="381"/>
      <c r="P35" s="381"/>
      <c r="Q35" s="548"/>
    </row>
    <row r="36" spans="2:17" x14ac:dyDescent="0.45">
      <c r="B36" s="547"/>
      <c r="C36" s="381"/>
      <c r="D36" s="381"/>
      <c r="E36" s="381"/>
      <c r="F36" s="381"/>
      <c r="G36" s="381"/>
      <c r="H36" s="381"/>
      <c r="I36" s="381"/>
      <c r="J36" s="381"/>
      <c r="K36" s="381"/>
      <c r="L36" s="381"/>
      <c r="M36" s="381"/>
      <c r="N36" s="381"/>
      <c r="O36" s="381"/>
      <c r="P36" s="381"/>
      <c r="Q36" s="548"/>
    </row>
    <row r="37" spans="2:17" x14ac:dyDescent="0.45">
      <c r="B37" s="547"/>
      <c r="C37" s="381"/>
      <c r="D37" s="381"/>
      <c r="E37" s="381"/>
      <c r="F37" s="381"/>
      <c r="G37" s="381"/>
      <c r="H37" s="381"/>
      <c r="I37" s="381"/>
      <c r="J37" s="381"/>
      <c r="K37" s="381"/>
      <c r="L37" s="381"/>
      <c r="M37" s="381"/>
      <c r="N37" s="381"/>
      <c r="O37" s="381"/>
      <c r="P37" s="381"/>
      <c r="Q37" s="548"/>
    </row>
    <row r="38" spans="2:17" x14ac:dyDescent="0.45">
      <c r="B38" s="547"/>
      <c r="C38" s="381"/>
      <c r="D38" s="381"/>
      <c r="E38" s="381"/>
      <c r="F38" s="381"/>
      <c r="G38" s="381"/>
      <c r="H38" s="381"/>
      <c r="I38" s="381"/>
      <c r="J38" s="381"/>
      <c r="K38" s="381"/>
      <c r="L38" s="381"/>
      <c r="M38" s="381"/>
      <c r="N38" s="381"/>
      <c r="O38" s="381"/>
      <c r="P38" s="381"/>
      <c r="Q38" s="548"/>
    </row>
    <row r="39" spans="2:17" x14ac:dyDescent="0.45">
      <c r="B39" s="547"/>
      <c r="C39" s="381"/>
      <c r="D39" s="381"/>
      <c r="E39" s="381"/>
      <c r="F39" s="381"/>
      <c r="G39" s="381"/>
      <c r="H39" s="381"/>
      <c r="I39" s="381"/>
      <c r="J39" s="381"/>
      <c r="K39" s="381"/>
      <c r="L39" s="381"/>
      <c r="M39" s="381"/>
      <c r="N39" s="381"/>
      <c r="O39" s="381"/>
      <c r="P39" s="381"/>
      <c r="Q39" s="548"/>
    </row>
    <row r="40" spans="2:17" x14ac:dyDescent="0.45">
      <c r="B40" s="547"/>
      <c r="C40" s="381"/>
      <c r="D40" s="381"/>
      <c r="E40" s="381"/>
      <c r="F40" s="381"/>
      <c r="G40" s="381"/>
      <c r="H40" s="381"/>
      <c r="I40" s="381"/>
      <c r="J40" s="381"/>
      <c r="K40" s="381"/>
      <c r="L40" s="381"/>
      <c r="M40" s="381"/>
      <c r="N40" s="381"/>
      <c r="O40" s="381"/>
      <c r="P40" s="381"/>
      <c r="Q40" s="548"/>
    </row>
    <row r="41" spans="2:17" x14ac:dyDescent="0.45">
      <c r="B41" s="547"/>
      <c r="C41" s="381"/>
      <c r="D41" s="381"/>
      <c r="E41" s="381"/>
      <c r="F41" s="381"/>
      <c r="G41" s="381"/>
      <c r="H41" s="381"/>
      <c r="I41" s="381"/>
      <c r="J41" s="381"/>
      <c r="K41" s="381"/>
      <c r="L41" s="381"/>
      <c r="M41" s="381"/>
      <c r="N41" s="381"/>
      <c r="O41" s="381"/>
      <c r="P41" s="381"/>
      <c r="Q41" s="548"/>
    </row>
    <row r="42" spans="2:17" x14ac:dyDescent="0.45">
      <c r="B42" s="547"/>
      <c r="C42" s="381"/>
      <c r="D42" s="381"/>
      <c r="E42" s="381"/>
      <c r="F42" s="381"/>
      <c r="G42" s="381"/>
      <c r="H42" s="381"/>
      <c r="I42" s="381"/>
      <c r="J42" s="381"/>
      <c r="K42" s="381"/>
      <c r="L42" s="381"/>
      <c r="M42" s="381"/>
      <c r="N42" s="381"/>
      <c r="O42" s="381"/>
      <c r="P42" s="381"/>
      <c r="Q42" s="548"/>
    </row>
    <row r="43" spans="2:17" x14ac:dyDescent="0.45">
      <c r="B43" s="547"/>
      <c r="C43" s="381"/>
      <c r="D43" s="381"/>
      <c r="E43" s="381"/>
      <c r="F43" s="381"/>
      <c r="G43" s="381"/>
      <c r="H43" s="381"/>
      <c r="I43" s="381"/>
      <c r="J43" s="381"/>
      <c r="K43" s="381"/>
      <c r="L43" s="381"/>
      <c r="M43" s="381"/>
      <c r="N43" s="381"/>
      <c r="O43" s="381"/>
      <c r="P43" s="381"/>
      <c r="Q43" s="548"/>
    </row>
    <row r="44" spans="2:17" x14ac:dyDescent="0.45">
      <c r="B44" s="547"/>
      <c r="C44" s="381"/>
      <c r="D44" s="381"/>
      <c r="E44" s="381"/>
      <c r="F44" s="381"/>
      <c r="G44" s="381"/>
      <c r="H44" s="381"/>
      <c r="I44" s="381"/>
      <c r="J44" s="381"/>
      <c r="K44" s="381"/>
      <c r="L44" s="381"/>
      <c r="M44" s="381"/>
      <c r="N44" s="381"/>
      <c r="O44" s="381"/>
      <c r="P44" s="381"/>
      <c r="Q44" s="548"/>
    </row>
    <row r="45" spans="2:17" x14ac:dyDescent="0.45">
      <c r="B45" s="547"/>
      <c r="C45" s="381"/>
      <c r="D45" s="381"/>
      <c r="E45" s="381"/>
      <c r="F45" s="381"/>
      <c r="G45" s="381"/>
      <c r="H45" s="381"/>
      <c r="I45" s="381"/>
      <c r="J45" s="381"/>
      <c r="K45" s="381"/>
      <c r="L45" s="381"/>
      <c r="M45" s="381"/>
      <c r="N45" s="381"/>
      <c r="O45" s="381"/>
      <c r="P45" s="381"/>
      <c r="Q45" s="548"/>
    </row>
    <row r="46" spans="2:17" x14ac:dyDescent="0.45">
      <c r="B46" s="547"/>
      <c r="C46" s="381"/>
      <c r="D46" s="381"/>
      <c r="E46" s="381"/>
      <c r="F46" s="381"/>
      <c r="G46" s="381"/>
      <c r="H46" s="381"/>
      <c r="I46" s="381"/>
      <c r="J46" s="381"/>
      <c r="K46" s="381"/>
      <c r="L46" s="381"/>
      <c r="M46" s="381"/>
      <c r="N46" s="381"/>
      <c r="O46" s="381"/>
      <c r="P46" s="381"/>
      <c r="Q46" s="548"/>
    </row>
    <row r="47" spans="2:17" x14ac:dyDescent="0.45">
      <c r="B47" s="547"/>
      <c r="C47" s="381"/>
      <c r="D47" s="381"/>
      <c r="E47" s="381"/>
      <c r="F47" s="381"/>
      <c r="G47" s="381"/>
      <c r="H47" s="381"/>
      <c r="I47" s="381"/>
      <c r="J47" s="381"/>
      <c r="K47" s="381"/>
      <c r="L47" s="381"/>
      <c r="M47" s="381"/>
      <c r="N47" s="381"/>
      <c r="O47" s="381"/>
      <c r="P47" s="381"/>
      <c r="Q47" s="548"/>
    </row>
    <row r="48" spans="2:17" x14ac:dyDescent="0.45">
      <c r="B48" s="547"/>
      <c r="C48" s="381"/>
      <c r="D48" s="381"/>
      <c r="E48" s="381"/>
      <c r="F48" s="381"/>
      <c r="G48" s="381"/>
      <c r="H48" s="381"/>
      <c r="I48" s="381"/>
      <c r="J48" s="381"/>
      <c r="K48" s="381"/>
      <c r="L48" s="381"/>
      <c r="M48" s="381"/>
      <c r="N48" s="381"/>
      <c r="O48" s="381"/>
      <c r="P48" s="381"/>
      <c r="Q48" s="548"/>
    </row>
    <row r="49" spans="2:17" x14ac:dyDescent="0.45">
      <c r="B49" s="547"/>
      <c r="C49" s="381"/>
      <c r="D49" s="381"/>
      <c r="E49" s="381"/>
      <c r="F49" s="381"/>
      <c r="G49" s="381"/>
      <c r="H49" s="381"/>
      <c r="I49" s="381"/>
      <c r="J49" s="381"/>
      <c r="K49" s="381"/>
      <c r="L49" s="381"/>
      <c r="M49" s="381"/>
      <c r="N49" s="381"/>
      <c r="O49" s="381"/>
      <c r="P49" s="381"/>
      <c r="Q49" s="548"/>
    </row>
    <row r="50" spans="2:17" x14ac:dyDescent="0.45">
      <c r="B50" s="547"/>
      <c r="C50" s="381"/>
      <c r="D50" s="381"/>
      <c r="E50" s="381"/>
      <c r="F50" s="381"/>
      <c r="G50" s="381"/>
      <c r="H50" s="381"/>
      <c r="I50" s="381"/>
      <c r="J50" s="381"/>
      <c r="K50" s="381"/>
      <c r="L50" s="381"/>
      <c r="M50" s="381"/>
      <c r="N50" s="381"/>
      <c r="O50" s="381"/>
      <c r="P50" s="381"/>
      <c r="Q50" s="548"/>
    </row>
    <row r="51" spans="2:17" x14ac:dyDescent="0.45">
      <c r="B51" s="547"/>
      <c r="C51" s="381"/>
      <c r="D51" s="381"/>
      <c r="E51" s="381"/>
      <c r="F51" s="381"/>
      <c r="G51" s="381"/>
      <c r="H51" s="381"/>
      <c r="I51" s="381"/>
      <c r="J51" s="381"/>
      <c r="K51" s="381"/>
      <c r="L51" s="381"/>
      <c r="M51" s="381"/>
      <c r="N51" s="381"/>
      <c r="O51" s="381"/>
      <c r="P51" s="381"/>
      <c r="Q51" s="548"/>
    </row>
    <row r="52" spans="2:17" x14ac:dyDescent="0.45">
      <c r="B52" s="547"/>
      <c r="C52" s="381"/>
      <c r="D52" s="381"/>
      <c r="E52" s="381"/>
      <c r="F52" s="381"/>
      <c r="G52" s="381"/>
      <c r="H52" s="381"/>
      <c r="I52" s="381"/>
      <c r="J52" s="381"/>
      <c r="K52" s="381"/>
      <c r="L52" s="381"/>
      <c r="M52" s="381"/>
      <c r="N52" s="381"/>
      <c r="O52" s="381"/>
      <c r="P52" s="381"/>
      <c r="Q52" s="548"/>
    </row>
    <row r="53" spans="2:17" x14ac:dyDescent="0.45">
      <c r="B53" s="547"/>
      <c r="C53" s="381"/>
      <c r="D53" s="381"/>
      <c r="E53" s="381"/>
      <c r="F53" s="381"/>
      <c r="G53" s="381"/>
      <c r="H53" s="381"/>
      <c r="I53" s="381"/>
      <c r="J53" s="381"/>
      <c r="K53" s="381"/>
      <c r="L53" s="381"/>
      <c r="M53" s="381"/>
      <c r="N53" s="381"/>
      <c r="O53" s="381"/>
      <c r="P53" s="381"/>
      <c r="Q53" s="548"/>
    </row>
    <row r="54" spans="2:17" x14ac:dyDescent="0.45">
      <c r="B54" s="547"/>
      <c r="C54" s="381"/>
      <c r="D54" s="381"/>
      <c r="E54" s="381"/>
      <c r="F54" s="381"/>
      <c r="G54" s="381"/>
      <c r="H54" s="381"/>
      <c r="I54" s="381"/>
      <c r="J54" s="381"/>
      <c r="K54" s="381"/>
      <c r="L54" s="381"/>
      <c r="M54" s="381"/>
      <c r="N54" s="381"/>
      <c r="O54" s="381"/>
      <c r="P54" s="381"/>
      <c r="Q54" s="548"/>
    </row>
    <row r="55" spans="2:17" x14ac:dyDescent="0.45">
      <c r="B55" s="547"/>
      <c r="C55" s="381"/>
      <c r="D55" s="381"/>
      <c r="E55" s="381"/>
      <c r="F55" s="381"/>
      <c r="G55" s="381"/>
      <c r="H55" s="381"/>
      <c r="I55" s="381"/>
      <c r="J55" s="381"/>
      <c r="K55" s="381"/>
      <c r="L55" s="381"/>
      <c r="M55" s="381"/>
      <c r="N55" s="381"/>
      <c r="O55" s="381"/>
      <c r="P55" s="381"/>
      <c r="Q55" s="548"/>
    </row>
    <row r="56" spans="2:17" x14ac:dyDescent="0.45">
      <c r="B56" s="547"/>
      <c r="C56" s="381"/>
      <c r="D56" s="381"/>
      <c r="E56" s="381"/>
      <c r="F56" s="381"/>
      <c r="G56" s="381"/>
      <c r="H56" s="381"/>
      <c r="I56" s="381"/>
      <c r="J56" s="381"/>
      <c r="K56" s="381"/>
      <c r="L56" s="381"/>
      <c r="M56" s="381"/>
      <c r="N56" s="381"/>
      <c r="O56" s="381"/>
      <c r="P56" s="381"/>
      <c r="Q56" s="548"/>
    </row>
    <row r="57" spans="2:17" x14ac:dyDescent="0.45">
      <c r="B57" s="547"/>
      <c r="C57" s="381"/>
      <c r="D57" s="381"/>
      <c r="E57" s="381"/>
      <c r="F57" s="381"/>
      <c r="G57" s="381"/>
      <c r="H57" s="381"/>
      <c r="I57" s="381"/>
      <c r="J57" s="381"/>
      <c r="K57" s="381"/>
      <c r="L57" s="381"/>
      <c r="M57" s="381"/>
      <c r="N57" s="381"/>
      <c r="O57" s="381"/>
      <c r="P57" s="381"/>
      <c r="Q57" s="548"/>
    </row>
    <row r="58" spans="2:17" x14ac:dyDescent="0.45">
      <c r="B58" s="547"/>
      <c r="C58" s="381"/>
      <c r="D58" s="381"/>
      <c r="E58" s="381"/>
      <c r="F58" s="381"/>
      <c r="G58" s="381"/>
      <c r="H58" s="381"/>
      <c r="I58" s="381"/>
      <c r="J58" s="381"/>
      <c r="K58" s="381"/>
      <c r="L58" s="381"/>
      <c r="M58" s="381"/>
      <c r="N58" s="381"/>
      <c r="O58" s="381"/>
      <c r="P58" s="381"/>
      <c r="Q58" s="548"/>
    </row>
    <row r="59" spans="2:17" x14ac:dyDescent="0.45">
      <c r="B59" s="547"/>
      <c r="C59" s="381"/>
      <c r="D59" s="381"/>
      <c r="E59" s="381"/>
      <c r="F59" s="381"/>
      <c r="G59" s="381"/>
      <c r="H59" s="381"/>
      <c r="I59" s="381"/>
      <c r="J59" s="381"/>
      <c r="K59" s="381"/>
      <c r="L59" s="381"/>
      <c r="M59" s="381"/>
      <c r="N59" s="381"/>
      <c r="O59" s="381"/>
      <c r="P59" s="381"/>
      <c r="Q59" s="548"/>
    </row>
    <row r="60" spans="2:17" x14ac:dyDescent="0.45">
      <c r="B60" s="547"/>
      <c r="C60" s="381"/>
      <c r="D60" s="381"/>
      <c r="E60" s="381"/>
      <c r="F60" s="381"/>
      <c r="G60" s="381"/>
      <c r="H60" s="381"/>
      <c r="I60" s="381"/>
      <c r="J60" s="381"/>
      <c r="K60" s="381"/>
      <c r="L60" s="381"/>
      <c r="M60" s="381"/>
      <c r="N60" s="381"/>
      <c r="O60" s="381"/>
      <c r="P60" s="381"/>
      <c r="Q60" s="548"/>
    </row>
    <row r="61" spans="2:17" x14ac:dyDescent="0.45">
      <c r="B61" s="547"/>
      <c r="C61" s="381"/>
      <c r="D61" s="381"/>
      <c r="E61" s="381"/>
      <c r="F61" s="381"/>
      <c r="G61" s="381"/>
      <c r="H61" s="381"/>
      <c r="I61" s="381"/>
      <c r="J61" s="381"/>
      <c r="K61" s="381"/>
      <c r="L61" s="381"/>
      <c r="M61" s="381"/>
      <c r="N61" s="381"/>
      <c r="O61" s="381"/>
      <c r="P61" s="381"/>
      <c r="Q61" s="548"/>
    </row>
    <row r="62" spans="2:17" x14ac:dyDescent="0.45">
      <c r="B62" s="547"/>
      <c r="C62" s="381"/>
      <c r="D62" s="381"/>
      <c r="E62" s="381"/>
      <c r="F62" s="381"/>
      <c r="G62" s="381"/>
      <c r="H62" s="381"/>
      <c r="I62" s="381"/>
      <c r="J62" s="381"/>
      <c r="K62" s="381"/>
      <c r="L62" s="381"/>
      <c r="M62" s="381"/>
      <c r="N62" s="381"/>
      <c r="O62" s="381"/>
      <c r="P62" s="381"/>
      <c r="Q62" s="548"/>
    </row>
    <row r="63" spans="2:17" x14ac:dyDescent="0.45">
      <c r="B63" s="547"/>
      <c r="C63" s="381"/>
      <c r="D63" s="381"/>
      <c r="E63" s="381"/>
      <c r="F63" s="381"/>
      <c r="G63" s="381"/>
      <c r="H63" s="381"/>
      <c r="I63" s="381"/>
      <c r="J63" s="381"/>
      <c r="K63" s="381"/>
      <c r="L63" s="381"/>
      <c r="M63" s="381"/>
      <c r="N63" s="381"/>
      <c r="O63" s="381"/>
      <c r="P63" s="381"/>
      <c r="Q63" s="548"/>
    </row>
    <row r="64" spans="2:17" x14ac:dyDescent="0.45">
      <c r="B64" s="547"/>
      <c r="C64" s="381"/>
      <c r="D64" s="381"/>
      <c r="E64" s="381"/>
      <c r="F64" s="381"/>
      <c r="G64" s="381"/>
      <c r="H64" s="381"/>
      <c r="I64" s="381"/>
      <c r="J64" s="381"/>
      <c r="K64" s="381"/>
      <c r="L64" s="381"/>
      <c r="M64" s="381"/>
      <c r="N64" s="381"/>
      <c r="O64" s="381"/>
      <c r="P64" s="381"/>
      <c r="Q64" s="548"/>
    </row>
    <row r="65" spans="2:17" x14ac:dyDescent="0.45">
      <c r="B65" s="547"/>
      <c r="C65" s="381"/>
      <c r="D65" s="381"/>
      <c r="E65" s="381"/>
      <c r="F65" s="381"/>
      <c r="G65" s="381"/>
      <c r="H65" s="381"/>
      <c r="I65" s="381"/>
      <c r="J65" s="381"/>
      <c r="K65" s="381"/>
      <c r="L65" s="381"/>
      <c r="M65" s="381"/>
      <c r="N65" s="381"/>
      <c r="O65" s="381"/>
      <c r="P65" s="381"/>
      <c r="Q65" s="548"/>
    </row>
    <row r="66" spans="2:17" x14ac:dyDescent="0.45">
      <c r="B66" s="547"/>
      <c r="C66" s="381"/>
      <c r="D66" s="381"/>
      <c r="E66" s="381"/>
      <c r="F66" s="381"/>
      <c r="G66" s="381"/>
      <c r="H66" s="381"/>
      <c r="I66" s="381"/>
      <c r="J66" s="381"/>
      <c r="K66" s="381"/>
      <c r="L66" s="381"/>
      <c r="M66" s="381"/>
      <c r="N66" s="381"/>
      <c r="O66" s="381"/>
      <c r="P66" s="381"/>
      <c r="Q66" s="548"/>
    </row>
    <row r="67" spans="2:17" x14ac:dyDescent="0.45">
      <c r="B67" s="547"/>
      <c r="C67" s="381"/>
      <c r="D67" s="381"/>
      <c r="E67" s="381"/>
      <c r="F67" s="381"/>
      <c r="G67" s="381"/>
      <c r="H67" s="381"/>
      <c r="I67" s="381"/>
      <c r="J67" s="381"/>
      <c r="K67" s="381"/>
      <c r="L67" s="381"/>
      <c r="M67" s="381"/>
      <c r="N67" s="381"/>
      <c r="O67" s="381"/>
      <c r="P67" s="381"/>
      <c r="Q67" s="548"/>
    </row>
    <row r="68" spans="2:17" x14ac:dyDescent="0.45">
      <c r="B68" s="547"/>
      <c r="C68" s="381"/>
      <c r="D68" s="381"/>
      <c r="E68" s="381"/>
      <c r="F68" s="381"/>
      <c r="G68" s="381"/>
      <c r="H68" s="381"/>
      <c r="I68" s="381"/>
      <c r="J68" s="381"/>
      <c r="K68" s="381"/>
      <c r="L68" s="381"/>
      <c r="M68" s="381"/>
      <c r="N68" s="381"/>
      <c r="O68" s="381"/>
      <c r="P68" s="381"/>
      <c r="Q68" s="548"/>
    </row>
    <row r="69" spans="2:17" x14ac:dyDescent="0.45">
      <c r="B69" s="547"/>
      <c r="C69" s="381"/>
      <c r="D69" s="381"/>
      <c r="E69" s="381"/>
      <c r="F69" s="381"/>
      <c r="G69" s="381"/>
      <c r="H69" s="381"/>
      <c r="I69" s="381"/>
      <c r="J69" s="381"/>
      <c r="K69" s="381"/>
      <c r="L69" s="381"/>
      <c r="M69" s="381"/>
      <c r="N69" s="381"/>
      <c r="O69" s="381"/>
      <c r="P69" s="381"/>
      <c r="Q69" s="548"/>
    </row>
    <row r="70" spans="2:17" x14ac:dyDescent="0.45">
      <c r="B70" s="547"/>
      <c r="C70" s="381"/>
      <c r="D70" s="381"/>
      <c r="E70" s="381"/>
      <c r="F70" s="381"/>
      <c r="G70" s="381"/>
      <c r="H70" s="381"/>
      <c r="I70" s="381"/>
      <c r="J70" s="381"/>
      <c r="K70" s="381"/>
      <c r="L70" s="381"/>
      <c r="M70" s="381"/>
      <c r="N70" s="381"/>
      <c r="O70" s="381"/>
      <c r="P70" s="381"/>
      <c r="Q70" s="548"/>
    </row>
    <row r="71" spans="2:17" x14ac:dyDescent="0.45">
      <c r="B71" s="547"/>
      <c r="C71" s="381"/>
      <c r="D71" s="381"/>
      <c r="E71" s="381"/>
      <c r="F71" s="381"/>
      <c r="G71" s="381"/>
      <c r="H71" s="381"/>
      <c r="I71" s="381"/>
      <c r="J71" s="381"/>
      <c r="K71" s="381"/>
      <c r="L71" s="381"/>
      <c r="M71" s="381"/>
      <c r="N71" s="381"/>
      <c r="O71" s="381"/>
      <c r="P71" s="381"/>
      <c r="Q71" s="548"/>
    </row>
    <row r="72" spans="2:17" x14ac:dyDescent="0.45">
      <c r="B72" s="547"/>
      <c r="C72" s="381"/>
      <c r="D72" s="381"/>
      <c r="E72" s="381"/>
      <c r="F72" s="381"/>
      <c r="G72" s="381"/>
      <c r="H72" s="381"/>
      <c r="I72" s="381"/>
      <c r="J72" s="381"/>
      <c r="K72" s="381"/>
      <c r="L72" s="381"/>
      <c r="M72" s="381"/>
      <c r="N72" s="381"/>
      <c r="O72" s="381"/>
      <c r="P72" s="381"/>
      <c r="Q72" s="548"/>
    </row>
    <row r="73" spans="2:17" x14ac:dyDescent="0.45">
      <c r="B73" s="547"/>
      <c r="C73" s="381"/>
      <c r="D73" s="381"/>
      <c r="E73" s="381"/>
      <c r="F73" s="381"/>
      <c r="G73" s="381"/>
      <c r="H73" s="381"/>
      <c r="I73" s="381"/>
      <c r="J73" s="381"/>
      <c r="K73" s="381"/>
      <c r="L73" s="381"/>
      <c r="M73" s="381"/>
      <c r="N73" s="381"/>
      <c r="O73" s="381"/>
      <c r="P73" s="381"/>
      <c r="Q73" s="548"/>
    </row>
    <row r="74" spans="2:17" x14ac:dyDescent="0.45">
      <c r="B74" s="547"/>
      <c r="C74" s="381"/>
      <c r="D74" s="381"/>
      <c r="E74" s="381"/>
      <c r="F74" s="381"/>
      <c r="G74" s="381"/>
      <c r="H74" s="381"/>
      <c r="I74" s="381"/>
      <c r="J74" s="381"/>
      <c r="K74" s="381"/>
      <c r="L74" s="381"/>
      <c r="M74" s="381"/>
      <c r="N74" s="381"/>
      <c r="O74" s="381"/>
      <c r="P74" s="381"/>
      <c r="Q74" s="548"/>
    </row>
    <row r="75" spans="2:17" x14ac:dyDescent="0.45">
      <c r="B75" s="547"/>
      <c r="C75" s="381"/>
      <c r="D75" s="381"/>
      <c r="E75" s="381"/>
      <c r="F75" s="381"/>
      <c r="G75" s="381"/>
      <c r="H75" s="381"/>
      <c r="I75" s="381"/>
      <c r="J75" s="381"/>
      <c r="K75" s="381"/>
      <c r="L75" s="381"/>
      <c r="M75" s="381"/>
      <c r="N75" s="381"/>
      <c r="O75" s="381"/>
      <c r="P75" s="381"/>
      <c r="Q75" s="548"/>
    </row>
    <row r="76" spans="2:17" x14ac:dyDescent="0.45">
      <c r="B76" s="547"/>
      <c r="C76" s="381"/>
      <c r="D76" s="381"/>
      <c r="E76" s="381"/>
      <c r="F76" s="381"/>
      <c r="G76" s="381"/>
      <c r="H76" s="381"/>
      <c r="I76" s="381"/>
      <c r="J76" s="381"/>
      <c r="K76" s="381"/>
      <c r="L76" s="381"/>
      <c r="M76" s="381"/>
      <c r="N76" s="381"/>
      <c r="O76" s="381"/>
      <c r="P76" s="381"/>
      <c r="Q76" s="548"/>
    </row>
    <row r="77" spans="2:17" x14ac:dyDescent="0.45">
      <c r="B77" s="547"/>
      <c r="C77" s="381"/>
      <c r="D77" s="381"/>
      <c r="E77" s="381"/>
      <c r="F77" s="381"/>
      <c r="G77" s="381"/>
      <c r="H77" s="381"/>
      <c r="I77" s="381"/>
      <c r="J77" s="381"/>
      <c r="K77" s="381"/>
      <c r="L77" s="381"/>
      <c r="M77" s="381"/>
      <c r="N77" s="381"/>
      <c r="O77" s="381"/>
      <c r="P77" s="381"/>
      <c r="Q77" s="548"/>
    </row>
    <row r="78" spans="2:17" x14ac:dyDescent="0.45">
      <c r="B78" s="547"/>
      <c r="C78" s="381"/>
      <c r="D78" s="381"/>
      <c r="E78" s="381"/>
      <c r="F78" s="381"/>
      <c r="G78" s="381"/>
      <c r="H78" s="381"/>
      <c r="I78" s="381"/>
      <c r="J78" s="381"/>
      <c r="K78" s="381"/>
      <c r="L78" s="381"/>
      <c r="M78" s="381"/>
      <c r="N78" s="381"/>
      <c r="O78" s="381"/>
      <c r="P78" s="381"/>
      <c r="Q78" s="548"/>
    </row>
    <row r="79" spans="2:17" x14ac:dyDescent="0.45">
      <c r="B79" s="547"/>
      <c r="C79" s="381"/>
      <c r="D79" s="381"/>
      <c r="E79" s="381"/>
      <c r="F79" s="381"/>
      <c r="G79" s="381"/>
      <c r="H79" s="381"/>
      <c r="I79" s="381"/>
      <c r="J79" s="381"/>
      <c r="K79" s="381"/>
      <c r="L79" s="381"/>
      <c r="M79" s="381"/>
      <c r="N79" s="381"/>
      <c r="O79" s="381"/>
      <c r="P79" s="381"/>
      <c r="Q79" s="548"/>
    </row>
    <row r="80" spans="2:17" x14ac:dyDescent="0.45">
      <c r="B80" s="547"/>
      <c r="C80" s="381"/>
      <c r="D80" s="381"/>
      <c r="E80" s="381"/>
      <c r="F80" s="381"/>
      <c r="G80" s="381"/>
      <c r="H80" s="381"/>
      <c r="I80" s="381"/>
      <c r="J80" s="381"/>
      <c r="K80" s="381"/>
      <c r="L80" s="381"/>
      <c r="M80" s="381"/>
      <c r="N80" s="381"/>
      <c r="O80" s="381"/>
      <c r="P80" s="381"/>
      <c r="Q80" s="548"/>
    </row>
    <row r="81" spans="2:17" x14ac:dyDescent="0.45">
      <c r="B81" s="549"/>
      <c r="C81" s="550"/>
      <c r="D81" s="550"/>
      <c r="E81" s="550"/>
      <c r="F81" s="550"/>
      <c r="G81" s="550"/>
      <c r="H81" s="550"/>
      <c r="I81" s="550"/>
      <c r="J81" s="550"/>
      <c r="K81" s="550"/>
      <c r="L81" s="550"/>
      <c r="M81" s="550"/>
      <c r="N81" s="550"/>
      <c r="O81" s="550"/>
      <c r="P81" s="550"/>
      <c r="Q81" s="551"/>
    </row>
  </sheetData>
  <sheetProtection password="CCA4" sheet="1" objects="1" scenarios="1" selectLockedCells="1"/>
  <mergeCells count="1">
    <mergeCell ref="B2:Q3"/>
  </mergeCells>
  <printOptions horizontalCentered="1"/>
  <pageMargins left="0.23" right="0.21" top="0.75" bottom="0.75" header="0.3" footer="0.3"/>
  <pageSetup scale="40" orientation="landscape" horizontalDpi="1800" verticalDpi="1800" r:id="rId1"/>
  <headerFooter>
    <oddHeader>&amp;C&amp;F
&amp;A&amp;R&amp;D</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pageSetUpPr fitToPage="1"/>
  </sheetPr>
  <dimension ref="B1:E30"/>
  <sheetViews>
    <sheetView topLeftCell="A10" workbookViewId="0">
      <selection activeCell="B29" sqref="B29"/>
    </sheetView>
  </sheetViews>
  <sheetFormatPr defaultColWidth="9.06640625" defaultRowHeight="14.25" x14ac:dyDescent="0.45"/>
  <cols>
    <col min="1" max="1" width="5.265625" style="207" customWidth="1"/>
    <col min="2" max="2" width="14.796875" style="207" bestFit="1" customWidth="1"/>
    <col min="3" max="3" width="26" style="207" customWidth="1"/>
    <col min="4" max="4" width="95.06640625" style="207" customWidth="1"/>
    <col min="5" max="16384" width="9.06640625" style="207"/>
  </cols>
  <sheetData>
    <row r="1" spans="2:5" ht="14.65" thickBot="1" x14ac:dyDescent="0.5"/>
    <row r="2" spans="2:5" ht="18" x14ac:dyDescent="0.55000000000000004">
      <c r="B2" s="269" t="s">
        <v>0</v>
      </c>
      <c r="C2" s="270"/>
      <c r="D2" s="271"/>
      <c r="E2" s="1"/>
    </row>
    <row r="3" spans="2:5" ht="18" x14ac:dyDescent="0.55000000000000004">
      <c r="B3" s="272" t="s">
        <v>442</v>
      </c>
      <c r="C3" s="273"/>
      <c r="D3" s="274"/>
      <c r="E3" s="2"/>
    </row>
    <row r="4" spans="2:5" ht="18" x14ac:dyDescent="0.55000000000000004">
      <c r="B4" s="275" t="s">
        <v>1</v>
      </c>
      <c r="C4" s="273"/>
      <c r="D4" s="5"/>
      <c r="E4" s="2"/>
    </row>
    <row r="5" spans="2:5" ht="18" x14ac:dyDescent="0.55000000000000004">
      <c r="B5" s="275">
        <v>43307</v>
      </c>
      <c r="C5" s="276"/>
      <c r="D5" s="276"/>
      <c r="E5" s="2"/>
    </row>
    <row r="6" spans="2:5" ht="14.25" customHeight="1" thickBot="1" x14ac:dyDescent="0.6">
      <c r="B6" s="272"/>
      <c r="C6" s="273"/>
      <c r="D6" s="5"/>
      <c r="E6" s="2"/>
    </row>
    <row r="7" spans="2:5" ht="14.65" thickBot="1" x14ac:dyDescent="0.5">
      <c r="B7" s="1163" t="s">
        <v>2</v>
      </c>
      <c r="C7" s="1164"/>
      <c r="D7" s="1164"/>
      <c r="E7" s="1165"/>
    </row>
    <row r="8" spans="2:5" ht="25.5" customHeight="1" x14ac:dyDescent="0.45">
      <c r="B8" s="377" t="s">
        <v>3</v>
      </c>
      <c r="C8" s="378" t="s">
        <v>4</v>
      </c>
      <c r="D8" s="379" t="s">
        <v>5</v>
      </c>
      <c r="E8" s="2"/>
    </row>
    <row r="9" spans="2:5" ht="151.5" customHeight="1" x14ac:dyDescent="0.45">
      <c r="B9" s="382">
        <v>43088</v>
      </c>
      <c r="C9" s="383" t="s">
        <v>6</v>
      </c>
      <c r="D9" s="384" t="s">
        <v>7</v>
      </c>
      <c r="E9" s="385"/>
    </row>
    <row r="10" spans="2:5" ht="57" x14ac:dyDescent="0.45">
      <c r="B10" s="382">
        <v>43090</v>
      </c>
      <c r="C10" s="383" t="s">
        <v>8</v>
      </c>
      <c r="D10" s="384" t="s">
        <v>411</v>
      </c>
      <c r="E10" s="385"/>
    </row>
    <row r="11" spans="2:5" ht="57" x14ac:dyDescent="0.45">
      <c r="B11" s="386">
        <v>43090</v>
      </c>
      <c r="C11" s="387" t="s">
        <v>9</v>
      </c>
      <c r="D11" s="388" t="s">
        <v>412</v>
      </c>
      <c r="E11" s="389"/>
    </row>
    <row r="12" spans="2:5" ht="28.5" x14ac:dyDescent="0.45">
      <c r="B12" s="386">
        <v>43090</v>
      </c>
      <c r="C12" s="387" t="s">
        <v>9</v>
      </c>
      <c r="D12" s="388" t="s">
        <v>10</v>
      </c>
      <c r="E12" s="389"/>
    </row>
    <row r="13" spans="2:5" x14ac:dyDescent="0.45">
      <c r="B13" s="386">
        <v>43091</v>
      </c>
      <c r="C13" s="387" t="s">
        <v>11</v>
      </c>
      <c r="D13" s="390" t="s">
        <v>12</v>
      </c>
      <c r="E13" s="389"/>
    </row>
    <row r="14" spans="2:5" ht="28.5" x14ac:dyDescent="0.45">
      <c r="B14" s="386">
        <v>43091</v>
      </c>
      <c r="C14" s="391" t="s">
        <v>13</v>
      </c>
      <c r="D14" s="388" t="s">
        <v>413</v>
      </c>
      <c r="E14" s="389"/>
    </row>
    <row r="15" spans="2:5" ht="18.75" customHeight="1" x14ac:dyDescent="0.45">
      <c r="B15" s="386">
        <v>43097</v>
      </c>
      <c r="C15" s="387" t="s">
        <v>14</v>
      </c>
      <c r="D15" s="388" t="s">
        <v>414</v>
      </c>
      <c r="E15" s="389"/>
    </row>
    <row r="16" spans="2:5" ht="28.5" x14ac:dyDescent="0.45">
      <c r="B16" s="386">
        <v>43102</v>
      </c>
      <c r="C16" s="387" t="s">
        <v>15</v>
      </c>
      <c r="D16" s="388" t="s">
        <v>16</v>
      </c>
      <c r="E16" s="389"/>
    </row>
    <row r="17" spans="2:5" x14ac:dyDescent="0.45">
      <c r="B17" s="386">
        <v>43102</v>
      </c>
      <c r="C17" s="387" t="s">
        <v>11</v>
      </c>
      <c r="D17" s="388" t="s">
        <v>17</v>
      </c>
      <c r="E17" s="389"/>
    </row>
    <row r="18" spans="2:5" x14ac:dyDescent="0.45">
      <c r="B18" s="386">
        <v>43105</v>
      </c>
      <c r="C18" s="387" t="s">
        <v>11</v>
      </c>
      <c r="D18" s="388" t="s">
        <v>415</v>
      </c>
      <c r="E18" s="389"/>
    </row>
    <row r="19" spans="2:5" ht="28.5" x14ac:dyDescent="0.45">
      <c r="B19" s="386">
        <v>43105</v>
      </c>
      <c r="C19" s="391" t="s">
        <v>18</v>
      </c>
      <c r="D19" s="388" t="s">
        <v>19</v>
      </c>
      <c r="E19" s="389"/>
    </row>
    <row r="20" spans="2:5" x14ac:dyDescent="0.45">
      <c r="B20" s="386">
        <v>43108</v>
      </c>
      <c r="C20" s="391" t="s">
        <v>11</v>
      </c>
      <c r="D20" s="390" t="s">
        <v>20</v>
      </c>
      <c r="E20" s="389"/>
    </row>
    <row r="21" spans="2:5" x14ac:dyDescent="0.45">
      <c r="B21" s="386">
        <v>43108</v>
      </c>
      <c r="C21" s="391" t="s">
        <v>11</v>
      </c>
      <c r="D21" s="390" t="s">
        <v>408</v>
      </c>
      <c r="E21" s="389"/>
    </row>
    <row r="22" spans="2:5" x14ac:dyDescent="0.45">
      <c r="B22" s="386">
        <v>43108</v>
      </c>
      <c r="C22" s="391" t="s">
        <v>410</v>
      </c>
      <c r="D22" s="390" t="s">
        <v>409</v>
      </c>
      <c r="E22" s="389"/>
    </row>
    <row r="23" spans="2:5" x14ac:dyDescent="0.45">
      <c r="B23" s="1090">
        <v>43294</v>
      </c>
      <c r="C23" s="1091" t="s">
        <v>518</v>
      </c>
      <c r="D23" s="1092" t="s">
        <v>519</v>
      </c>
      <c r="E23" s="1093"/>
    </row>
    <row r="24" spans="2:5" x14ac:dyDescent="0.45">
      <c r="B24" s="1094">
        <v>43293</v>
      </c>
      <c r="C24" s="387" t="s">
        <v>9</v>
      </c>
      <c r="D24" s="390" t="s">
        <v>520</v>
      </c>
      <c r="E24" s="389"/>
    </row>
    <row r="25" spans="2:5" x14ac:dyDescent="0.45">
      <c r="B25" s="1094">
        <v>44144</v>
      </c>
      <c r="C25" s="387" t="s">
        <v>14</v>
      </c>
      <c r="D25" s="390" t="s">
        <v>556</v>
      </c>
      <c r="E25" s="389"/>
    </row>
    <row r="26" spans="2:5" x14ac:dyDescent="0.45">
      <c r="B26" s="1094">
        <v>44152</v>
      </c>
      <c r="C26" s="387" t="s">
        <v>557</v>
      </c>
      <c r="D26" s="390" t="s">
        <v>558</v>
      </c>
      <c r="E26" s="389"/>
    </row>
    <row r="27" spans="2:5" x14ac:dyDescent="0.45">
      <c r="B27" s="1094">
        <v>44573</v>
      </c>
      <c r="C27" s="387" t="s">
        <v>14</v>
      </c>
      <c r="D27" s="390" t="s">
        <v>559</v>
      </c>
      <c r="E27" s="389"/>
    </row>
    <row r="28" spans="2:5" x14ac:dyDescent="0.45">
      <c r="B28" s="1094"/>
      <c r="C28" s="387"/>
      <c r="D28" s="390"/>
      <c r="E28" s="389"/>
    </row>
    <row r="29" spans="2:5" ht="14.65" thickBot="1" x14ac:dyDescent="0.5">
      <c r="B29" s="698"/>
      <c r="C29" s="380"/>
      <c r="D29" s="3"/>
      <c r="E29" s="4"/>
    </row>
    <row r="30" spans="2:5" x14ac:dyDescent="0.45">
      <c r="C30" s="552"/>
    </row>
  </sheetData>
  <sheetProtection sheet="1" objects="1" scenarios="1" selectLockedCells="1"/>
  <mergeCells count="1">
    <mergeCell ref="B7:E7"/>
  </mergeCells>
  <printOptions horizontalCentered="1"/>
  <pageMargins left="0.7" right="0.7" top="0.75" bottom="0.75" header="0.3" footer="0.3"/>
  <pageSetup scale="62" orientation="portrait" r:id="rId1"/>
  <headerFooter>
    <oddHeader>&amp;F</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34998626667073579"/>
  </sheetPr>
  <dimension ref="A1:Z61"/>
  <sheetViews>
    <sheetView topLeftCell="C24" zoomScale="97" workbookViewId="0"/>
  </sheetViews>
  <sheetFormatPr defaultColWidth="9.06640625" defaultRowHeight="14.25" x14ac:dyDescent="0.45"/>
  <cols>
    <col min="1" max="1" width="7.265625" style="20" customWidth="1"/>
    <col min="2" max="2" width="32" style="20" customWidth="1"/>
    <col min="3" max="3" width="12.73046875" style="20" customWidth="1"/>
    <col min="4" max="4" width="16.59765625" style="20" customWidth="1"/>
    <col min="5" max="5" width="32.33203125" style="20" customWidth="1"/>
    <col min="6" max="6" width="14.265625" style="20" customWidth="1"/>
    <col min="7" max="25" width="14.59765625" style="20" bestFit="1" customWidth="1"/>
    <col min="26" max="26" width="12.06640625" style="20" bestFit="1" customWidth="1"/>
    <col min="27" max="16384" width="9.06640625" style="20"/>
  </cols>
  <sheetData>
    <row r="1" spans="1:26" x14ac:dyDescent="0.45">
      <c r="A1" s="21"/>
      <c r="B1" s="1171" t="s">
        <v>203</v>
      </c>
      <c r="C1" s="1172"/>
      <c r="D1" s="1172"/>
      <c r="E1" s="1172"/>
      <c r="F1" s="1172"/>
      <c r="G1" s="1172"/>
      <c r="H1" s="1172"/>
      <c r="I1" s="1173"/>
      <c r="J1" s="25"/>
      <c r="K1" s="25"/>
      <c r="L1" s="25"/>
      <c r="M1" s="25"/>
      <c r="N1" s="25"/>
      <c r="O1" s="25"/>
      <c r="P1" s="25"/>
      <c r="Q1" s="25"/>
      <c r="R1" s="25"/>
      <c r="S1" s="25"/>
      <c r="T1" s="25"/>
      <c r="U1" s="25"/>
      <c r="V1" s="25"/>
      <c r="W1" s="25"/>
      <c r="X1" s="25"/>
      <c r="Y1" s="25"/>
      <c r="Z1" s="23"/>
    </row>
    <row r="2" spans="1:26" x14ac:dyDescent="0.45">
      <c r="A2" s="21"/>
      <c r="B2" s="1174"/>
      <c r="C2" s="1175"/>
      <c r="D2" s="1175"/>
      <c r="E2" s="1175"/>
      <c r="F2" s="1175"/>
      <c r="G2" s="1175"/>
      <c r="H2" s="1175"/>
      <c r="I2" s="1176"/>
      <c r="J2" s="25"/>
      <c r="K2" s="29"/>
      <c r="L2" s="25"/>
      <c r="M2" s="25"/>
      <c r="N2" s="25"/>
      <c r="O2" s="25"/>
      <c r="P2" s="25"/>
      <c r="Q2" s="25"/>
      <c r="R2" s="25"/>
      <c r="S2" s="25"/>
      <c r="T2" s="25"/>
      <c r="U2" s="25"/>
      <c r="V2" s="25"/>
      <c r="W2" s="25"/>
      <c r="X2" s="25"/>
      <c r="Y2" s="25"/>
      <c r="Z2" s="23"/>
    </row>
    <row r="3" spans="1:26" x14ac:dyDescent="0.45">
      <c r="A3" s="21"/>
      <c r="B3" s="1174"/>
      <c r="C3" s="1175"/>
      <c r="D3" s="1175"/>
      <c r="E3" s="1175"/>
      <c r="F3" s="1175"/>
      <c r="G3" s="1175"/>
      <c r="H3" s="1175"/>
      <c r="I3" s="1176"/>
      <c r="J3" s="25"/>
      <c r="K3" s="25"/>
      <c r="L3" s="25"/>
      <c r="M3" s="25"/>
      <c r="N3" s="25"/>
      <c r="O3" s="25"/>
      <c r="P3" s="25"/>
      <c r="Q3" s="25"/>
      <c r="R3" s="25"/>
      <c r="S3" s="25"/>
      <c r="T3" s="25"/>
      <c r="U3" s="25"/>
      <c r="V3" s="25"/>
      <c r="W3" s="25"/>
      <c r="X3" s="25"/>
      <c r="Y3" s="25"/>
      <c r="Z3" s="23"/>
    </row>
    <row r="4" spans="1:26" x14ac:dyDescent="0.45">
      <c r="A4" s="21"/>
      <c r="B4" s="1174"/>
      <c r="C4" s="1175"/>
      <c r="D4" s="1175"/>
      <c r="E4" s="1175"/>
      <c r="F4" s="1175"/>
      <c r="G4" s="1175"/>
      <c r="H4" s="1175"/>
      <c r="I4" s="1176"/>
      <c r="J4" s="25"/>
      <c r="K4" s="25"/>
      <c r="L4" s="25"/>
      <c r="M4" s="25"/>
      <c r="N4" s="25"/>
      <c r="O4" s="25"/>
      <c r="P4" s="25"/>
      <c r="Q4" s="25"/>
      <c r="R4" s="25"/>
      <c r="S4" s="25"/>
      <c r="T4" s="25"/>
      <c r="U4" s="25"/>
      <c r="V4" s="25"/>
      <c r="W4" s="25"/>
      <c r="X4" s="25"/>
      <c r="Y4" s="25"/>
      <c r="Z4" s="23"/>
    </row>
    <row r="5" spans="1:26" x14ac:dyDescent="0.45">
      <c r="A5" s="21"/>
      <c r="B5" s="1174"/>
      <c r="C5" s="1175"/>
      <c r="D5" s="1175"/>
      <c r="E5" s="1175"/>
      <c r="F5" s="1175"/>
      <c r="G5" s="1175"/>
      <c r="H5" s="1175"/>
      <c r="I5" s="1176"/>
      <c r="J5" s="25"/>
      <c r="K5" s="25"/>
      <c r="L5" s="25"/>
      <c r="M5" s="25"/>
      <c r="N5" s="25"/>
      <c r="O5" s="25"/>
      <c r="P5" s="25"/>
      <c r="Q5" s="25"/>
      <c r="R5" s="25"/>
      <c r="S5" s="25"/>
      <c r="T5" s="25"/>
      <c r="U5" s="25"/>
      <c r="V5" s="25"/>
      <c r="W5" s="25"/>
      <c r="X5" s="25"/>
      <c r="Y5" s="25"/>
      <c r="Z5" s="23"/>
    </row>
    <row r="6" spans="1:26" x14ac:dyDescent="0.45">
      <c r="A6" s="21"/>
      <c r="B6" s="1174"/>
      <c r="C6" s="1175"/>
      <c r="D6" s="1175"/>
      <c r="E6" s="1175"/>
      <c r="F6" s="1175"/>
      <c r="G6" s="1175"/>
      <c r="H6" s="1175"/>
      <c r="I6" s="1176"/>
      <c r="J6" s="25"/>
      <c r="K6" s="25"/>
      <c r="L6" s="25"/>
      <c r="M6" s="25"/>
      <c r="N6" s="25"/>
      <c r="O6" s="25"/>
      <c r="P6" s="25"/>
      <c r="Q6" s="25"/>
      <c r="R6" s="25"/>
      <c r="S6" s="25"/>
      <c r="T6" s="25"/>
      <c r="U6" s="25"/>
      <c r="V6" s="25"/>
      <c r="W6" s="25"/>
      <c r="X6" s="25"/>
      <c r="Y6" s="25"/>
      <c r="Z6" s="23"/>
    </row>
    <row r="7" spans="1:26" ht="14.65" thickBot="1" x14ac:dyDescent="0.5">
      <c r="A7" s="21"/>
      <c r="B7" s="1177"/>
      <c r="C7" s="1178"/>
      <c r="D7" s="1178"/>
      <c r="E7" s="1178"/>
      <c r="F7" s="1178"/>
      <c r="G7" s="1178"/>
      <c r="H7" s="1178"/>
      <c r="I7" s="1179"/>
      <c r="J7" s="25"/>
      <c r="K7" s="25"/>
      <c r="L7" s="25"/>
      <c r="M7" s="25"/>
      <c r="N7" s="25"/>
      <c r="O7" s="25"/>
      <c r="P7" s="25"/>
      <c r="Q7" s="25"/>
      <c r="R7" s="25"/>
      <c r="S7" s="25"/>
      <c r="T7" s="25"/>
      <c r="U7" s="25"/>
      <c r="V7" s="25"/>
      <c r="W7" s="25"/>
      <c r="X7" s="25"/>
      <c r="Y7" s="25"/>
      <c r="Z7" s="23"/>
    </row>
    <row r="8" spans="1:26" x14ac:dyDescent="0.45">
      <c r="A8" s="30" t="s">
        <v>204</v>
      </c>
      <c r="B8" s="31"/>
      <c r="C8" s="32"/>
      <c r="D8" s="33"/>
      <c r="E8" s="34" t="s">
        <v>205</v>
      </c>
      <c r="F8" s="35" t="str">
        <f>+'Paste Financial Sched.'!B1</f>
        <v>Year 01</v>
      </c>
      <c r="G8" s="35" t="str">
        <f>+'Paste Financial Sched.'!C1</f>
        <v>Year 02</v>
      </c>
      <c r="H8" s="35" t="str">
        <f>+'Paste Financial Sched.'!D1</f>
        <v>Year 03</v>
      </c>
      <c r="I8" s="35" t="str">
        <f>+'Paste Financial Sched.'!E1</f>
        <v>Year 04</v>
      </c>
      <c r="J8" s="35" t="str">
        <f>+'Paste Financial Sched.'!F1</f>
        <v>Year 05</v>
      </c>
      <c r="K8" s="35" t="str">
        <f>+'Paste Financial Sched.'!G1</f>
        <v>Year 06</v>
      </c>
      <c r="L8" s="35" t="str">
        <f>+'Paste Financial Sched.'!H1</f>
        <v>Year 07</v>
      </c>
      <c r="M8" s="35" t="str">
        <f>+'Paste Financial Sched.'!I1</f>
        <v>Year 08</v>
      </c>
      <c r="N8" s="35" t="str">
        <f>+'Paste Financial Sched.'!J1</f>
        <v>Year 09</v>
      </c>
      <c r="O8" s="35" t="str">
        <f>+'Paste Financial Sched.'!K1</f>
        <v>Year 10</v>
      </c>
      <c r="P8" s="35" t="str">
        <f>+'Paste Financial Sched.'!L1</f>
        <v>Year 11</v>
      </c>
      <c r="Q8" s="35" t="str">
        <f>+'Paste Financial Sched.'!M1</f>
        <v>Year 12</v>
      </c>
      <c r="R8" s="35" t="str">
        <f>+'Paste Financial Sched.'!N1</f>
        <v>Year 13</v>
      </c>
      <c r="S8" s="35" t="str">
        <f>+'Paste Financial Sched.'!O1</f>
        <v>Year 14</v>
      </c>
      <c r="T8" s="35" t="str">
        <f>+'Paste Financial Sched.'!P1</f>
        <v>Year 15</v>
      </c>
      <c r="U8" s="35" t="str">
        <f>+'Paste Financial Sched.'!Q1</f>
        <v>Year 16</v>
      </c>
      <c r="V8" s="35" t="str">
        <f>+'Paste Financial Sched.'!R1</f>
        <v>Year 17</v>
      </c>
      <c r="W8" s="35" t="str">
        <f>+'Paste Financial Sched.'!S1</f>
        <v>Year 18</v>
      </c>
      <c r="X8" s="35" t="str">
        <f>+'Paste Financial Sched.'!T1</f>
        <v>Year 19</v>
      </c>
      <c r="Y8" s="36" t="str">
        <f>+'Paste Financial Sched.'!U1</f>
        <v>Year 20</v>
      </c>
      <c r="Z8" s="23"/>
    </row>
    <row r="9" spans="1:26" ht="14.65" thickBot="1" x14ac:dyDescent="0.5">
      <c r="A9" s="37" t="s">
        <v>206</v>
      </c>
      <c r="B9" s="38"/>
      <c r="C9" s="38"/>
      <c r="D9" s="39"/>
      <c r="E9" s="40" t="s">
        <v>207</v>
      </c>
      <c r="F9" s="41">
        <f>+('Paste Financial Sched.'!B2-'Paste Financial Sched.'!$B$2)*12</f>
        <v>0</v>
      </c>
      <c r="G9" s="41">
        <f>+('Paste Financial Sched.'!C2-'Paste Financial Sched.'!$B$2)*12</f>
        <v>12</v>
      </c>
      <c r="H9" s="41">
        <f>+('Paste Financial Sched.'!D2-'Paste Financial Sched.'!$B$2)*12</f>
        <v>24</v>
      </c>
      <c r="I9" s="41">
        <f>+('Paste Financial Sched.'!E2-'Paste Financial Sched.'!$B$2)*12</f>
        <v>36</v>
      </c>
      <c r="J9" s="41">
        <f>+('Paste Financial Sched.'!F2-'Paste Financial Sched.'!$B$2)*12</f>
        <v>48</v>
      </c>
      <c r="K9" s="41">
        <f>+('Paste Financial Sched.'!G2-'Paste Financial Sched.'!$B$2)*12</f>
        <v>60</v>
      </c>
      <c r="L9" s="41">
        <f>+('Paste Financial Sched.'!H2-'Paste Financial Sched.'!$B$2)*12</f>
        <v>72</v>
      </c>
      <c r="M9" s="41">
        <f>+('Paste Financial Sched.'!I2-'Paste Financial Sched.'!$B$2)*12</f>
        <v>84</v>
      </c>
      <c r="N9" s="41">
        <f>+('Paste Financial Sched.'!J2-'Paste Financial Sched.'!$B$2)*12</f>
        <v>96</v>
      </c>
      <c r="O9" s="41">
        <f>+('Paste Financial Sched.'!K2-'Paste Financial Sched.'!$B$2)*12</f>
        <v>108</v>
      </c>
      <c r="P9" s="41">
        <f>+('Paste Financial Sched.'!L2-'Paste Financial Sched.'!$B$2)*12</f>
        <v>120</v>
      </c>
      <c r="Q9" s="41">
        <f>+('Paste Financial Sched.'!M2-'Paste Financial Sched.'!$B$2)*12</f>
        <v>132</v>
      </c>
      <c r="R9" s="41">
        <f>+('Paste Financial Sched.'!N2-'Paste Financial Sched.'!$B$2)*12</f>
        <v>144</v>
      </c>
      <c r="S9" s="41">
        <f>+('Paste Financial Sched.'!O2-'Paste Financial Sched.'!$B$2)*12</f>
        <v>156</v>
      </c>
      <c r="T9" s="41">
        <f>+('Paste Financial Sched.'!P2-'Paste Financial Sched.'!$B$2)*12</f>
        <v>168</v>
      </c>
      <c r="U9" s="41">
        <f>+('Paste Financial Sched.'!Q2-'Paste Financial Sched.'!$B$2)*12</f>
        <v>180</v>
      </c>
      <c r="V9" s="41">
        <f>+('Paste Financial Sched.'!R2-'Paste Financial Sched.'!$B$2)*12</f>
        <v>192</v>
      </c>
      <c r="W9" s="41">
        <f>+('Paste Financial Sched.'!S2-'Paste Financial Sched.'!$B$2)*12</f>
        <v>204</v>
      </c>
      <c r="X9" s="41">
        <f>+('Paste Financial Sched.'!T2-'Paste Financial Sched.'!$B$2)*12</f>
        <v>216</v>
      </c>
      <c r="Y9" s="42">
        <f>+('Paste Financial Sched.'!U2-'Paste Financial Sched.'!$B$2)*12</f>
        <v>228</v>
      </c>
      <c r="Z9" s="23"/>
    </row>
    <row r="10" spans="1:26" x14ac:dyDescent="0.45">
      <c r="A10" s="43"/>
      <c r="B10" s="22"/>
      <c r="C10" s="22"/>
      <c r="D10" s="24"/>
      <c r="E10" s="40" t="s">
        <v>208</v>
      </c>
      <c r="F10" s="44">
        <f t="shared" ref="F10:Y10" si="0">+F9+12</f>
        <v>12</v>
      </c>
      <c r="G10" s="44">
        <f t="shared" si="0"/>
        <v>24</v>
      </c>
      <c r="H10" s="44">
        <f t="shared" si="0"/>
        <v>36</v>
      </c>
      <c r="I10" s="44">
        <f t="shared" si="0"/>
        <v>48</v>
      </c>
      <c r="J10" s="44">
        <f t="shared" si="0"/>
        <v>60</v>
      </c>
      <c r="K10" s="44">
        <f t="shared" si="0"/>
        <v>72</v>
      </c>
      <c r="L10" s="44">
        <f t="shared" si="0"/>
        <v>84</v>
      </c>
      <c r="M10" s="44">
        <f t="shared" si="0"/>
        <v>96</v>
      </c>
      <c r="N10" s="44">
        <f t="shared" si="0"/>
        <v>108</v>
      </c>
      <c r="O10" s="44">
        <f t="shared" si="0"/>
        <v>120</v>
      </c>
      <c r="P10" s="44">
        <f t="shared" si="0"/>
        <v>132</v>
      </c>
      <c r="Q10" s="44">
        <f t="shared" si="0"/>
        <v>144</v>
      </c>
      <c r="R10" s="44">
        <f t="shared" si="0"/>
        <v>156</v>
      </c>
      <c r="S10" s="44">
        <f t="shared" si="0"/>
        <v>168</v>
      </c>
      <c r="T10" s="44">
        <f t="shared" si="0"/>
        <v>180</v>
      </c>
      <c r="U10" s="44">
        <f t="shared" si="0"/>
        <v>192</v>
      </c>
      <c r="V10" s="44">
        <f t="shared" si="0"/>
        <v>204</v>
      </c>
      <c r="W10" s="44">
        <f t="shared" si="0"/>
        <v>216</v>
      </c>
      <c r="X10" s="44">
        <f t="shared" si="0"/>
        <v>228</v>
      </c>
      <c r="Y10" s="45">
        <f t="shared" si="0"/>
        <v>240</v>
      </c>
      <c r="Z10" s="23"/>
    </row>
    <row r="11" spans="1:26" x14ac:dyDescent="0.45">
      <c r="A11" s="21"/>
      <c r="B11" s="24"/>
      <c r="C11" s="24"/>
      <c r="D11" s="24"/>
      <c r="E11" s="40" t="s">
        <v>209</v>
      </c>
      <c r="F11" s="46">
        <f t="shared" ref="F11:Y11" si="1">-+PV($C$16/12,$C$15*12-F9,$C$17)</f>
        <v>20000000.00000076</v>
      </c>
      <c r="G11" s="46">
        <f t="shared" si="1"/>
        <v>19637880.911571842</v>
      </c>
      <c r="H11" s="46">
        <f t="shared" si="1"/>
        <v>19266604.390152361</v>
      </c>
      <c r="I11" s="46">
        <f t="shared" si="1"/>
        <v>18885938.858392064</v>
      </c>
      <c r="J11" s="46">
        <f t="shared" si="1"/>
        <v>18495646.882706821</v>
      </c>
      <c r="K11" s="46">
        <f t="shared" si="1"/>
        <v>18095485.025183544</v>
      </c>
      <c r="L11" s="46">
        <f t="shared" si="1"/>
        <v>17685203.691739932</v>
      </c>
      <c r="M11" s="46">
        <f t="shared" si="1"/>
        <v>17264546.976444479</v>
      </c>
      <c r="N11" s="46">
        <f t="shared" si="1"/>
        <v>16833252.501899555</v>
      </c>
      <c r="O11" s="46">
        <f t="shared" si="1"/>
        <v>16391051.255587963</v>
      </c>
      <c r="P11" s="46">
        <f t="shared" si="1"/>
        <v>15937667.422081063</v>
      </c>
      <c r="Q11" s="46">
        <f t="shared" si="1"/>
        <v>15472818.211003611</v>
      </c>
      <c r="R11" s="46">
        <f t="shared" si="1"/>
        <v>14996213.680648105</v>
      </c>
      <c r="S11" s="46">
        <f t="shared" si="1"/>
        <v>14507556.557128662</v>
      </c>
      <c r="T11" s="46">
        <f t="shared" si="1"/>
        <v>14006542.048961528</v>
      </c>
      <c r="U11" s="46">
        <f t="shared" si="1"/>
        <v>13492857.656956593</v>
      </c>
      <c r="V11" s="46">
        <f t="shared" si="1"/>
        <v>12966182.979301462</v>
      </c>
      <c r="W11" s="46">
        <f t="shared" si="1"/>
        <v>12426189.511716254</v>
      </c>
      <c r="X11" s="46">
        <f t="shared" si="1"/>
        <v>11872540.442554766</v>
      </c>
      <c r="Y11" s="47">
        <f t="shared" si="1"/>
        <v>11304890.442723945</v>
      </c>
      <c r="Z11" s="23"/>
    </row>
    <row r="12" spans="1:26" x14ac:dyDescent="0.45">
      <c r="A12" s="1166" t="s">
        <v>210</v>
      </c>
      <c r="B12" s="1167"/>
      <c r="C12" s="1167"/>
      <c r="D12" s="1168"/>
      <c r="E12" s="40" t="s">
        <v>211</v>
      </c>
      <c r="F12" s="46">
        <f t="shared" ref="F12:Y12" si="2">-+PV($C$16/12,$C$15*12-F9-12,$C$17)</f>
        <v>19637880.911571842</v>
      </c>
      <c r="G12" s="46">
        <f t="shared" si="2"/>
        <v>19266604.390152361</v>
      </c>
      <c r="H12" s="46">
        <f t="shared" si="2"/>
        <v>18885938.858392064</v>
      </c>
      <c r="I12" s="46">
        <f t="shared" si="2"/>
        <v>18495646.882706821</v>
      </c>
      <c r="J12" s="46">
        <f t="shared" si="2"/>
        <v>18095485.025183544</v>
      </c>
      <c r="K12" s="46">
        <f t="shared" si="2"/>
        <v>17685203.691739932</v>
      </c>
      <c r="L12" s="46">
        <f t="shared" si="2"/>
        <v>17264546.976444479</v>
      </c>
      <c r="M12" s="46">
        <f t="shared" si="2"/>
        <v>16833252.501899555</v>
      </c>
      <c r="N12" s="46">
        <f t="shared" si="2"/>
        <v>16391051.255587963</v>
      </c>
      <c r="O12" s="46">
        <f t="shared" si="2"/>
        <v>15937667.422081063</v>
      </c>
      <c r="P12" s="46">
        <f t="shared" si="2"/>
        <v>15472818.211003611</v>
      </c>
      <c r="Q12" s="46">
        <f t="shared" si="2"/>
        <v>14996213.680648105</v>
      </c>
      <c r="R12" s="46">
        <f t="shared" si="2"/>
        <v>14507556.557128662</v>
      </c>
      <c r="S12" s="46">
        <f t="shared" si="2"/>
        <v>14006542.048961528</v>
      </c>
      <c r="T12" s="46">
        <f t="shared" si="2"/>
        <v>13492857.656956593</v>
      </c>
      <c r="U12" s="46">
        <f t="shared" si="2"/>
        <v>12966182.979301462</v>
      </c>
      <c r="V12" s="46">
        <f t="shared" si="2"/>
        <v>12426189.511716254</v>
      </c>
      <c r="W12" s="46">
        <f t="shared" si="2"/>
        <v>11872540.442554766</v>
      </c>
      <c r="X12" s="46">
        <f t="shared" si="2"/>
        <v>11304890.442723945</v>
      </c>
      <c r="Y12" s="47">
        <f t="shared" si="2"/>
        <v>10722885.450290836</v>
      </c>
      <c r="Z12" s="23"/>
    </row>
    <row r="13" spans="1:26" x14ac:dyDescent="0.45">
      <c r="A13" s="1166"/>
      <c r="B13" s="1167"/>
      <c r="C13" s="1167"/>
      <c r="D13" s="1168"/>
      <c r="E13" s="40" t="s">
        <v>212</v>
      </c>
      <c r="F13" s="46">
        <f t="shared" ref="F13:Y13" si="3">+CUMPRINC($C$16/12,$C$15*12,$C$14,F9+1,F10,0)</f>
        <v>-362119.08842891193</v>
      </c>
      <c r="G13" s="46">
        <f t="shared" si="3"/>
        <v>-371276.52141947427</v>
      </c>
      <c r="H13" s="46">
        <f t="shared" si="3"/>
        <v>-380665.53176029574</v>
      </c>
      <c r="I13" s="46">
        <f t="shared" si="3"/>
        <v>-390291.97568523674</v>
      </c>
      <c r="J13" s="46">
        <f t="shared" si="3"/>
        <v>-400161.8575232756</v>
      </c>
      <c r="K13" s="46">
        <f t="shared" si="3"/>
        <v>-410281.33344360592</v>
      </c>
      <c r="L13" s="46">
        <f t="shared" si="3"/>
        <v>-420656.71529544081</v>
      </c>
      <c r="M13" s="46">
        <f t="shared" si="3"/>
        <v>-431294.47454492119</v>
      </c>
      <c r="N13" s="46">
        <f t="shared" si="3"/>
        <v>-442201.24631158047</v>
      </c>
      <c r="O13" s="46">
        <f t="shared" si="3"/>
        <v>-453383.8335068876</v>
      </c>
      <c r="P13" s="46">
        <f t="shared" si="3"/>
        <v>-464849.21107744513</v>
      </c>
      <c r="Q13" s="46">
        <f t="shared" si="3"/>
        <v>-476604.53035549278</v>
      </c>
      <c r="R13" s="46">
        <f t="shared" si="3"/>
        <v>-488657.12351942819</v>
      </c>
      <c r="S13" s="46">
        <f t="shared" si="3"/>
        <v>-501014.5081671268</v>
      </c>
      <c r="T13" s="46">
        <f t="shared" si="3"/>
        <v>-513684.39200491481</v>
      </c>
      <c r="U13" s="46">
        <f t="shared" si="3"/>
        <v>-526674.67765511805</v>
      </c>
      <c r="V13" s="46">
        <f t="shared" si="3"/>
        <v>-539993.46758518694</v>
      </c>
      <c r="W13" s="46">
        <f t="shared" si="3"/>
        <v>-553649.06916147191</v>
      </c>
      <c r="X13" s="46">
        <f t="shared" si="3"/>
        <v>-567649.99983079953</v>
      </c>
      <c r="Y13" s="47">
        <f t="shared" si="3"/>
        <v>-582004.99243308452</v>
      </c>
      <c r="Z13" s="23"/>
    </row>
    <row r="14" spans="1:26" x14ac:dyDescent="0.45">
      <c r="A14" s="48"/>
      <c r="B14" s="49" t="s">
        <v>213</v>
      </c>
      <c r="C14" s="50">
        <f>+'Project Info Entry'!$C$12</f>
        <v>20000000</v>
      </c>
      <c r="D14" s="24"/>
      <c r="E14" s="40" t="s">
        <v>214</v>
      </c>
      <c r="F14" s="46">
        <f t="shared" ref="F14:Y14" si="4">+$F$11-F12</f>
        <v>362119.08842891827</v>
      </c>
      <c r="G14" s="46">
        <f t="shared" si="4"/>
        <v>733395.60984839872</v>
      </c>
      <c r="H14" s="46">
        <f t="shared" si="4"/>
        <v>1114061.1416086964</v>
      </c>
      <c r="I14" s="46">
        <f t="shared" si="4"/>
        <v>1504353.117293939</v>
      </c>
      <c r="J14" s="46">
        <f t="shared" si="4"/>
        <v>1904514.9748172164</v>
      </c>
      <c r="K14" s="46">
        <f t="shared" si="4"/>
        <v>2314796.3082608283</v>
      </c>
      <c r="L14" s="46">
        <f t="shared" si="4"/>
        <v>2735453.0235562809</v>
      </c>
      <c r="M14" s="46">
        <f t="shared" si="4"/>
        <v>3166747.4981012046</v>
      </c>
      <c r="N14" s="46">
        <f t="shared" si="4"/>
        <v>3608948.7444127966</v>
      </c>
      <c r="O14" s="46">
        <f t="shared" si="4"/>
        <v>4062332.5779196974</v>
      </c>
      <c r="P14" s="46">
        <f t="shared" si="4"/>
        <v>4527181.7889971491</v>
      </c>
      <c r="Q14" s="46">
        <f t="shared" si="4"/>
        <v>5003786.3193526547</v>
      </c>
      <c r="R14" s="46">
        <f t="shared" si="4"/>
        <v>5492443.4428720977</v>
      </c>
      <c r="S14" s="46">
        <f t="shared" si="4"/>
        <v>5993457.9510392323</v>
      </c>
      <c r="T14" s="46">
        <f t="shared" si="4"/>
        <v>6507142.3430441674</v>
      </c>
      <c r="U14" s="46">
        <f t="shared" si="4"/>
        <v>7033817.020699298</v>
      </c>
      <c r="V14" s="46">
        <f t="shared" si="4"/>
        <v>7573810.4882845059</v>
      </c>
      <c r="W14" s="46">
        <f t="shared" si="4"/>
        <v>8127459.5574459936</v>
      </c>
      <c r="X14" s="46">
        <f t="shared" si="4"/>
        <v>8695109.5572768152</v>
      </c>
      <c r="Y14" s="47">
        <f t="shared" si="4"/>
        <v>9277114.5497099236</v>
      </c>
      <c r="Z14" s="23"/>
    </row>
    <row r="15" spans="1:26" x14ac:dyDescent="0.45">
      <c r="A15" s="48"/>
      <c r="B15" s="51" t="s">
        <v>215</v>
      </c>
      <c r="C15" s="52">
        <f>+'Project Info Entry'!$C$14</f>
        <v>35</v>
      </c>
      <c r="D15" s="24"/>
      <c r="E15" s="53" t="str">
        <f>+CONCATENATE("Allowance for RfR deficit offset"," @",+TEXT(C18,"###.00%"))</f>
        <v>Allowance for RfR deficit offset @50.00%</v>
      </c>
      <c r="F15" s="54">
        <f t="shared" ref="F15:Y15" si="5">+$C$18*F14</f>
        <v>181059.54421445914</v>
      </c>
      <c r="G15" s="54">
        <f t="shared" si="5"/>
        <v>366697.80492419936</v>
      </c>
      <c r="H15" s="54">
        <f t="shared" si="5"/>
        <v>557030.57080434822</v>
      </c>
      <c r="I15" s="54">
        <f t="shared" si="5"/>
        <v>752176.5586469695</v>
      </c>
      <c r="J15" s="54">
        <f t="shared" si="5"/>
        <v>952257.4874086082</v>
      </c>
      <c r="K15" s="54">
        <f t="shared" si="5"/>
        <v>1157398.1541304141</v>
      </c>
      <c r="L15" s="54">
        <f t="shared" si="5"/>
        <v>1367726.5117781404</v>
      </c>
      <c r="M15" s="54">
        <f t="shared" si="5"/>
        <v>1583373.7490506023</v>
      </c>
      <c r="N15" s="54">
        <f t="shared" si="5"/>
        <v>1804474.3722063983</v>
      </c>
      <c r="O15" s="54">
        <f t="shared" si="5"/>
        <v>2031166.2889598487</v>
      </c>
      <c r="P15" s="54">
        <f t="shared" si="5"/>
        <v>2263590.8944985745</v>
      </c>
      <c r="Q15" s="54">
        <f t="shared" si="5"/>
        <v>2501893.1596763274</v>
      </c>
      <c r="R15" s="54">
        <f t="shared" si="5"/>
        <v>2746221.7214360489</v>
      </c>
      <c r="S15" s="54">
        <f t="shared" si="5"/>
        <v>2996728.9755196162</v>
      </c>
      <c r="T15" s="54">
        <f t="shared" si="5"/>
        <v>3253571.1715220837</v>
      </c>
      <c r="U15" s="54">
        <f t="shared" si="5"/>
        <v>3516908.510349649</v>
      </c>
      <c r="V15" s="54">
        <f t="shared" si="5"/>
        <v>3786905.244142253</v>
      </c>
      <c r="W15" s="54">
        <f t="shared" si="5"/>
        <v>4063729.7787229968</v>
      </c>
      <c r="X15" s="54">
        <f t="shared" si="5"/>
        <v>4347554.7786384076</v>
      </c>
      <c r="Y15" s="55">
        <f t="shared" si="5"/>
        <v>4638557.2748549618</v>
      </c>
      <c r="Z15" s="23"/>
    </row>
    <row r="16" spans="1:26" x14ac:dyDescent="0.45">
      <c r="A16" s="48"/>
      <c r="B16" s="51" t="s">
        <v>216</v>
      </c>
      <c r="C16" s="56">
        <f>+'Project Info Entry'!$C$13</f>
        <v>2.5000000000000001E-2</v>
      </c>
      <c r="D16" s="24"/>
      <c r="E16" s="53" t="s">
        <v>217</v>
      </c>
      <c r="F16" s="46">
        <f t="shared" ref="F16:Y16" si="6">+F18/$C$23</f>
        <v>735.1964473684211</v>
      </c>
      <c r="G16" s="46">
        <f t="shared" si="6"/>
        <v>749.90037280701756</v>
      </c>
      <c r="H16" s="46">
        <f t="shared" si="6"/>
        <v>764.89837719298237</v>
      </c>
      <c r="I16" s="46">
        <f t="shared" si="6"/>
        <v>780.19635964912277</v>
      </c>
      <c r="J16" s="46">
        <f t="shared" si="6"/>
        <v>795.80028508771932</v>
      </c>
      <c r="K16" s="46">
        <f t="shared" si="6"/>
        <v>811.71629385964911</v>
      </c>
      <c r="L16" s="46">
        <f t="shared" si="6"/>
        <v>827.95061403508771</v>
      </c>
      <c r="M16" s="46">
        <f t="shared" si="6"/>
        <v>844.50962719298252</v>
      </c>
      <c r="N16" s="46">
        <f t="shared" si="6"/>
        <v>861.39982456140353</v>
      </c>
      <c r="O16" s="46">
        <f t="shared" si="6"/>
        <v>878.62780701754389</v>
      </c>
      <c r="P16" s="46">
        <f t="shared" si="6"/>
        <v>896.20037280701752</v>
      </c>
      <c r="Q16" s="46">
        <f t="shared" si="6"/>
        <v>914.12436403508775</v>
      </c>
      <c r="R16" s="46">
        <f t="shared" si="6"/>
        <v>932.40686403508778</v>
      </c>
      <c r="S16" s="46">
        <f t="shared" si="6"/>
        <v>951.05500000000006</v>
      </c>
      <c r="T16" s="46">
        <f t="shared" si="6"/>
        <v>970.0760964912281</v>
      </c>
      <c r="U16" s="46">
        <f t="shared" si="6"/>
        <v>989.47763157894735</v>
      </c>
      <c r="V16" s="46">
        <f t="shared" si="6"/>
        <v>1009.2671710526316</v>
      </c>
      <c r="W16" s="46">
        <f t="shared" si="6"/>
        <v>1029.4525219298246</v>
      </c>
      <c r="X16" s="46">
        <f t="shared" si="6"/>
        <v>1050.0415570175439</v>
      </c>
      <c r="Y16" s="46">
        <f t="shared" si="6"/>
        <v>1071.0423903508772</v>
      </c>
      <c r="Z16" s="23"/>
    </row>
    <row r="17" spans="1:26" x14ac:dyDescent="0.45">
      <c r="A17" s="48"/>
      <c r="B17" s="57" t="s">
        <v>218</v>
      </c>
      <c r="C17" s="58">
        <f>-+PMT(C16/12,C15*12,C14)</f>
        <v>71499.043076930408</v>
      </c>
      <c r="D17" s="24"/>
      <c r="E17" s="59" t="s">
        <v>219</v>
      </c>
      <c r="F17" s="60">
        <f>+'Paste Financial Sched.'!B8</f>
        <v>725130.25</v>
      </c>
      <c r="G17" s="60">
        <f>+'Paste Financial Sched.'!C8</f>
        <v>990988.27</v>
      </c>
      <c r="H17" s="60">
        <f>+'Paste Financial Sched.'!D8</f>
        <v>924537.53</v>
      </c>
      <c r="I17" s="60">
        <f>+'Paste Financial Sched.'!E8</f>
        <v>919611.61</v>
      </c>
      <c r="J17" s="60">
        <f>+'Paste Financial Sched.'!F8</f>
        <v>693744.48</v>
      </c>
      <c r="K17" s="60">
        <f>+'Paste Financial Sched.'!G8</f>
        <v>510675.36</v>
      </c>
      <c r="L17" s="60">
        <f>+'Paste Financial Sched.'!H8</f>
        <v>377894.07</v>
      </c>
      <c r="M17" s="60">
        <f>+'Paste Financial Sched.'!I8</f>
        <v>401502.71999999997</v>
      </c>
      <c r="N17" s="60">
        <f>+'Paste Financial Sched.'!J8</f>
        <v>480981.94</v>
      </c>
      <c r="O17" s="60">
        <f>+'Paste Financial Sched.'!K8</f>
        <v>433773.62</v>
      </c>
      <c r="P17" s="60">
        <f>+'Paste Financial Sched.'!L8</f>
        <v>-110703.27</v>
      </c>
      <c r="Q17" s="60">
        <f>+'Paste Financial Sched.'!M8</f>
        <v>-610983.27</v>
      </c>
      <c r="R17" s="60">
        <f>+'Paste Financial Sched.'!N8</f>
        <v>-1017555.96</v>
      </c>
      <c r="S17" s="60">
        <f>+'Paste Financial Sched.'!O8</f>
        <v>-966079.5</v>
      </c>
      <c r="T17" s="60">
        <f>+'Paste Financial Sched.'!P8</f>
        <v>-1341212.18</v>
      </c>
      <c r="U17" s="60">
        <f>+'Paste Financial Sched.'!Q8</f>
        <v>-1670061.93</v>
      </c>
      <c r="V17" s="60">
        <f>+'Paste Financial Sched.'!R8</f>
        <v>-1956866.88</v>
      </c>
      <c r="W17" s="60">
        <f>+'Paste Financial Sched.'!S8</f>
        <v>-1910382.63</v>
      </c>
      <c r="X17" s="60">
        <f>+'Paste Financial Sched.'!T8</f>
        <v>-1717781.01</v>
      </c>
      <c r="Y17" s="61">
        <f>+'Paste Financial Sched.'!U8</f>
        <v>-1502517.49</v>
      </c>
      <c r="Z17" s="23"/>
    </row>
    <row r="18" spans="1:26" x14ac:dyDescent="0.45">
      <c r="A18" s="48"/>
      <c r="B18" s="57" t="s">
        <v>220</v>
      </c>
      <c r="C18" s="62">
        <f>+'Project Info Entry'!$C$16</f>
        <v>0.5</v>
      </c>
      <c r="D18" s="24"/>
      <c r="E18" s="59" t="s">
        <v>221</v>
      </c>
      <c r="F18" s="63">
        <f>+'Paste Financial Sched.'!B9</f>
        <v>335249.58</v>
      </c>
      <c r="G18" s="63">
        <f>+'Paste Financial Sched.'!C9</f>
        <v>341954.57</v>
      </c>
      <c r="H18" s="63">
        <f>+'Paste Financial Sched.'!D9</f>
        <v>348793.66</v>
      </c>
      <c r="I18" s="63">
        <f>+'Paste Financial Sched.'!E9</f>
        <v>355769.54</v>
      </c>
      <c r="J18" s="63">
        <f>+'Paste Financial Sched.'!F9</f>
        <v>362884.93</v>
      </c>
      <c r="K18" s="63">
        <f>+'Paste Financial Sched.'!G9</f>
        <v>370142.63</v>
      </c>
      <c r="L18" s="63">
        <f>+'Paste Financial Sched.'!H9</f>
        <v>377545.48</v>
      </c>
      <c r="M18" s="63">
        <f>+'Paste Financial Sched.'!I9</f>
        <v>385096.39</v>
      </c>
      <c r="N18" s="63">
        <f>+'Paste Financial Sched.'!J9</f>
        <v>392798.32</v>
      </c>
      <c r="O18" s="63">
        <f>+'Paste Financial Sched.'!K9</f>
        <v>400654.28</v>
      </c>
      <c r="P18" s="63">
        <f>+'Paste Financial Sched.'!L9</f>
        <v>408667.37</v>
      </c>
      <c r="Q18" s="63">
        <f>+'Paste Financial Sched.'!M9</f>
        <v>416840.71</v>
      </c>
      <c r="R18" s="63">
        <f>+'Paste Financial Sched.'!N9</f>
        <v>425177.53</v>
      </c>
      <c r="S18" s="63">
        <f>+'Paste Financial Sched.'!O9</f>
        <v>433681.08</v>
      </c>
      <c r="T18" s="63">
        <f>+'Paste Financial Sched.'!P9</f>
        <v>442354.7</v>
      </c>
      <c r="U18" s="63">
        <f>+'Paste Financial Sched.'!Q9</f>
        <v>451201.8</v>
      </c>
      <c r="V18" s="63">
        <f>+'Paste Financial Sched.'!R9</f>
        <v>460225.83</v>
      </c>
      <c r="W18" s="63">
        <f>+'Paste Financial Sched.'!S9</f>
        <v>469430.35</v>
      </c>
      <c r="X18" s="63">
        <f>+'Paste Financial Sched.'!T9</f>
        <v>478818.95</v>
      </c>
      <c r="Y18" s="64">
        <f>+'Paste Financial Sched.'!U9</f>
        <v>488395.33</v>
      </c>
      <c r="Z18" s="23"/>
    </row>
    <row r="19" spans="1:26" ht="24" x14ac:dyDescent="0.45">
      <c r="A19" s="48"/>
      <c r="B19" s="65"/>
      <c r="C19" s="65"/>
      <c r="D19" s="22"/>
      <c r="E19" s="699" t="s">
        <v>222</v>
      </c>
      <c r="F19" s="66">
        <f t="shared" ref="F19:Y19" si="7">+F17-F18</f>
        <v>389880.67</v>
      </c>
      <c r="G19" s="66">
        <f t="shared" si="7"/>
        <v>649033.69999999995</v>
      </c>
      <c r="H19" s="66">
        <f t="shared" si="7"/>
        <v>575743.87000000011</v>
      </c>
      <c r="I19" s="66">
        <f t="shared" si="7"/>
        <v>563842.07000000007</v>
      </c>
      <c r="J19" s="66">
        <f t="shared" si="7"/>
        <v>330859.55</v>
      </c>
      <c r="K19" s="66">
        <f t="shared" si="7"/>
        <v>140532.72999999998</v>
      </c>
      <c r="L19" s="66">
        <f t="shared" si="7"/>
        <v>348.59000000002561</v>
      </c>
      <c r="M19" s="66">
        <f t="shared" si="7"/>
        <v>16406.329999999958</v>
      </c>
      <c r="N19" s="66">
        <f t="shared" si="7"/>
        <v>88183.62</v>
      </c>
      <c r="O19" s="66">
        <f t="shared" si="7"/>
        <v>33119.339999999967</v>
      </c>
      <c r="P19" s="66">
        <f t="shared" si="7"/>
        <v>-519370.64</v>
      </c>
      <c r="Q19" s="66">
        <f t="shared" si="7"/>
        <v>-1027823.98</v>
      </c>
      <c r="R19" s="66">
        <f t="shared" si="7"/>
        <v>-1442733.49</v>
      </c>
      <c r="S19" s="66">
        <f t="shared" si="7"/>
        <v>-1399760.58</v>
      </c>
      <c r="T19" s="66">
        <f t="shared" si="7"/>
        <v>-1783566.88</v>
      </c>
      <c r="U19" s="66">
        <f t="shared" si="7"/>
        <v>-2121263.73</v>
      </c>
      <c r="V19" s="66">
        <f t="shared" si="7"/>
        <v>-2417092.71</v>
      </c>
      <c r="W19" s="66">
        <f t="shared" si="7"/>
        <v>-2379812.98</v>
      </c>
      <c r="X19" s="66">
        <f t="shared" si="7"/>
        <v>-2196599.96</v>
      </c>
      <c r="Y19" s="67">
        <f t="shared" si="7"/>
        <v>-1990912.82</v>
      </c>
      <c r="Z19" s="23"/>
    </row>
    <row r="20" spans="1:26" x14ac:dyDescent="0.45">
      <c r="A20" s="68"/>
      <c r="B20" s="49" t="s">
        <v>223</v>
      </c>
      <c r="C20" s="60">
        <f>+'Paste Financial Sched.'!B3</f>
        <v>466925</v>
      </c>
      <c r="D20" s="24"/>
      <c r="E20" s="53" t="s">
        <v>224</v>
      </c>
      <c r="F20" s="703">
        <f>+'Paste Financial Sched.'!B3/C23</f>
        <v>1023.9583333333334</v>
      </c>
      <c r="G20" s="69"/>
      <c r="H20" s="69"/>
      <c r="I20" s="69"/>
      <c r="J20" s="69"/>
      <c r="K20" s="69"/>
      <c r="L20" s="69"/>
      <c r="M20" s="69"/>
      <c r="N20" s="69"/>
      <c r="O20" s="70" t="s">
        <v>225</v>
      </c>
      <c r="P20" s="71">
        <f t="shared" ref="P20:Y20" si="8">+P15+P19</f>
        <v>1744220.2544985744</v>
      </c>
      <c r="Q20" s="71">
        <f t="shared" si="8"/>
        <v>1474069.1796763274</v>
      </c>
      <c r="R20" s="71">
        <f t="shared" si="8"/>
        <v>1303488.2314360489</v>
      </c>
      <c r="S20" s="71">
        <f t="shared" si="8"/>
        <v>1596968.3955196161</v>
      </c>
      <c r="T20" s="71">
        <f t="shared" si="8"/>
        <v>1470004.2915220838</v>
      </c>
      <c r="U20" s="71">
        <f t="shared" si="8"/>
        <v>1395644.780349649</v>
      </c>
      <c r="V20" s="71">
        <f t="shared" si="8"/>
        <v>1369812.534142253</v>
      </c>
      <c r="W20" s="71">
        <f t="shared" si="8"/>
        <v>1683916.7987229968</v>
      </c>
      <c r="X20" s="71">
        <f t="shared" si="8"/>
        <v>2150954.8186384076</v>
      </c>
      <c r="Y20" s="72">
        <f t="shared" si="8"/>
        <v>2647644.4548549615</v>
      </c>
      <c r="Z20" s="23"/>
    </row>
    <row r="21" spans="1:26" x14ac:dyDescent="0.45">
      <c r="A21" s="21"/>
      <c r="B21" s="51" t="s">
        <v>226</v>
      </c>
      <c r="C21" s="60">
        <f>+'Paste Financial Sched.'!B5</f>
        <v>253536</v>
      </c>
      <c r="D21" s="24"/>
      <c r="E21" s="59" t="s">
        <v>227</v>
      </c>
      <c r="F21" s="702"/>
      <c r="G21" s="69"/>
      <c r="H21" s="69"/>
      <c r="I21" s="69"/>
      <c r="J21" s="69"/>
      <c r="K21" s="69"/>
      <c r="L21" s="69"/>
      <c r="M21" s="69"/>
      <c r="N21" s="69"/>
      <c r="O21" s="73" t="s">
        <v>228</v>
      </c>
      <c r="P21" s="74" t="str">
        <f t="shared" ref="P21:Y21" si="9">+IF(P19&gt;0,"OK",IF(P15&gt;=-P19,"OK","Not OK"))</f>
        <v>OK</v>
      </c>
      <c r="Q21" s="74" t="str">
        <f t="shared" si="9"/>
        <v>OK</v>
      </c>
      <c r="R21" s="74" t="str">
        <f t="shared" si="9"/>
        <v>OK</v>
      </c>
      <c r="S21" s="74" t="str">
        <f t="shared" si="9"/>
        <v>OK</v>
      </c>
      <c r="T21" s="74" t="str">
        <f t="shared" si="9"/>
        <v>OK</v>
      </c>
      <c r="U21" s="74" t="str">
        <f t="shared" si="9"/>
        <v>OK</v>
      </c>
      <c r="V21" s="74" t="str">
        <f t="shared" si="9"/>
        <v>OK</v>
      </c>
      <c r="W21" s="74" t="str">
        <f t="shared" si="9"/>
        <v>OK</v>
      </c>
      <c r="X21" s="74" t="str">
        <f t="shared" si="9"/>
        <v>OK</v>
      </c>
      <c r="Y21" s="75" t="str">
        <f t="shared" si="9"/>
        <v>OK</v>
      </c>
      <c r="Z21" s="23"/>
    </row>
    <row r="22" spans="1:26" x14ac:dyDescent="0.45">
      <c r="A22" s="21"/>
      <c r="B22" s="51" t="s">
        <v>229</v>
      </c>
      <c r="C22" s="60">
        <f>+'Paste Financial Sched.'!B13</f>
        <v>556</v>
      </c>
      <c r="D22" s="24"/>
      <c r="E22" s="76" t="s">
        <v>230</v>
      </c>
      <c r="F22" s="60">
        <f t="shared" ref="F22:Y22" si="10">+F17-F18</f>
        <v>389880.67</v>
      </c>
      <c r="G22" s="60">
        <f t="shared" si="10"/>
        <v>649033.69999999995</v>
      </c>
      <c r="H22" s="60">
        <f t="shared" si="10"/>
        <v>575743.87000000011</v>
      </c>
      <c r="I22" s="60">
        <f t="shared" si="10"/>
        <v>563842.07000000007</v>
      </c>
      <c r="J22" s="60">
        <f t="shared" si="10"/>
        <v>330859.55</v>
      </c>
      <c r="K22" s="60">
        <f t="shared" si="10"/>
        <v>140532.72999999998</v>
      </c>
      <c r="L22" s="60">
        <f t="shared" si="10"/>
        <v>348.59000000002561</v>
      </c>
      <c r="M22" s="60">
        <f t="shared" si="10"/>
        <v>16406.329999999958</v>
      </c>
      <c r="N22" s="60">
        <f t="shared" si="10"/>
        <v>88183.62</v>
      </c>
      <c r="O22" s="60">
        <f t="shared" si="10"/>
        <v>33119.339999999967</v>
      </c>
      <c r="P22" s="60">
        <f t="shared" si="10"/>
        <v>-519370.64</v>
      </c>
      <c r="Q22" s="60">
        <f t="shared" si="10"/>
        <v>-1027823.98</v>
      </c>
      <c r="R22" s="60">
        <f t="shared" si="10"/>
        <v>-1442733.49</v>
      </c>
      <c r="S22" s="60">
        <f t="shared" si="10"/>
        <v>-1399760.58</v>
      </c>
      <c r="T22" s="60">
        <f t="shared" si="10"/>
        <v>-1783566.88</v>
      </c>
      <c r="U22" s="60">
        <f t="shared" si="10"/>
        <v>-2121263.73</v>
      </c>
      <c r="V22" s="60">
        <f t="shared" si="10"/>
        <v>-2417092.71</v>
      </c>
      <c r="W22" s="60">
        <f t="shared" si="10"/>
        <v>-2379812.98</v>
      </c>
      <c r="X22" s="60">
        <f t="shared" si="10"/>
        <v>-2196599.96</v>
      </c>
      <c r="Y22" s="60">
        <f t="shared" si="10"/>
        <v>-1990912.82</v>
      </c>
      <c r="Z22" s="23"/>
    </row>
    <row r="23" spans="1:26" ht="14.65" thickBot="1" x14ac:dyDescent="0.5">
      <c r="A23" s="21"/>
      <c r="B23" s="57" t="s">
        <v>231</v>
      </c>
      <c r="C23" s="77">
        <f>+C21/C22</f>
        <v>456</v>
      </c>
      <c r="D23" s="24"/>
      <c r="E23" s="701" t="s">
        <v>232</v>
      </c>
      <c r="F23" s="79" t="str">
        <f>+IF(F17&gt;0,"OK","Not OK")</f>
        <v>OK</v>
      </c>
      <c r="G23" s="79" t="str">
        <f>+IF(G17&gt;0,"OK","Not OK")</f>
        <v>OK</v>
      </c>
      <c r="H23" s="80" t="str">
        <f t="shared" ref="H23:Y23" si="11">+IF(H22&gt;0,"OK","Not OK")</f>
        <v>OK</v>
      </c>
      <c r="I23" s="80" t="str">
        <f t="shared" si="11"/>
        <v>OK</v>
      </c>
      <c r="J23" s="80" t="str">
        <f t="shared" si="11"/>
        <v>OK</v>
      </c>
      <c r="K23" s="80" t="str">
        <f t="shared" si="11"/>
        <v>OK</v>
      </c>
      <c r="L23" s="80" t="str">
        <f t="shared" si="11"/>
        <v>OK</v>
      </c>
      <c r="M23" s="80" t="str">
        <f t="shared" si="11"/>
        <v>OK</v>
      </c>
      <c r="N23" s="80" t="str">
        <f t="shared" si="11"/>
        <v>OK</v>
      </c>
      <c r="O23" s="80" t="str">
        <f t="shared" si="11"/>
        <v>OK</v>
      </c>
      <c r="P23" s="80" t="str">
        <f t="shared" si="11"/>
        <v>Not OK</v>
      </c>
      <c r="Q23" s="80" t="str">
        <f t="shared" si="11"/>
        <v>Not OK</v>
      </c>
      <c r="R23" s="80" t="str">
        <f t="shared" si="11"/>
        <v>Not OK</v>
      </c>
      <c r="S23" s="80" t="str">
        <f t="shared" si="11"/>
        <v>Not OK</v>
      </c>
      <c r="T23" s="80" t="str">
        <f t="shared" si="11"/>
        <v>Not OK</v>
      </c>
      <c r="U23" s="80" t="str">
        <f t="shared" si="11"/>
        <v>Not OK</v>
      </c>
      <c r="V23" s="80" t="str">
        <f t="shared" si="11"/>
        <v>Not OK</v>
      </c>
      <c r="W23" s="80" t="str">
        <f t="shared" si="11"/>
        <v>Not OK</v>
      </c>
      <c r="X23" s="80" t="str">
        <f t="shared" si="11"/>
        <v>Not OK</v>
      </c>
      <c r="Y23" s="80" t="str">
        <f t="shared" si="11"/>
        <v>Not OK</v>
      </c>
      <c r="Z23" s="23"/>
    </row>
    <row r="24" spans="1:26" ht="24" x14ac:dyDescent="0.45">
      <c r="A24" s="21"/>
      <c r="B24" s="81"/>
      <c r="C24" s="82"/>
      <c r="D24" s="24"/>
      <c r="E24" s="700" t="s">
        <v>233</v>
      </c>
      <c r="F24" s="74">
        <f t="shared" ref="F24:Y24" si="12">-F19</f>
        <v>-389880.67</v>
      </c>
      <c r="G24" s="74">
        <f t="shared" si="12"/>
        <v>-649033.69999999995</v>
      </c>
      <c r="H24" s="74">
        <f t="shared" si="12"/>
        <v>-575743.87000000011</v>
      </c>
      <c r="I24" s="74">
        <f t="shared" si="12"/>
        <v>-563842.07000000007</v>
      </c>
      <c r="J24" s="74">
        <f t="shared" si="12"/>
        <v>-330859.55</v>
      </c>
      <c r="K24" s="74">
        <f t="shared" si="12"/>
        <v>-140532.72999999998</v>
      </c>
      <c r="L24" s="74">
        <f t="shared" si="12"/>
        <v>-348.59000000002561</v>
      </c>
      <c r="M24" s="74">
        <f t="shared" si="12"/>
        <v>-16406.329999999958</v>
      </c>
      <c r="N24" s="74">
        <f t="shared" si="12"/>
        <v>-88183.62</v>
      </c>
      <c r="O24" s="74">
        <f t="shared" si="12"/>
        <v>-33119.339999999967</v>
      </c>
      <c r="P24" s="74">
        <f t="shared" si="12"/>
        <v>519370.64</v>
      </c>
      <c r="Q24" s="74">
        <f t="shared" si="12"/>
        <v>1027823.98</v>
      </c>
      <c r="R24" s="74">
        <f t="shared" si="12"/>
        <v>1442733.49</v>
      </c>
      <c r="S24" s="74">
        <f t="shared" si="12"/>
        <v>1399760.58</v>
      </c>
      <c r="T24" s="74">
        <f t="shared" si="12"/>
        <v>1783566.88</v>
      </c>
      <c r="U24" s="74">
        <f t="shared" si="12"/>
        <v>2121263.73</v>
      </c>
      <c r="V24" s="74">
        <f t="shared" si="12"/>
        <v>2417092.71</v>
      </c>
      <c r="W24" s="74">
        <f t="shared" si="12"/>
        <v>2379812.98</v>
      </c>
      <c r="X24" s="74">
        <f t="shared" si="12"/>
        <v>2196599.96</v>
      </c>
      <c r="Y24" s="74">
        <f t="shared" si="12"/>
        <v>1990912.82</v>
      </c>
      <c r="Z24" s="23"/>
    </row>
    <row r="25" spans="1:26" ht="24.4" thickBot="1" x14ac:dyDescent="0.5">
      <c r="A25" s="21"/>
      <c r="B25" s="65"/>
      <c r="C25" s="65"/>
      <c r="D25" s="65"/>
      <c r="E25" s="700" t="s">
        <v>234</v>
      </c>
      <c r="F25" s="83">
        <f t="shared" ref="F25:Y25" si="13">+F24/F14</f>
        <v>-1.0766642313486634</v>
      </c>
      <c r="G25" s="83">
        <f t="shared" si="13"/>
        <v>-0.88497080059446043</v>
      </c>
      <c r="H25" s="83">
        <f t="shared" si="13"/>
        <v>-0.51679737179292518</v>
      </c>
      <c r="I25" s="83">
        <f t="shared" si="13"/>
        <v>-0.37480699412798152</v>
      </c>
      <c r="J25" s="83">
        <f t="shared" si="13"/>
        <v>-0.17372378499242508</v>
      </c>
      <c r="K25" s="83">
        <f t="shared" si="13"/>
        <v>-6.0710624731204185E-2</v>
      </c>
      <c r="L25" s="83">
        <f t="shared" si="13"/>
        <v>-1.2743410213889695E-4</v>
      </c>
      <c r="M25" s="83">
        <f t="shared" si="13"/>
        <v>-5.1808140717999347E-3</v>
      </c>
      <c r="N25" s="83">
        <f t="shared" si="13"/>
        <v>-2.443471111539661E-2</v>
      </c>
      <c r="O25" s="83">
        <f t="shared" si="13"/>
        <v>-8.1527889124627592E-3</v>
      </c>
      <c r="P25" s="83">
        <f t="shared" si="13"/>
        <v>0.11472272689872473</v>
      </c>
      <c r="Q25" s="83">
        <f t="shared" si="13"/>
        <v>0.20540924699857502</v>
      </c>
      <c r="R25" s="83">
        <f t="shared" si="13"/>
        <v>0.26267607577686203</v>
      </c>
      <c r="S25" s="83">
        <f t="shared" si="13"/>
        <v>0.23354807715924483</v>
      </c>
      <c r="T25" s="83">
        <f t="shared" si="13"/>
        <v>0.27409372439909047</v>
      </c>
      <c r="U25" s="83">
        <f t="shared" si="13"/>
        <v>0.30158073827588783</v>
      </c>
      <c r="V25" s="83">
        <f t="shared" si="13"/>
        <v>0.31913826121459765</v>
      </c>
      <c r="W25" s="83">
        <f t="shared" si="13"/>
        <v>0.29281142073721278</v>
      </c>
      <c r="X25" s="83">
        <f t="shared" si="13"/>
        <v>0.25262475941567591</v>
      </c>
      <c r="Y25" s="83">
        <f t="shared" si="13"/>
        <v>0.21460474691047679</v>
      </c>
      <c r="Z25" s="23"/>
    </row>
    <row r="26" spans="1:26" x14ac:dyDescent="0.45">
      <c r="A26" s="30" t="s">
        <v>235</v>
      </c>
      <c r="B26" s="31"/>
      <c r="C26" s="32"/>
      <c r="D26" s="33"/>
      <c r="E26" s="84" t="str">
        <f>+'Paste Financial Sched.'!A10</f>
        <v>Interest Rate on Balance%</v>
      </c>
      <c r="F26" s="31"/>
      <c r="G26" s="31"/>
      <c r="H26" s="31"/>
      <c r="I26" s="31"/>
      <c r="J26" s="31"/>
      <c r="K26" s="31"/>
      <c r="L26" s="31"/>
      <c r="M26" s="31"/>
      <c r="N26" s="31"/>
      <c r="O26" s="31"/>
      <c r="P26" s="31"/>
      <c r="Q26" s="31"/>
      <c r="R26" s="31"/>
      <c r="S26" s="31"/>
      <c r="T26" s="31"/>
      <c r="U26" s="31"/>
      <c r="V26" s="31"/>
      <c r="W26" s="31"/>
      <c r="X26" s="31"/>
      <c r="Y26" s="33"/>
      <c r="Z26" s="23"/>
    </row>
    <row r="27" spans="1:26" ht="14.65" thickBot="1" x14ac:dyDescent="0.5">
      <c r="A27" s="37" t="s">
        <v>236</v>
      </c>
      <c r="B27" s="38"/>
      <c r="C27" s="38"/>
      <c r="D27" s="39"/>
      <c r="E27" s="85" t="s">
        <v>237</v>
      </c>
      <c r="F27" s="86">
        <f>+'Paste Financial Sched.'!B10/100</f>
        <v>0.01</v>
      </c>
      <c r="H27" s="87"/>
      <c r="I27" s="87"/>
      <c r="J27" s="87"/>
      <c r="K27" s="87"/>
      <c r="L27" s="87"/>
      <c r="M27" s="87"/>
      <c r="N27" s="87"/>
      <c r="O27" s="87"/>
      <c r="P27" s="87"/>
      <c r="Q27" s="87"/>
      <c r="R27" s="87"/>
      <c r="S27" s="87"/>
      <c r="T27" s="87"/>
      <c r="U27" s="87"/>
      <c r="V27" s="87"/>
      <c r="W27" s="87"/>
      <c r="X27" s="87"/>
      <c r="Y27" s="88"/>
      <c r="Z27" s="23"/>
    </row>
    <row r="28" spans="1:26" x14ac:dyDescent="0.45">
      <c r="A28" s="21"/>
      <c r="B28" s="65"/>
      <c r="C28" s="65"/>
      <c r="D28" s="24"/>
      <c r="E28" s="89" t="s">
        <v>238</v>
      </c>
      <c r="F28" s="90">
        <f ca="1">+IF(AVERAGE('Paste Financial Sched.'!B10:U10)='Paste Financial Sched.'!B10,1,OFFSET(F9,0,MATCH("Change",G28:Y28,0))/12+1)</f>
        <v>3</v>
      </c>
      <c r="G28" s="91" t="str">
        <f>+IF('Paste Financial Sched.'!C10&lt;&gt;'Paste Financial Sched.'!B10,"Change","No Change")</f>
        <v>No Change</v>
      </c>
      <c r="H28" s="91" t="str">
        <f>+IF('Paste Financial Sched.'!D10&lt;&gt;'Paste Financial Sched.'!C10,"Change","No Change")</f>
        <v>Change</v>
      </c>
      <c r="I28" s="91" t="str">
        <f>+IF('Paste Financial Sched.'!E10&lt;&gt;'Paste Financial Sched.'!D10,"Change","No Change")</f>
        <v>No Change</v>
      </c>
      <c r="J28" s="91" t="str">
        <f>+IF('Paste Financial Sched.'!F10&lt;&gt;'Paste Financial Sched.'!E10,"Change","No Change")</f>
        <v>No Change</v>
      </c>
      <c r="K28" s="91" t="str">
        <f>+IF('Paste Financial Sched.'!G10&lt;&gt;'Paste Financial Sched.'!F10,"Change","No Change")</f>
        <v>No Change</v>
      </c>
      <c r="L28" s="91" t="str">
        <f>+IF('Paste Financial Sched.'!H10&lt;&gt;'Paste Financial Sched.'!G10,"Change","No Change")</f>
        <v>No Change</v>
      </c>
      <c r="M28" s="91" t="str">
        <f>+IF('Paste Financial Sched.'!I10&lt;&gt;'Paste Financial Sched.'!H10,"Change","No Change")</f>
        <v>No Change</v>
      </c>
      <c r="N28" s="91" t="str">
        <f>+IF('Paste Financial Sched.'!J10&lt;&gt;'Paste Financial Sched.'!I10,"Change","No Change")</f>
        <v>No Change</v>
      </c>
      <c r="O28" s="91" t="str">
        <f>+IF('Paste Financial Sched.'!K10&lt;&gt;'Paste Financial Sched.'!J10,"Change","No Change")</f>
        <v>No Change</v>
      </c>
      <c r="P28" s="91" t="str">
        <f>+IF('Paste Financial Sched.'!L10&lt;&gt;'Paste Financial Sched.'!K10,"Change","No Change")</f>
        <v>No Change</v>
      </c>
      <c r="Q28" s="91" t="str">
        <f>+IF('Paste Financial Sched.'!M10&lt;&gt;'Paste Financial Sched.'!L10,"Change","No Change")</f>
        <v>No Change</v>
      </c>
      <c r="R28" s="91" t="str">
        <f>+IF('Paste Financial Sched.'!N10&lt;&gt;'Paste Financial Sched.'!M10,"Change","No Change")</f>
        <v>No Change</v>
      </c>
      <c r="S28" s="91" t="str">
        <f>+IF('Paste Financial Sched.'!O10&lt;&gt;'Paste Financial Sched.'!N10,"Change","No Change")</f>
        <v>No Change</v>
      </c>
      <c r="T28" s="91" t="str">
        <f>+IF('Paste Financial Sched.'!P10&lt;&gt;'Paste Financial Sched.'!O10,"Change","No Change")</f>
        <v>No Change</v>
      </c>
      <c r="U28" s="91" t="str">
        <f>+IF('Paste Financial Sched.'!Q10&lt;&gt;'Paste Financial Sched.'!P10,"Change","No Change")</f>
        <v>No Change</v>
      </c>
      <c r="V28" s="91" t="str">
        <f>+IF('Paste Financial Sched.'!R10&lt;&gt;'Paste Financial Sched.'!Q10,"Change","No Change")</f>
        <v>No Change</v>
      </c>
      <c r="W28" s="91" t="str">
        <f>+IF('Paste Financial Sched.'!S10&lt;&gt;'Paste Financial Sched.'!R10,"Change","No Change")</f>
        <v>No Change</v>
      </c>
      <c r="X28" s="91" t="str">
        <f>+IF('Paste Financial Sched.'!T10&lt;&gt;'Paste Financial Sched.'!S10,"Change","No Change")</f>
        <v>No Change</v>
      </c>
      <c r="Y28" s="92" t="str">
        <f>+IF('Paste Financial Sched.'!U10&lt;&gt;'Paste Financial Sched.'!T10,"Change","No Change")</f>
        <v>No Change</v>
      </c>
      <c r="Z28" s="23"/>
    </row>
    <row r="29" spans="1:26" x14ac:dyDescent="0.45">
      <c r="A29" s="21"/>
      <c r="B29" s="65"/>
      <c r="C29" s="65"/>
      <c r="D29" s="24"/>
      <c r="E29" s="89" t="s">
        <v>239</v>
      </c>
      <c r="F29" s="93">
        <f ca="1">IF(AVERAGE('Paste Financial Sched.'!B10:U10)='Paste Financial Sched.'!B10,'Paste Financial Sched.'!B10,OFFSET('Paste Financial Sched.'!B10,0,MATCH("Change",G28:Y28,0)+1))/100</f>
        <v>1.4999999999999999E-2</v>
      </c>
      <c r="G29" s="20" t="s">
        <v>240</v>
      </c>
      <c r="H29" s="94"/>
      <c r="I29" s="94"/>
      <c r="J29" s="94"/>
      <c r="K29" s="94"/>
      <c r="L29" s="94"/>
      <c r="M29" s="94"/>
      <c r="N29" s="94"/>
      <c r="O29" s="94"/>
      <c r="P29" s="94"/>
      <c r="Q29" s="94"/>
      <c r="R29" s="94"/>
      <c r="S29" s="94"/>
      <c r="T29" s="94"/>
      <c r="U29" s="94"/>
      <c r="V29" s="94"/>
      <c r="W29" s="94"/>
      <c r="X29" s="94"/>
      <c r="Y29" s="95"/>
      <c r="Z29" s="23"/>
    </row>
    <row r="30" spans="1:26" x14ac:dyDescent="0.45">
      <c r="A30" s="21"/>
      <c r="B30" s="65"/>
      <c r="C30" s="65"/>
      <c r="D30" s="24"/>
      <c r="E30" s="96"/>
      <c r="F30" s="87"/>
      <c r="G30" s="20" t="s">
        <v>241</v>
      </c>
      <c r="H30" s="87"/>
      <c r="I30" s="87"/>
      <c r="J30" s="87"/>
      <c r="K30" s="87"/>
      <c r="L30" s="87"/>
      <c r="M30" s="87"/>
      <c r="N30" s="87"/>
      <c r="O30" s="87"/>
      <c r="P30" s="87"/>
      <c r="Q30" s="87"/>
      <c r="R30" s="87"/>
      <c r="S30" s="87"/>
      <c r="T30" s="87"/>
      <c r="U30" s="87"/>
      <c r="V30" s="87"/>
      <c r="W30" s="87"/>
      <c r="X30" s="87"/>
      <c r="Y30" s="88"/>
      <c r="Z30" s="23"/>
    </row>
    <row r="31" spans="1:26" x14ac:dyDescent="0.45">
      <c r="A31" s="21"/>
      <c r="B31" s="65"/>
      <c r="C31" s="65"/>
      <c r="D31" s="24"/>
      <c r="E31" s="97" t="s">
        <v>242</v>
      </c>
      <c r="F31" s="87"/>
      <c r="G31" s="87"/>
      <c r="H31" s="87"/>
      <c r="I31" s="87"/>
      <c r="J31" s="87"/>
      <c r="K31" s="87"/>
      <c r="L31" s="87"/>
      <c r="M31" s="87"/>
      <c r="N31" s="87"/>
      <c r="O31" s="87"/>
      <c r="P31" s="87"/>
      <c r="Q31" s="87"/>
      <c r="R31" s="87"/>
      <c r="S31" s="87"/>
      <c r="T31" s="87"/>
      <c r="U31" s="87"/>
      <c r="V31" s="87"/>
      <c r="W31" s="87"/>
      <c r="X31" s="87"/>
      <c r="Y31" s="88"/>
      <c r="Z31" s="23"/>
    </row>
    <row r="32" spans="1:26" x14ac:dyDescent="0.45">
      <c r="A32" s="21"/>
      <c r="B32" s="65"/>
      <c r="C32" s="65"/>
      <c r="D32" s="24"/>
      <c r="E32" s="85" t="s">
        <v>243</v>
      </c>
      <c r="F32" s="86">
        <f>+'Paste Financial Sched.'!B11/100</f>
        <v>0</v>
      </c>
      <c r="H32" s="87"/>
      <c r="I32" s="87"/>
      <c r="J32" s="87"/>
      <c r="K32" s="87"/>
      <c r="L32" s="87"/>
      <c r="M32" s="87"/>
      <c r="N32" s="87"/>
      <c r="O32" s="87"/>
      <c r="P32" s="87"/>
      <c r="Q32" s="87"/>
      <c r="R32" s="87"/>
      <c r="S32" s="87"/>
      <c r="T32" s="87"/>
      <c r="U32" s="87"/>
      <c r="V32" s="87"/>
      <c r="W32" s="87"/>
      <c r="X32" s="87"/>
      <c r="Y32" s="88"/>
      <c r="Z32" s="23"/>
    </row>
    <row r="33" spans="1:26" x14ac:dyDescent="0.45">
      <c r="A33" s="21"/>
      <c r="B33" s="24"/>
      <c r="C33" s="24"/>
      <c r="D33" s="24"/>
      <c r="E33" s="98" t="s">
        <v>238</v>
      </c>
      <c r="F33" s="90">
        <f ca="1">+IF(AVERAGE('Paste Financial Sched.'!C11:U11)='Paste Financial Sched.'!C11,1,OFFSET(F9,0,MATCH("Change",G33:Y33,0))/12+1)</f>
        <v>1</v>
      </c>
      <c r="G33" s="91" t="s">
        <v>244</v>
      </c>
      <c r="H33" s="91" t="str">
        <f>+IF('Paste Financial Sched.'!D11&lt;&gt;'Paste Financial Sched.'!C11,"Change","No Change")</f>
        <v>No Change</v>
      </c>
      <c r="I33" s="91" t="str">
        <f>+IF('Paste Financial Sched.'!E11&lt;&gt;'Paste Financial Sched.'!D11,"Change","No Change")</f>
        <v>No Change</v>
      </c>
      <c r="J33" s="91" t="str">
        <f>+IF('Paste Financial Sched.'!F11&lt;&gt;'Paste Financial Sched.'!E11,"Change","No Change")</f>
        <v>No Change</v>
      </c>
      <c r="K33" s="91" t="str">
        <f>+IF('Paste Financial Sched.'!G11&lt;&gt;'Paste Financial Sched.'!F11,"Change","No Change")</f>
        <v>No Change</v>
      </c>
      <c r="L33" s="91" t="str">
        <f>+IF('Paste Financial Sched.'!H11&lt;&gt;'Paste Financial Sched.'!G11,"Change","No Change")</f>
        <v>No Change</v>
      </c>
      <c r="M33" s="91" t="str">
        <f>+IF('Paste Financial Sched.'!I11&lt;&gt;'Paste Financial Sched.'!H11,"Change","No Change")</f>
        <v>No Change</v>
      </c>
      <c r="N33" s="91" t="str">
        <f>+IF('Paste Financial Sched.'!J11&lt;&gt;'Paste Financial Sched.'!I11,"Change","No Change")</f>
        <v>No Change</v>
      </c>
      <c r="O33" s="91" t="str">
        <f>+IF('Paste Financial Sched.'!K11&lt;&gt;'Paste Financial Sched.'!J11,"Change","No Change")</f>
        <v>No Change</v>
      </c>
      <c r="P33" s="91" t="str">
        <f>+IF('Paste Financial Sched.'!L11&lt;&gt;'Paste Financial Sched.'!K11,"Change","No Change")</f>
        <v>No Change</v>
      </c>
      <c r="Q33" s="91" t="str">
        <f>+IF('Paste Financial Sched.'!M11&lt;&gt;'Paste Financial Sched.'!L11,"Change","No Change")</f>
        <v>No Change</v>
      </c>
      <c r="R33" s="91" t="str">
        <f>+IF('Paste Financial Sched.'!N11&lt;&gt;'Paste Financial Sched.'!M11,"Change","No Change")</f>
        <v>No Change</v>
      </c>
      <c r="S33" s="91" t="str">
        <f>+IF('Paste Financial Sched.'!O11&lt;&gt;'Paste Financial Sched.'!N11,"Change","No Change")</f>
        <v>No Change</v>
      </c>
      <c r="T33" s="91" t="str">
        <f>+IF('Paste Financial Sched.'!P11&lt;&gt;'Paste Financial Sched.'!O11,"Change","No Change")</f>
        <v>No Change</v>
      </c>
      <c r="U33" s="91" t="str">
        <f>+IF('Paste Financial Sched.'!Q11&lt;&gt;'Paste Financial Sched.'!P11,"Change","No Change")</f>
        <v>No Change</v>
      </c>
      <c r="V33" s="91" t="str">
        <f>+IF('Paste Financial Sched.'!R11&lt;&gt;'Paste Financial Sched.'!Q11,"Change","No Change")</f>
        <v>No Change</v>
      </c>
      <c r="W33" s="91" t="str">
        <f>+IF('Paste Financial Sched.'!S11&lt;&gt;'Paste Financial Sched.'!R11,"Change","No Change")</f>
        <v>No Change</v>
      </c>
      <c r="X33" s="91" t="str">
        <f>+IF('Paste Financial Sched.'!T11&lt;&gt;'Paste Financial Sched.'!S11,"Change","No Change")</f>
        <v>No Change</v>
      </c>
      <c r="Y33" s="92" t="str">
        <f>+IF('Paste Financial Sched.'!U11&lt;&gt;'Paste Financial Sched.'!T11,"Change","No Change")</f>
        <v>No Change</v>
      </c>
      <c r="Z33" s="23"/>
    </row>
    <row r="34" spans="1:26" ht="14.65" thickBot="1" x14ac:dyDescent="0.5">
      <c r="A34" s="21"/>
      <c r="B34" s="24"/>
      <c r="C34" s="24"/>
      <c r="D34" s="24"/>
      <c r="E34" s="99" t="s">
        <v>245</v>
      </c>
      <c r="F34" s="100">
        <f ca="1">+IF(AVERAGE('Paste Financial Sched.'!C11:U11)='Paste Financial Sched.'!C11,'Paste Financial Sched.'!C11,OFFSET('Paste Financial Sched.'!B11,0,MATCH("Change",G33:Y33,0)+1))/100</f>
        <v>0.02</v>
      </c>
      <c r="G34" s="20" t="s">
        <v>246</v>
      </c>
      <c r="H34" s="94"/>
      <c r="I34" s="94"/>
      <c r="J34" s="94"/>
      <c r="K34" s="94"/>
      <c r="L34" s="94"/>
      <c r="M34" s="94"/>
      <c r="N34" s="94"/>
      <c r="O34" s="94"/>
      <c r="P34" s="94"/>
      <c r="Q34" s="94"/>
      <c r="R34" s="94"/>
      <c r="S34" s="94"/>
      <c r="T34" s="94"/>
      <c r="U34" s="94"/>
      <c r="V34" s="94"/>
      <c r="W34" s="94"/>
      <c r="X34" s="94"/>
      <c r="Y34" s="95"/>
      <c r="Z34" s="23"/>
    </row>
    <row r="35" spans="1:26" ht="14.65" thickBot="1" x14ac:dyDescent="0.5">
      <c r="A35" s="21"/>
      <c r="B35" s="24"/>
      <c r="C35" s="24"/>
      <c r="D35" s="24"/>
      <c r="E35" s="101"/>
      <c r="F35" s="102"/>
      <c r="G35" s="103" t="s">
        <v>241</v>
      </c>
      <c r="H35" s="104"/>
      <c r="I35" s="104"/>
      <c r="J35" s="104"/>
      <c r="K35" s="104"/>
      <c r="L35" s="104"/>
      <c r="M35" s="104"/>
      <c r="N35" s="104"/>
      <c r="O35" s="104"/>
      <c r="P35" s="104"/>
      <c r="Q35" s="104"/>
      <c r="R35" s="104"/>
      <c r="S35" s="104"/>
      <c r="T35" s="104"/>
      <c r="U35" s="104"/>
      <c r="V35" s="104"/>
      <c r="W35" s="104"/>
      <c r="X35" s="104"/>
      <c r="Y35" s="39"/>
      <c r="Z35" s="23"/>
    </row>
    <row r="36" spans="1:26" ht="14.65" thickBot="1" x14ac:dyDescent="0.5">
      <c r="A36" s="21"/>
      <c r="B36" s="24"/>
      <c r="C36" s="24"/>
      <c r="D36" s="24"/>
      <c r="E36" s="24"/>
      <c r="F36" s="24"/>
      <c r="G36" s="24"/>
      <c r="H36" s="24"/>
      <c r="I36" s="24"/>
      <c r="J36" s="24"/>
      <c r="K36" s="24"/>
      <c r="L36" s="24"/>
      <c r="M36" s="24"/>
      <c r="N36" s="24"/>
      <c r="O36" s="24"/>
      <c r="P36" s="24"/>
      <c r="Q36" s="24"/>
      <c r="R36" s="24"/>
      <c r="S36" s="24"/>
      <c r="T36" s="24"/>
      <c r="U36" s="24"/>
      <c r="V36" s="24"/>
      <c r="W36" s="24"/>
      <c r="X36" s="24"/>
      <c r="Y36" s="24"/>
      <c r="Z36" s="23"/>
    </row>
    <row r="37" spans="1:26" x14ac:dyDescent="0.45">
      <c r="A37" s="21"/>
      <c r="B37" s="24"/>
      <c r="C37" s="1169" t="s">
        <v>247</v>
      </c>
      <c r="D37" s="1170"/>
      <c r="E37" s="105" t="str">
        <f>+'Paste Financial Sched.'!A12</f>
        <v>Inflation Rate on Capital Needs%</v>
      </c>
      <c r="F37" s="31"/>
      <c r="G37" s="31"/>
      <c r="H37" s="31"/>
      <c r="I37" s="31"/>
      <c r="J37" s="31"/>
      <c r="K37" s="31"/>
      <c r="L37" s="31"/>
      <c r="M37" s="31"/>
      <c r="N37" s="31"/>
      <c r="O37" s="31"/>
      <c r="P37" s="31"/>
      <c r="Q37" s="31"/>
      <c r="R37" s="31"/>
      <c r="S37" s="31"/>
      <c r="T37" s="31"/>
      <c r="U37" s="31"/>
      <c r="V37" s="31"/>
      <c r="W37" s="31"/>
      <c r="X37" s="31"/>
      <c r="Y37" s="33"/>
      <c r="Z37" s="23"/>
    </row>
    <row r="38" spans="1:26" x14ac:dyDescent="0.45">
      <c r="A38" s="21"/>
      <c r="B38" s="24"/>
      <c r="C38" s="1169"/>
      <c r="D38" s="1170"/>
      <c r="E38" s="85" t="s">
        <v>248</v>
      </c>
      <c r="F38" s="86">
        <f>+'Paste Financial Sched.'!B12/100</f>
        <v>0</v>
      </c>
      <c r="H38" s="87"/>
      <c r="I38" s="87"/>
      <c r="J38" s="87"/>
      <c r="K38" s="87"/>
      <c r="L38" s="87"/>
      <c r="M38" s="87"/>
      <c r="N38" s="87"/>
      <c r="O38" s="87"/>
      <c r="P38" s="87"/>
      <c r="Q38" s="87"/>
      <c r="R38" s="87"/>
      <c r="S38" s="87"/>
      <c r="T38" s="87"/>
      <c r="U38" s="87"/>
      <c r="V38" s="87"/>
      <c r="W38" s="87"/>
      <c r="X38" s="87"/>
      <c r="Y38" s="88"/>
      <c r="Z38" s="23"/>
    </row>
    <row r="39" spans="1:26" x14ac:dyDescent="0.45">
      <c r="A39" s="21"/>
      <c r="B39" s="24"/>
      <c r="C39" s="1169"/>
      <c r="D39" s="1170"/>
      <c r="E39" s="98" t="s">
        <v>238</v>
      </c>
      <c r="F39" s="90">
        <f ca="1">+IF(AVERAGE('Paste Financial Sched.'!C12:U12)='Paste Financial Sched.'!C12,1,OFFSET(F15,0,MATCH("Change",G39:Y39,0))/12+1)</f>
        <v>1</v>
      </c>
      <c r="G39" s="91" t="s">
        <v>244</v>
      </c>
      <c r="H39" s="91" t="str">
        <f>+IF('Paste Financial Sched.'!D12&lt;&gt;'Paste Financial Sched.'!C12,"Change","No Change")</f>
        <v>No Change</v>
      </c>
      <c r="I39" s="91" t="str">
        <f>+IF('Paste Financial Sched.'!E12&lt;&gt;'Paste Financial Sched.'!D12,"Change","No Change")</f>
        <v>No Change</v>
      </c>
      <c r="J39" s="91" t="str">
        <f>+IF('Paste Financial Sched.'!F12&lt;&gt;'Paste Financial Sched.'!E12,"Change","No Change")</f>
        <v>No Change</v>
      </c>
      <c r="K39" s="91" t="str">
        <f>+IF('Paste Financial Sched.'!G12&lt;&gt;'Paste Financial Sched.'!F12,"Change","No Change")</f>
        <v>No Change</v>
      </c>
      <c r="L39" s="91" t="str">
        <f>+IF('Paste Financial Sched.'!H12&lt;&gt;'Paste Financial Sched.'!G12,"Change","No Change")</f>
        <v>No Change</v>
      </c>
      <c r="M39" s="91" t="str">
        <f>+IF('Paste Financial Sched.'!I12&lt;&gt;'Paste Financial Sched.'!H12,"Change","No Change")</f>
        <v>No Change</v>
      </c>
      <c r="N39" s="91" t="str">
        <f>+IF('Paste Financial Sched.'!J12&lt;&gt;'Paste Financial Sched.'!I12,"Change","No Change")</f>
        <v>No Change</v>
      </c>
      <c r="O39" s="91" t="str">
        <f>+IF('Paste Financial Sched.'!K12&lt;&gt;'Paste Financial Sched.'!J12,"Change","No Change")</f>
        <v>No Change</v>
      </c>
      <c r="P39" s="91" t="str">
        <f>+IF('Paste Financial Sched.'!L12&lt;&gt;'Paste Financial Sched.'!K12,"Change","No Change")</f>
        <v>No Change</v>
      </c>
      <c r="Q39" s="91" t="str">
        <f>+IF('Paste Financial Sched.'!M12&lt;&gt;'Paste Financial Sched.'!L12,"Change","No Change")</f>
        <v>No Change</v>
      </c>
      <c r="R39" s="91" t="str">
        <f>+IF('Paste Financial Sched.'!N12&lt;&gt;'Paste Financial Sched.'!M12,"Change","No Change")</f>
        <v>No Change</v>
      </c>
      <c r="S39" s="91" t="str">
        <f>+IF('Paste Financial Sched.'!O12&lt;&gt;'Paste Financial Sched.'!N12,"Change","No Change")</f>
        <v>No Change</v>
      </c>
      <c r="T39" s="91" t="str">
        <f>+IF('Paste Financial Sched.'!P12&lt;&gt;'Paste Financial Sched.'!O12,"Change","No Change")</f>
        <v>No Change</v>
      </c>
      <c r="U39" s="91" t="str">
        <f>+IF('Paste Financial Sched.'!Q12&lt;&gt;'Paste Financial Sched.'!P12,"Change","No Change")</f>
        <v>No Change</v>
      </c>
      <c r="V39" s="91" t="str">
        <f>+IF('Paste Financial Sched.'!R12&lt;&gt;'Paste Financial Sched.'!Q12,"Change","No Change")</f>
        <v>No Change</v>
      </c>
      <c r="W39" s="91" t="str">
        <f>+IF('Paste Financial Sched.'!S12&lt;&gt;'Paste Financial Sched.'!R12,"Change","No Change")</f>
        <v>No Change</v>
      </c>
      <c r="X39" s="91" t="str">
        <f>+IF('Paste Financial Sched.'!T12&lt;&gt;'Paste Financial Sched.'!S12,"Change","No Change")</f>
        <v>No Change</v>
      </c>
      <c r="Y39" s="92" t="str">
        <f>+IF('Paste Financial Sched.'!U12&lt;&gt;'Paste Financial Sched.'!T12,"Change","No Change")</f>
        <v>No Change</v>
      </c>
      <c r="Z39" s="23"/>
    </row>
    <row r="40" spans="1:26" ht="14.65" thickBot="1" x14ac:dyDescent="0.5">
      <c r="A40" s="21"/>
      <c r="B40" s="24"/>
      <c r="C40" s="1169"/>
      <c r="D40" s="1170"/>
      <c r="E40" s="99" t="s">
        <v>239</v>
      </c>
      <c r="F40" s="100">
        <f ca="1">+IF(AVERAGE('Paste Financial Sched.'!C12:U12)='Paste Financial Sched.'!C12,'Paste Financial Sched.'!C12,OFFSET('Paste Financial Sched.'!B12,0,MATCH("Change",G39:Y39,0)+1))/100</f>
        <v>0.02</v>
      </c>
      <c r="G40" s="20" t="s">
        <v>249</v>
      </c>
      <c r="H40" s="94"/>
      <c r="I40" s="94"/>
      <c r="J40" s="94"/>
      <c r="K40" s="94"/>
      <c r="L40" s="94"/>
      <c r="M40" s="94"/>
      <c r="N40" s="94"/>
      <c r="O40" s="94"/>
      <c r="P40" s="94"/>
      <c r="Q40" s="94"/>
      <c r="R40" s="94"/>
      <c r="S40" s="94"/>
      <c r="T40" s="94"/>
      <c r="U40" s="94"/>
      <c r="V40" s="94"/>
      <c r="W40" s="94"/>
      <c r="X40" s="94"/>
      <c r="Y40" s="95"/>
      <c r="Z40" s="23"/>
    </row>
    <row r="41" spans="1:26" ht="14.65" thickBot="1" x14ac:dyDescent="0.5">
      <c r="A41" s="21"/>
      <c r="B41" s="24"/>
      <c r="C41" s="205"/>
      <c r="D41" s="206"/>
      <c r="E41" s="101"/>
      <c r="F41" s="102"/>
      <c r="G41" s="103" t="s">
        <v>241</v>
      </c>
      <c r="H41" s="104"/>
      <c r="I41" s="104"/>
      <c r="J41" s="104"/>
      <c r="K41" s="104"/>
      <c r="L41" s="104"/>
      <c r="M41" s="104"/>
      <c r="N41" s="104"/>
      <c r="O41" s="104"/>
      <c r="P41" s="104"/>
      <c r="Q41" s="104"/>
      <c r="R41" s="104"/>
      <c r="S41" s="104"/>
      <c r="T41" s="104"/>
      <c r="U41" s="104"/>
      <c r="V41" s="104"/>
      <c r="W41" s="104"/>
      <c r="X41" s="104"/>
      <c r="Y41" s="39"/>
      <c r="Z41" s="23"/>
    </row>
    <row r="42" spans="1:26" ht="14.65" thickBot="1" x14ac:dyDescent="0.5">
      <c r="A42" s="21"/>
      <c r="B42" s="24"/>
      <c r="C42" s="106"/>
      <c r="D42" s="107"/>
      <c r="E42" s="24"/>
      <c r="F42" s="24"/>
      <c r="G42" s="24"/>
      <c r="H42" s="24"/>
      <c r="I42" s="24"/>
      <c r="J42" s="24"/>
      <c r="K42" s="24"/>
      <c r="L42" s="24"/>
      <c r="M42" s="24"/>
      <c r="N42" s="24"/>
      <c r="O42" s="24"/>
      <c r="P42" s="24"/>
      <c r="Q42" s="24"/>
      <c r="R42" s="24"/>
      <c r="S42" s="24"/>
      <c r="T42" s="24"/>
      <c r="U42" s="24"/>
      <c r="V42" s="24"/>
      <c r="W42" s="24"/>
      <c r="X42" s="24"/>
      <c r="Y42" s="24"/>
      <c r="Z42" s="23"/>
    </row>
    <row r="43" spans="1:26" x14ac:dyDescent="0.45">
      <c r="A43" s="108" t="s">
        <v>250</v>
      </c>
      <c r="B43" s="31"/>
      <c r="C43" s="31"/>
      <c r="D43" s="33"/>
      <c r="E43" s="34" t="str">
        <f t="shared" ref="E43:Y43" si="14">+E8</f>
        <v>Year</v>
      </c>
      <c r="F43" s="35" t="str">
        <f t="shared" si="14"/>
        <v>Year 01</v>
      </c>
      <c r="G43" s="35" t="str">
        <f t="shared" si="14"/>
        <v>Year 02</v>
      </c>
      <c r="H43" s="35" t="str">
        <f t="shared" si="14"/>
        <v>Year 03</v>
      </c>
      <c r="I43" s="35" t="str">
        <f t="shared" si="14"/>
        <v>Year 04</v>
      </c>
      <c r="J43" s="35" t="str">
        <f t="shared" si="14"/>
        <v>Year 05</v>
      </c>
      <c r="K43" s="35" t="str">
        <f t="shared" si="14"/>
        <v>Year 06</v>
      </c>
      <c r="L43" s="35" t="str">
        <f t="shared" si="14"/>
        <v>Year 07</v>
      </c>
      <c r="M43" s="35" t="str">
        <f t="shared" si="14"/>
        <v>Year 08</v>
      </c>
      <c r="N43" s="35" t="str">
        <f t="shared" si="14"/>
        <v>Year 09</v>
      </c>
      <c r="O43" s="35" t="str">
        <f t="shared" si="14"/>
        <v>Year 10</v>
      </c>
      <c r="P43" s="35" t="str">
        <f t="shared" si="14"/>
        <v>Year 11</v>
      </c>
      <c r="Q43" s="35" t="str">
        <f t="shared" si="14"/>
        <v>Year 12</v>
      </c>
      <c r="R43" s="35" t="str">
        <f t="shared" si="14"/>
        <v>Year 13</v>
      </c>
      <c r="S43" s="35" t="str">
        <f t="shared" si="14"/>
        <v>Year 14</v>
      </c>
      <c r="T43" s="35" t="str">
        <f t="shared" si="14"/>
        <v>Year 15</v>
      </c>
      <c r="U43" s="35" t="str">
        <f t="shared" si="14"/>
        <v>Year 16</v>
      </c>
      <c r="V43" s="35" t="str">
        <f t="shared" si="14"/>
        <v>Year 17</v>
      </c>
      <c r="W43" s="35" t="str">
        <f t="shared" si="14"/>
        <v>Year 18</v>
      </c>
      <c r="X43" s="35" t="str">
        <f t="shared" si="14"/>
        <v>Year 19</v>
      </c>
      <c r="Y43" s="36" t="str">
        <f t="shared" si="14"/>
        <v>Year 20</v>
      </c>
      <c r="Z43" s="23"/>
    </row>
    <row r="44" spans="1:26" ht="14.65" thickBot="1" x14ac:dyDescent="0.5">
      <c r="A44" s="109" t="s">
        <v>251</v>
      </c>
      <c r="B44" s="104"/>
      <c r="C44" s="104"/>
      <c r="D44" s="39"/>
      <c r="E44" s="53" t="str">
        <f t="shared" ref="E44:Y44" si="15">+E15</f>
        <v>Allowance for RfR deficit offset @50.00%</v>
      </c>
      <c r="F44" s="54">
        <f t="shared" si="15"/>
        <v>181059.54421445914</v>
      </c>
      <c r="G44" s="54">
        <f t="shared" si="15"/>
        <v>366697.80492419936</v>
      </c>
      <c r="H44" s="54">
        <f t="shared" si="15"/>
        <v>557030.57080434822</v>
      </c>
      <c r="I44" s="54">
        <f t="shared" si="15"/>
        <v>752176.5586469695</v>
      </c>
      <c r="J44" s="54">
        <f t="shared" si="15"/>
        <v>952257.4874086082</v>
      </c>
      <c r="K44" s="54">
        <f t="shared" si="15"/>
        <v>1157398.1541304141</v>
      </c>
      <c r="L44" s="54">
        <f t="shared" si="15"/>
        <v>1367726.5117781404</v>
      </c>
      <c r="M44" s="54">
        <f t="shared" si="15"/>
        <v>1583373.7490506023</v>
      </c>
      <c r="N44" s="54">
        <f t="shared" si="15"/>
        <v>1804474.3722063983</v>
      </c>
      <c r="O44" s="54">
        <f t="shared" si="15"/>
        <v>2031166.2889598487</v>
      </c>
      <c r="P44" s="54">
        <f t="shared" si="15"/>
        <v>2263590.8944985745</v>
      </c>
      <c r="Q44" s="54">
        <f t="shared" si="15"/>
        <v>2501893.1596763274</v>
      </c>
      <c r="R44" s="54">
        <f t="shared" si="15"/>
        <v>2746221.7214360489</v>
      </c>
      <c r="S44" s="54">
        <f t="shared" si="15"/>
        <v>2996728.9755196162</v>
      </c>
      <c r="T44" s="54">
        <f t="shared" si="15"/>
        <v>3253571.1715220837</v>
      </c>
      <c r="U44" s="54">
        <f t="shared" si="15"/>
        <v>3516908.510349649</v>
      </c>
      <c r="V44" s="54">
        <f t="shared" si="15"/>
        <v>3786905.244142253</v>
      </c>
      <c r="W44" s="54">
        <f t="shared" si="15"/>
        <v>4063729.7787229968</v>
      </c>
      <c r="X44" s="54">
        <f t="shared" si="15"/>
        <v>4347554.7786384076</v>
      </c>
      <c r="Y44" s="55">
        <f t="shared" si="15"/>
        <v>4638557.2748549618</v>
      </c>
      <c r="Z44" s="23"/>
    </row>
    <row r="45" spans="1:26" x14ac:dyDescent="0.45">
      <c r="A45" s="21"/>
      <c r="B45" s="24"/>
      <c r="C45" s="24"/>
      <c r="D45" s="24"/>
      <c r="E45" s="110"/>
      <c r="F45" s="69"/>
      <c r="G45" s="69"/>
      <c r="H45" s="69"/>
      <c r="I45" s="69"/>
      <c r="J45" s="69"/>
      <c r="K45" s="69"/>
      <c r="L45" s="69"/>
      <c r="M45" s="69"/>
      <c r="N45" s="69"/>
      <c r="O45" s="69"/>
      <c r="P45" s="69"/>
      <c r="Q45" s="69"/>
      <c r="R45" s="69"/>
      <c r="S45" s="69"/>
      <c r="T45" s="69"/>
      <c r="U45" s="69"/>
      <c r="V45" s="69"/>
      <c r="W45" s="69"/>
      <c r="X45" s="69"/>
      <c r="Y45" s="111"/>
      <c r="Z45" s="23"/>
    </row>
    <row r="46" spans="1:26" x14ac:dyDescent="0.45">
      <c r="A46" s="21"/>
      <c r="B46" s="24"/>
      <c r="C46" s="24"/>
      <c r="D46" s="24"/>
      <c r="E46" s="59" t="s">
        <v>252</v>
      </c>
      <c r="F46" s="112">
        <f ca="1">+'Trial Deposits Engine'!H79</f>
        <v>725130.25</v>
      </c>
      <c r="G46" s="112">
        <f ca="1">+'Trial Deposits Engine'!I79</f>
        <v>990988.27249999996</v>
      </c>
      <c r="H46" s="112">
        <f ca="1">+'Trial Deposits Engine'!J79</f>
        <v>924537.53098749998</v>
      </c>
      <c r="I46" s="112">
        <f ca="1">+'Trial Deposits Engine'!K79</f>
        <v>919611.60544031253</v>
      </c>
      <c r="J46" s="112">
        <f ca="1">+'Trial Deposits Engine'!L79</f>
        <v>693744.4796396771</v>
      </c>
      <c r="K46" s="112">
        <f ca="1">+'Trial Deposits Engine'!M79</f>
        <v>510675.35735438741</v>
      </c>
      <c r="L46" s="112">
        <f ca="1">+'Trial Deposits Engine'!N79</f>
        <v>377894.07284522068</v>
      </c>
      <c r="M46" s="112">
        <f ca="1">+'Trial Deposits Engine'!O79</f>
        <v>401502.72337102686</v>
      </c>
      <c r="N46" s="112">
        <f ca="1">+'Trial Deposits Engine'!P79</f>
        <v>480981.93704338267</v>
      </c>
      <c r="O46" s="112">
        <f ca="1">+'Trial Deposits Engine'!Q79</f>
        <v>433773.61557725974</v>
      </c>
      <c r="P46" s="112">
        <f ca="1">+'Trial Deposits Engine'!R79</f>
        <v>-110703.27092129062</v>
      </c>
      <c r="Q46" s="112">
        <f ca="1">+'Trial Deposits Engine'!S79</f>
        <v>-610983.27226814406</v>
      </c>
      <c r="R46" s="112">
        <f ca="1">+'Trial Deposits Engine'!T79</f>
        <v>-1017555.9606419345</v>
      </c>
      <c r="S46" s="112">
        <f ca="1">+'Trial Deposits Engine'!U79</f>
        <v>-966079.49998320092</v>
      </c>
      <c r="T46" s="112">
        <f ca="1">+'Trial Deposits Engine'!V79</f>
        <v>-1341212.1823112925</v>
      </c>
      <c r="U46" s="112">
        <f ca="1">+'Trial Deposits Engine'!W79</f>
        <v>-1670061.927285946</v>
      </c>
      <c r="V46" s="112">
        <f ca="1">+'Trial Deposits Engine'!X79</f>
        <v>-1956866.8807600925</v>
      </c>
      <c r="W46" s="112">
        <f ca="1">+'Trial Deposits Engine'!Y79</f>
        <v>-1910382.6323037217</v>
      </c>
      <c r="X46" s="112">
        <f ca="1">+'Trial Deposits Engine'!Z79</f>
        <v>-1717781.0116782237</v>
      </c>
      <c r="Y46" s="113">
        <f ca="1">+'Trial Deposits Engine'!AA79</f>
        <v>-1502517.4942402157</v>
      </c>
      <c r="Z46" s="23"/>
    </row>
    <row r="47" spans="1:26" x14ac:dyDescent="0.45">
      <c r="A47" s="21"/>
      <c r="B47" s="24"/>
      <c r="C47" s="24"/>
      <c r="D47" s="24"/>
      <c r="E47" s="59" t="str">
        <f t="shared" ref="E47:Y47" si="16">+E18</f>
        <v>Req. Min. Balance (from eTool data)</v>
      </c>
      <c r="F47" s="63">
        <f t="shared" si="16"/>
        <v>335249.58</v>
      </c>
      <c r="G47" s="63">
        <f t="shared" si="16"/>
        <v>341954.57</v>
      </c>
      <c r="H47" s="63">
        <f t="shared" si="16"/>
        <v>348793.66</v>
      </c>
      <c r="I47" s="63">
        <f t="shared" si="16"/>
        <v>355769.54</v>
      </c>
      <c r="J47" s="63">
        <f t="shared" si="16"/>
        <v>362884.93</v>
      </c>
      <c r="K47" s="63">
        <f t="shared" si="16"/>
        <v>370142.63</v>
      </c>
      <c r="L47" s="63">
        <f t="shared" si="16"/>
        <v>377545.48</v>
      </c>
      <c r="M47" s="63">
        <f t="shared" si="16"/>
        <v>385096.39</v>
      </c>
      <c r="N47" s="63">
        <f t="shared" si="16"/>
        <v>392798.32</v>
      </c>
      <c r="O47" s="63">
        <f t="shared" si="16"/>
        <v>400654.28</v>
      </c>
      <c r="P47" s="63">
        <f t="shared" si="16"/>
        <v>408667.37</v>
      </c>
      <c r="Q47" s="63">
        <f t="shared" si="16"/>
        <v>416840.71</v>
      </c>
      <c r="R47" s="63">
        <f t="shared" si="16"/>
        <v>425177.53</v>
      </c>
      <c r="S47" s="63">
        <f t="shared" si="16"/>
        <v>433681.08</v>
      </c>
      <c r="T47" s="63">
        <f t="shared" si="16"/>
        <v>442354.7</v>
      </c>
      <c r="U47" s="63">
        <f t="shared" si="16"/>
        <v>451201.8</v>
      </c>
      <c r="V47" s="63">
        <f t="shared" si="16"/>
        <v>460225.83</v>
      </c>
      <c r="W47" s="63">
        <f t="shared" si="16"/>
        <v>469430.35</v>
      </c>
      <c r="X47" s="63">
        <f t="shared" si="16"/>
        <v>478818.95</v>
      </c>
      <c r="Y47" s="64">
        <f t="shared" si="16"/>
        <v>488395.33</v>
      </c>
      <c r="Z47" s="23"/>
    </row>
    <row r="48" spans="1:26" x14ac:dyDescent="0.45">
      <c r="A48" s="21"/>
      <c r="B48" s="24"/>
      <c r="C48" s="24"/>
      <c r="D48" s="24"/>
      <c r="E48" s="59" t="s">
        <v>253</v>
      </c>
      <c r="F48" s="112">
        <f t="shared" ref="F48:Y48" ca="1" si="17">+F46-F47</f>
        <v>389880.67</v>
      </c>
      <c r="G48" s="112">
        <f t="shared" ca="1" si="17"/>
        <v>649033.7024999999</v>
      </c>
      <c r="H48" s="112">
        <f t="shared" ca="1" si="17"/>
        <v>575743.87098750006</v>
      </c>
      <c r="I48" s="112">
        <f t="shared" ca="1" si="17"/>
        <v>563842.06544031249</v>
      </c>
      <c r="J48" s="112">
        <f t="shared" ca="1" si="17"/>
        <v>330859.54963967711</v>
      </c>
      <c r="K48" s="112">
        <f t="shared" ca="1" si="17"/>
        <v>140532.7273543874</v>
      </c>
      <c r="L48" s="112">
        <f t="shared" ca="1" si="17"/>
        <v>348.59284522070084</v>
      </c>
      <c r="M48" s="112">
        <f t="shared" ca="1" si="17"/>
        <v>16406.333371026849</v>
      </c>
      <c r="N48" s="112">
        <f t="shared" ca="1" si="17"/>
        <v>88183.617043382663</v>
      </c>
      <c r="O48" s="112">
        <f t="shared" ca="1" si="17"/>
        <v>33119.335577259713</v>
      </c>
      <c r="P48" s="112">
        <f t="shared" ca="1" si="17"/>
        <v>-519370.64092129061</v>
      </c>
      <c r="Q48" s="112">
        <f t="shared" ca="1" si="17"/>
        <v>-1027823.9822681441</v>
      </c>
      <c r="R48" s="112">
        <f t="shared" ca="1" si="17"/>
        <v>-1442733.4906419346</v>
      </c>
      <c r="S48" s="112">
        <f t="shared" ca="1" si="17"/>
        <v>-1399760.5799832009</v>
      </c>
      <c r="T48" s="112">
        <f t="shared" ca="1" si="17"/>
        <v>-1783566.8823112925</v>
      </c>
      <c r="U48" s="112">
        <f t="shared" ca="1" si="17"/>
        <v>-2121263.7272859458</v>
      </c>
      <c r="V48" s="112">
        <f t="shared" ca="1" si="17"/>
        <v>-2417092.7107600924</v>
      </c>
      <c r="W48" s="112">
        <f t="shared" ca="1" si="17"/>
        <v>-2379812.9823037218</v>
      </c>
      <c r="X48" s="112">
        <f t="shared" ca="1" si="17"/>
        <v>-2196599.9616782237</v>
      </c>
      <c r="Y48" s="113">
        <f t="shared" ca="1" si="17"/>
        <v>-1990912.8242402158</v>
      </c>
      <c r="Z48" s="23"/>
    </row>
    <row r="49" spans="1:26" x14ac:dyDescent="0.45">
      <c r="A49" s="21"/>
      <c r="B49" s="24"/>
      <c r="C49" s="24"/>
      <c r="D49" s="24"/>
      <c r="E49" s="110"/>
      <c r="F49" s="69"/>
      <c r="G49" s="69"/>
      <c r="H49" s="69"/>
      <c r="I49" s="69"/>
      <c r="J49" s="69"/>
      <c r="K49" s="69"/>
      <c r="L49" s="69"/>
      <c r="M49" s="69"/>
      <c r="N49" s="69"/>
      <c r="O49" s="70" t="s">
        <v>225</v>
      </c>
      <c r="P49" s="71">
        <f t="shared" ref="P49:Y49" ca="1" si="18">+P15+P48</f>
        <v>1744220.253577284</v>
      </c>
      <c r="Q49" s="71">
        <f t="shared" ca="1" si="18"/>
        <v>1474069.1774081832</v>
      </c>
      <c r="R49" s="71">
        <f t="shared" ca="1" si="18"/>
        <v>1303488.2307941143</v>
      </c>
      <c r="S49" s="71">
        <f t="shared" ca="1" si="18"/>
        <v>1596968.3955364153</v>
      </c>
      <c r="T49" s="71">
        <f t="shared" ca="1" si="18"/>
        <v>1470004.2892107912</v>
      </c>
      <c r="U49" s="71">
        <f t="shared" ca="1" si="18"/>
        <v>1395644.7830637032</v>
      </c>
      <c r="V49" s="71">
        <f t="shared" ca="1" si="18"/>
        <v>1369812.5333821606</v>
      </c>
      <c r="W49" s="71">
        <f t="shared" ca="1" si="18"/>
        <v>1683916.796419275</v>
      </c>
      <c r="X49" s="71">
        <f t="shared" ca="1" si="18"/>
        <v>2150954.8169601839</v>
      </c>
      <c r="Y49" s="72">
        <f t="shared" ca="1" si="18"/>
        <v>2647644.4506147457</v>
      </c>
      <c r="Z49" s="23"/>
    </row>
    <row r="50" spans="1:26" ht="14.65" thickBot="1" x14ac:dyDescent="0.5">
      <c r="A50" s="21"/>
      <c r="B50" s="24"/>
      <c r="C50" s="24"/>
      <c r="D50" s="24"/>
      <c r="E50" s="114"/>
      <c r="F50" s="115"/>
      <c r="G50" s="115"/>
      <c r="H50" s="115"/>
      <c r="I50" s="115"/>
      <c r="J50" s="115"/>
      <c r="K50" s="115"/>
      <c r="L50" s="115"/>
      <c r="M50" s="116"/>
      <c r="N50" s="116"/>
      <c r="O50" s="117" t="s">
        <v>228</v>
      </c>
      <c r="P50" s="80" t="str">
        <f t="shared" ref="P50:Y50" ca="1" si="19">+IF(P48&gt;0,"OK",IF(P15&gt;=-P48,"OK","Not OK"))</f>
        <v>OK</v>
      </c>
      <c r="Q50" s="80" t="str">
        <f t="shared" ca="1" si="19"/>
        <v>OK</v>
      </c>
      <c r="R50" s="80" t="str">
        <f t="shared" ca="1" si="19"/>
        <v>OK</v>
      </c>
      <c r="S50" s="80" t="str">
        <f t="shared" ca="1" si="19"/>
        <v>OK</v>
      </c>
      <c r="T50" s="80" t="str">
        <f t="shared" ca="1" si="19"/>
        <v>OK</v>
      </c>
      <c r="U50" s="80" t="str">
        <f t="shared" ca="1" si="19"/>
        <v>OK</v>
      </c>
      <c r="V50" s="80" t="str">
        <f t="shared" ca="1" si="19"/>
        <v>OK</v>
      </c>
      <c r="W50" s="80" t="str">
        <f t="shared" ca="1" si="19"/>
        <v>OK</v>
      </c>
      <c r="X50" s="80" t="str">
        <f t="shared" ca="1" si="19"/>
        <v>OK</v>
      </c>
      <c r="Y50" s="118" t="str">
        <f t="shared" ca="1" si="19"/>
        <v>OK</v>
      </c>
      <c r="Z50" s="23"/>
    </row>
    <row r="51" spans="1:26" x14ac:dyDescent="0.45">
      <c r="A51" s="21"/>
      <c r="B51" s="24"/>
      <c r="C51" s="24"/>
      <c r="D51" s="24"/>
      <c r="E51" s="81" t="s">
        <v>254</v>
      </c>
      <c r="F51" s="83">
        <f t="shared" ref="F51:Y51" ca="1" si="20">-+F48/F14</f>
        <v>-1.0766642313486634</v>
      </c>
      <c r="G51" s="83">
        <f t="shared" ca="1" si="20"/>
        <v>-0.88497080400326178</v>
      </c>
      <c r="H51" s="83">
        <f t="shared" ca="1" si="20"/>
        <v>-0.51679737267932169</v>
      </c>
      <c r="I51" s="83">
        <f t="shared" ca="1" si="20"/>
        <v>-0.37480699109698595</v>
      </c>
      <c r="J51" s="83">
        <f t="shared" ca="1" si="20"/>
        <v>-0.17372378480323106</v>
      </c>
      <c r="K51" s="83">
        <f t="shared" ca="1" si="20"/>
        <v>-6.0710623588290415E-2</v>
      </c>
      <c r="L51" s="83">
        <f t="shared" ca="1" si="20"/>
        <v>-1.2743514226667496E-4</v>
      </c>
      <c r="M51" s="83">
        <f t="shared" ca="1" si="20"/>
        <v>-5.1808151363075703E-3</v>
      </c>
      <c r="N51" s="83">
        <f t="shared" ca="1" si="20"/>
        <v>-2.4434710296150467E-2</v>
      </c>
      <c r="O51" s="83">
        <f t="shared" ca="1" si="20"/>
        <v>-8.1527878237433668E-3</v>
      </c>
      <c r="P51" s="83">
        <f t="shared" ca="1" si="20"/>
        <v>0.11472272710222675</v>
      </c>
      <c r="Q51" s="83">
        <f t="shared" ca="1" si="20"/>
        <v>0.20540924745186059</v>
      </c>
      <c r="R51" s="83">
        <f t="shared" ca="1" si="20"/>
        <v>0.26267607589373798</v>
      </c>
      <c r="S51" s="83">
        <f t="shared" ca="1" si="20"/>
        <v>0.23354807715644191</v>
      </c>
      <c r="T51" s="83">
        <f t="shared" ca="1" si="20"/>
        <v>0.27409372475428367</v>
      </c>
      <c r="U51" s="83">
        <f t="shared" ca="1" si="20"/>
        <v>0.30158073789002987</v>
      </c>
      <c r="V51" s="83">
        <f t="shared" ca="1" si="20"/>
        <v>0.31913826131495565</v>
      </c>
      <c r="W51" s="83">
        <f t="shared" ca="1" si="20"/>
        <v>0.29281142102066199</v>
      </c>
      <c r="X51" s="83">
        <f t="shared" ca="1" si="20"/>
        <v>0.25262475960868369</v>
      </c>
      <c r="Y51" s="83">
        <f t="shared" ca="1" si="20"/>
        <v>0.21460474736753871</v>
      </c>
      <c r="Z51" s="23"/>
    </row>
    <row r="52" spans="1:26" ht="14.65" thickBot="1" x14ac:dyDescent="0.5">
      <c r="A52" s="21"/>
      <c r="B52" s="24"/>
      <c r="C52" s="24"/>
      <c r="D52" s="24"/>
      <c r="E52" s="27"/>
      <c r="F52" s="27"/>
      <c r="G52" s="27"/>
      <c r="H52" s="27"/>
      <c r="I52" s="27"/>
      <c r="J52" s="27"/>
      <c r="K52" s="27"/>
      <c r="L52" s="27"/>
      <c r="M52" s="27"/>
      <c r="N52" s="27"/>
      <c r="O52" s="27"/>
      <c r="P52" s="27"/>
      <c r="Q52" s="27"/>
      <c r="R52" s="27"/>
      <c r="S52" s="27"/>
      <c r="T52" s="27"/>
      <c r="U52" s="27"/>
      <c r="V52" s="27"/>
      <c r="W52" s="27"/>
      <c r="X52" s="27"/>
      <c r="Y52" s="27"/>
      <c r="Z52" s="23"/>
    </row>
    <row r="53" spans="1:26" x14ac:dyDescent="0.45">
      <c r="A53" s="119" t="s">
        <v>255</v>
      </c>
      <c r="B53" s="31"/>
      <c r="C53" s="31"/>
      <c r="D53" s="120" t="s">
        <v>256</v>
      </c>
      <c r="E53" s="121" t="s">
        <v>257</v>
      </c>
      <c r="F53" s="122">
        <f>+'Trial Deposits Engine'!H60+'Trial Deposits Engine'!H69</f>
        <v>720461</v>
      </c>
      <c r="G53" s="122">
        <f ca="1">+'Trial Deposits Engine'!I69</f>
        <v>258606.72</v>
      </c>
      <c r="H53" s="122">
        <f ca="1">+'Trial Deposits Engine'!J69</f>
        <v>263778.85440000001</v>
      </c>
      <c r="I53" s="122">
        <f ca="1">+'Trial Deposits Engine'!K69</f>
        <v>269054.43148799997</v>
      </c>
      <c r="J53" s="122">
        <f ca="1">+'Trial Deposits Engine'!L69</f>
        <v>274435.52011776</v>
      </c>
      <c r="K53" s="122">
        <f ca="1">+'Trial Deposits Engine'!M69</f>
        <v>279924.23052011523</v>
      </c>
      <c r="L53" s="122">
        <f ca="1">+'Trial Deposits Engine'!N69</f>
        <v>285522.71513051749</v>
      </c>
      <c r="M53" s="122">
        <f ca="1">+'Trial Deposits Engine'!O69</f>
        <v>291233.16943312786</v>
      </c>
      <c r="N53" s="122">
        <f ca="1">+'Trial Deposits Engine'!P69</f>
        <v>297057.83282179048</v>
      </c>
      <c r="O53" s="122">
        <f ca="1">+'Trial Deposits Engine'!Q69</f>
        <v>302998.98947822629</v>
      </c>
      <c r="P53" s="122">
        <f ca="1">+'Trial Deposits Engine'!R69</f>
        <v>309058.96926779079</v>
      </c>
      <c r="Q53" s="122">
        <f ca="1">+'Trial Deposits Engine'!S69</f>
        <v>315240.14865314658</v>
      </c>
      <c r="R53" s="122">
        <f ca="1">+'Trial Deposits Engine'!T69</f>
        <v>321544.95162620954</v>
      </c>
      <c r="S53" s="122">
        <f ca="1">+'Trial Deposits Engine'!U69</f>
        <v>327975.85065873369</v>
      </c>
      <c r="T53" s="122">
        <f ca="1">+'Trial Deposits Engine'!V69</f>
        <v>334535.3676719084</v>
      </c>
      <c r="U53" s="122">
        <f ca="1">+'Trial Deposits Engine'!W69</f>
        <v>341226.0750253466</v>
      </c>
      <c r="V53" s="122">
        <f ca="1">+'Trial Deposits Engine'!X69</f>
        <v>348050.5965258535</v>
      </c>
      <c r="W53" s="122">
        <f ca="1">+'Trial Deposits Engine'!Y69</f>
        <v>355011.60845637065</v>
      </c>
      <c r="X53" s="122">
        <f ca="1">+'Trial Deposits Engine'!Z69</f>
        <v>362111.84062549804</v>
      </c>
      <c r="Y53" s="123">
        <f ca="1">+'Trial Deposits Engine'!AA69</f>
        <v>369354.07743800798</v>
      </c>
      <c r="Z53" s="23"/>
    </row>
    <row r="54" spans="1:26" ht="14.65" thickBot="1" x14ac:dyDescent="0.5">
      <c r="A54" s="109"/>
      <c r="B54" s="115"/>
      <c r="C54" s="104"/>
      <c r="D54" s="39" t="s">
        <v>258</v>
      </c>
      <c r="E54" s="78" t="str">
        <f>+'Paste Financial Sched.'!A7</f>
        <v>Inflated Needs (Withdrawal)</v>
      </c>
      <c r="F54" s="124">
        <f>-'Paste Financial Sched.'!B7</f>
        <v>0</v>
      </c>
      <c r="G54" s="124">
        <f>-'Paste Financial Sched.'!C7</f>
        <v>0</v>
      </c>
      <c r="H54" s="124">
        <f>-'Paste Financial Sched.'!D7</f>
        <v>-345094.42</v>
      </c>
      <c r="I54" s="124">
        <f>-'Paste Financial Sched.'!E7</f>
        <v>-287848.42</v>
      </c>
      <c r="J54" s="124">
        <f>-'Paste Financial Sched.'!F7</f>
        <v>-514096.82</v>
      </c>
      <c r="K54" s="124">
        <f>-'Paste Financial Sched.'!G7</f>
        <v>-473399.52</v>
      </c>
      <c r="L54" s="124">
        <f>-'Paste Financial Sched.'!H7</f>
        <v>-425964.13</v>
      </c>
      <c r="M54" s="124">
        <f>-'Paste Financial Sched.'!I7</f>
        <v>-273292.93</v>
      </c>
      <c r="N54" s="124">
        <f>-'Paste Financial Sched.'!J7</f>
        <v>-223601.16</v>
      </c>
      <c r="O54" s="124">
        <f>-'Paste Financial Sched.'!K7</f>
        <v>-357422.04</v>
      </c>
      <c r="P54" s="124">
        <f>-'Paste Financial Sched.'!L7</f>
        <v>-860042.46</v>
      </c>
      <c r="Q54" s="124">
        <f>-'Paste Financial Sched.'!M7</f>
        <v>-815520.15</v>
      </c>
      <c r="R54" s="124">
        <f>-'Paste Financial Sched.'!N7</f>
        <v>-728117.64</v>
      </c>
      <c r="S54" s="124">
        <f>-'Paste Financial Sched.'!O7</f>
        <v>-276499.39</v>
      </c>
      <c r="T54" s="124">
        <f>-'Paste Financial Sched.'!P7</f>
        <v>-709668.05</v>
      </c>
      <c r="U54" s="124">
        <f>-'Paste Financial Sched.'!Q7</f>
        <v>-670075.81999999995</v>
      </c>
      <c r="V54" s="124">
        <f>-'Paste Financial Sched.'!R7</f>
        <v>-634855.55000000005</v>
      </c>
      <c r="W54" s="124">
        <f>-'Paste Financial Sched.'!S7</f>
        <v>-308527.35999999999</v>
      </c>
      <c r="X54" s="124">
        <f>-'Paste Financial Sched.'!T7</f>
        <v>-169510.22</v>
      </c>
      <c r="Y54" s="125">
        <f>-'Paste Financial Sched.'!U7</f>
        <v>-154090.56</v>
      </c>
      <c r="Z54" s="23"/>
    </row>
    <row r="55" spans="1:26" x14ac:dyDescent="0.45">
      <c r="A55" s="21"/>
      <c r="B55" s="65"/>
      <c r="C55" s="24"/>
      <c r="D55" s="24"/>
      <c r="E55" s="96"/>
      <c r="F55" s="69" t="str">
        <f>+'Paste Financial Sched.'!B1</f>
        <v>Year 01</v>
      </c>
      <c r="G55" s="69" t="str">
        <f>+'Paste Financial Sched.'!C1</f>
        <v>Year 02</v>
      </c>
      <c r="H55" s="69" t="str">
        <f>+'Paste Financial Sched.'!D1</f>
        <v>Year 03</v>
      </c>
      <c r="I55" s="69" t="str">
        <f>+'Paste Financial Sched.'!E1</f>
        <v>Year 04</v>
      </c>
      <c r="J55" s="69" t="str">
        <f>+'Paste Financial Sched.'!F1</f>
        <v>Year 05</v>
      </c>
      <c r="K55" s="69" t="str">
        <f>+'Paste Financial Sched.'!G1</f>
        <v>Year 06</v>
      </c>
      <c r="L55" s="69" t="str">
        <f>+'Paste Financial Sched.'!H1</f>
        <v>Year 07</v>
      </c>
      <c r="M55" s="69" t="str">
        <f>+'Paste Financial Sched.'!I1</f>
        <v>Year 08</v>
      </c>
      <c r="N55" s="69" t="str">
        <f>+'Paste Financial Sched.'!J1</f>
        <v>Year 09</v>
      </c>
      <c r="O55" s="69" t="str">
        <f>+'Paste Financial Sched.'!K1</f>
        <v>Year 10</v>
      </c>
      <c r="P55" s="69" t="str">
        <f>+'Paste Financial Sched.'!L1</f>
        <v>Year 11</v>
      </c>
      <c r="Q55" s="69" t="str">
        <f>+'Paste Financial Sched.'!M1</f>
        <v>Year 12</v>
      </c>
      <c r="R55" s="69" t="str">
        <f>+'Paste Financial Sched.'!N1</f>
        <v>Year 13</v>
      </c>
      <c r="S55" s="69" t="str">
        <f>+'Paste Financial Sched.'!O1</f>
        <v>Year 14</v>
      </c>
      <c r="T55" s="69" t="str">
        <f>+'Paste Financial Sched.'!P1</f>
        <v>Year 15</v>
      </c>
      <c r="U55" s="69" t="str">
        <f>+'Paste Financial Sched.'!Q1</f>
        <v>Year 16</v>
      </c>
      <c r="V55" s="69" t="str">
        <f>+'Paste Financial Sched.'!R1</f>
        <v>Year 17</v>
      </c>
      <c r="W55" s="69" t="str">
        <f>+'Paste Financial Sched.'!S1</f>
        <v>Year 18</v>
      </c>
      <c r="X55" s="69" t="str">
        <f>+'Paste Financial Sched.'!T1</f>
        <v>Year 19</v>
      </c>
      <c r="Y55" s="111" t="str">
        <f>+'Paste Financial Sched.'!U1</f>
        <v>Year 20</v>
      </c>
      <c r="Z55" s="23"/>
    </row>
    <row r="56" spans="1:26" x14ac:dyDescent="0.45">
      <c r="A56" s="65"/>
      <c r="B56" s="24"/>
      <c r="C56" s="65"/>
      <c r="D56" s="126" t="s">
        <v>258</v>
      </c>
      <c r="E56" s="59" t="s">
        <v>259</v>
      </c>
      <c r="F56" s="112">
        <f t="shared" ref="F56:Y56" si="21">+F18</f>
        <v>335249.58</v>
      </c>
      <c r="G56" s="112">
        <f t="shared" si="21"/>
        <v>341954.57</v>
      </c>
      <c r="H56" s="112">
        <f t="shared" si="21"/>
        <v>348793.66</v>
      </c>
      <c r="I56" s="112">
        <f t="shared" si="21"/>
        <v>355769.54</v>
      </c>
      <c r="J56" s="112">
        <f t="shared" si="21"/>
        <v>362884.93</v>
      </c>
      <c r="K56" s="112">
        <f t="shared" si="21"/>
        <v>370142.63</v>
      </c>
      <c r="L56" s="112">
        <f t="shared" si="21"/>
        <v>377545.48</v>
      </c>
      <c r="M56" s="112">
        <f t="shared" si="21"/>
        <v>385096.39</v>
      </c>
      <c r="N56" s="112">
        <f t="shared" si="21"/>
        <v>392798.32</v>
      </c>
      <c r="O56" s="112">
        <f t="shared" si="21"/>
        <v>400654.28</v>
      </c>
      <c r="P56" s="112">
        <f t="shared" si="21"/>
        <v>408667.37</v>
      </c>
      <c r="Q56" s="112">
        <f t="shared" si="21"/>
        <v>416840.71</v>
      </c>
      <c r="R56" s="112">
        <f t="shared" si="21"/>
        <v>425177.53</v>
      </c>
      <c r="S56" s="112">
        <f t="shared" si="21"/>
        <v>433681.08</v>
      </c>
      <c r="T56" s="112">
        <f t="shared" si="21"/>
        <v>442354.7</v>
      </c>
      <c r="U56" s="112">
        <f t="shared" si="21"/>
        <v>451201.8</v>
      </c>
      <c r="V56" s="112">
        <f t="shared" si="21"/>
        <v>460225.83</v>
      </c>
      <c r="W56" s="112">
        <f t="shared" si="21"/>
        <v>469430.35</v>
      </c>
      <c r="X56" s="112">
        <f t="shared" si="21"/>
        <v>478818.95</v>
      </c>
      <c r="Y56" s="113">
        <f t="shared" si="21"/>
        <v>488395.33</v>
      </c>
      <c r="Z56" s="23"/>
    </row>
    <row r="57" spans="1:26" x14ac:dyDescent="0.45">
      <c r="A57" s="65"/>
      <c r="B57" s="24"/>
      <c r="C57" s="65"/>
      <c r="D57" s="126"/>
      <c r="E57" s="21"/>
      <c r="F57" s="24"/>
      <c r="G57" s="24"/>
      <c r="H57" s="24"/>
      <c r="I57" s="24"/>
      <c r="J57" s="24"/>
      <c r="K57" s="24"/>
      <c r="L57" s="24"/>
      <c r="M57" s="24"/>
      <c r="N57" s="24"/>
      <c r="O57" s="24"/>
      <c r="P57" s="24"/>
      <c r="Q57" s="24"/>
      <c r="R57" s="24"/>
      <c r="S57" s="24"/>
      <c r="T57" s="24"/>
      <c r="U57" s="24"/>
      <c r="V57" s="24"/>
      <c r="W57" s="24"/>
      <c r="X57" s="24"/>
      <c r="Y57" s="23"/>
      <c r="Z57" s="23"/>
    </row>
    <row r="58" spans="1:26" ht="14.65" thickBot="1" x14ac:dyDescent="0.5">
      <c r="A58" s="21"/>
      <c r="B58" s="65"/>
      <c r="C58" s="24"/>
      <c r="D58" s="127" t="s">
        <v>256</v>
      </c>
      <c r="E58" s="78" t="s">
        <v>260</v>
      </c>
      <c r="F58" s="124">
        <f t="shared" ref="F58:Y58" ca="1" si="22">-F48</f>
        <v>-389880.67</v>
      </c>
      <c r="G58" s="124">
        <f t="shared" ca="1" si="22"/>
        <v>-649033.7024999999</v>
      </c>
      <c r="H58" s="124">
        <f t="shared" ca="1" si="22"/>
        <v>-575743.87098750006</v>
      </c>
      <c r="I58" s="124">
        <f t="shared" ca="1" si="22"/>
        <v>-563842.06544031249</v>
      </c>
      <c r="J58" s="124">
        <f t="shared" ca="1" si="22"/>
        <v>-330859.54963967711</v>
      </c>
      <c r="K58" s="124">
        <f t="shared" ca="1" si="22"/>
        <v>-140532.7273543874</v>
      </c>
      <c r="L58" s="124">
        <f t="shared" ca="1" si="22"/>
        <v>-348.59284522070084</v>
      </c>
      <c r="M58" s="124">
        <f t="shared" ca="1" si="22"/>
        <v>-16406.333371026849</v>
      </c>
      <c r="N58" s="124">
        <f t="shared" ca="1" si="22"/>
        <v>-88183.617043382663</v>
      </c>
      <c r="O58" s="124">
        <f t="shared" ca="1" si="22"/>
        <v>-33119.335577259713</v>
      </c>
      <c r="P58" s="124">
        <f t="shared" ca="1" si="22"/>
        <v>519370.64092129061</v>
      </c>
      <c r="Q58" s="124">
        <f t="shared" ca="1" si="22"/>
        <v>1027823.9822681441</v>
      </c>
      <c r="R58" s="124">
        <f t="shared" ca="1" si="22"/>
        <v>1442733.4906419346</v>
      </c>
      <c r="S58" s="124">
        <f t="shared" ca="1" si="22"/>
        <v>1399760.5799832009</v>
      </c>
      <c r="T58" s="124">
        <f t="shared" ca="1" si="22"/>
        <v>1783566.8823112925</v>
      </c>
      <c r="U58" s="124">
        <f t="shared" ca="1" si="22"/>
        <v>2121263.7272859458</v>
      </c>
      <c r="V58" s="124">
        <f t="shared" ca="1" si="22"/>
        <v>2417092.7107600924</v>
      </c>
      <c r="W58" s="124">
        <f t="shared" ca="1" si="22"/>
        <v>2379812.9823037218</v>
      </c>
      <c r="X58" s="124">
        <f t="shared" ca="1" si="22"/>
        <v>2196599.9616782237</v>
      </c>
      <c r="Y58" s="125">
        <f t="shared" ca="1" si="22"/>
        <v>1990912.8242402158</v>
      </c>
      <c r="Z58" s="23"/>
    </row>
    <row r="59" spans="1:26" x14ac:dyDescent="0.45">
      <c r="A59" s="21"/>
      <c r="B59" s="65"/>
      <c r="C59" s="24"/>
      <c r="D59" s="24"/>
      <c r="E59" s="19"/>
      <c r="F59" s="128"/>
      <c r="G59" s="128"/>
      <c r="H59" s="128"/>
      <c r="I59" s="128"/>
      <c r="J59" s="128"/>
      <c r="K59" s="128"/>
      <c r="L59" s="128"/>
      <c r="M59" s="128"/>
      <c r="N59" s="128"/>
      <c r="O59" s="128"/>
      <c r="P59" s="128"/>
      <c r="Q59" s="128"/>
      <c r="R59" s="128"/>
      <c r="S59" s="128"/>
      <c r="T59" s="128"/>
      <c r="U59" s="128"/>
      <c r="V59" s="128"/>
      <c r="W59" s="128"/>
      <c r="X59" s="128"/>
      <c r="Y59" s="128"/>
      <c r="Z59" s="23"/>
    </row>
    <row r="60" spans="1:26" x14ac:dyDescent="0.45">
      <c r="A60" s="21"/>
      <c r="B60" s="65"/>
      <c r="C60" s="24"/>
      <c r="D60" s="24"/>
      <c r="E60" s="129"/>
      <c r="F60" s="130"/>
      <c r="G60" s="130"/>
      <c r="H60" s="130"/>
      <c r="I60" s="130"/>
      <c r="J60" s="130"/>
      <c r="K60" s="130"/>
      <c r="L60" s="130"/>
      <c r="M60" s="130"/>
      <c r="N60" s="201"/>
      <c r="O60" s="202" t="s">
        <v>544</v>
      </c>
      <c r="P60" s="201">
        <f>-+$Y$17/O14</f>
        <v>0.36986570183021122</v>
      </c>
      <c r="Q60" s="201">
        <f t="shared" ref="Q60:Y60" si="23">-+$Y$17/P14</f>
        <v>0.33188803985113091</v>
      </c>
      <c r="R60" s="201">
        <f t="shared" si="23"/>
        <v>0.30027610975090208</v>
      </c>
      <c r="S60" s="201">
        <f t="shared" si="23"/>
        <v>0.27356084876029357</v>
      </c>
      <c r="T60" s="201">
        <f t="shared" si="23"/>
        <v>0.25069292256225334</v>
      </c>
      <c r="U60" s="201">
        <f t="shared" si="23"/>
        <v>0.2309028158276146</v>
      </c>
      <c r="V60" s="201">
        <f t="shared" si="23"/>
        <v>0.21361338880132263</v>
      </c>
      <c r="W60" s="201">
        <f t="shared" si="23"/>
        <v>0.19838329627129678</v>
      </c>
      <c r="X60" s="201">
        <f t="shared" si="23"/>
        <v>0.18486926688222824</v>
      </c>
      <c r="Y60" s="201">
        <f t="shared" si="23"/>
        <v>0.17280029424615637</v>
      </c>
      <c r="Z60" s="23"/>
    </row>
    <row r="61" spans="1:26" ht="14.65" thickBot="1" x14ac:dyDescent="0.5">
      <c r="A61" s="26"/>
      <c r="B61" s="27"/>
      <c r="C61" s="27"/>
      <c r="D61" s="27"/>
      <c r="E61" s="27"/>
      <c r="F61" s="27"/>
      <c r="G61" s="27"/>
      <c r="H61" s="27"/>
      <c r="I61" s="27"/>
      <c r="J61" s="27"/>
      <c r="K61" s="27"/>
      <c r="L61" s="27"/>
      <c r="M61" s="27"/>
      <c r="N61" s="27"/>
      <c r="O61" s="27"/>
      <c r="P61" s="27"/>
      <c r="Q61" s="27"/>
      <c r="R61" s="27"/>
      <c r="S61" s="27"/>
      <c r="T61" s="27"/>
      <c r="U61" s="27"/>
      <c r="V61" s="27"/>
      <c r="W61" s="27"/>
      <c r="X61" s="27"/>
      <c r="Y61" s="27"/>
      <c r="Z61" s="28"/>
    </row>
  </sheetData>
  <sheetProtection algorithmName="SHA-512" hashValue="LNYxgM5COmeXXyBRvsseX1RRMfQg7Tyk0s3oboKLKUFudW4UpvirA1nB+8X5rgRSwaKUuiGHU+5ap2Jbfj91sA==" saltValue="oxNhqaYOvL85sbg1zvX16Q==" spinCount="100000" sheet="1" selectLockedCells="1"/>
  <mergeCells count="3">
    <mergeCell ref="A12:D13"/>
    <mergeCell ref="C37:D40"/>
    <mergeCell ref="B1:I7"/>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
    <tabColor theme="0" tint="-0.34998626667073579"/>
  </sheetPr>
  <dimension ref="A1:XFD262"/>
  <sheetViews>
    <sheetView workbookViewId="0"/>
  </sheetViews>
  <sheetFormatPr defaultColWidth="9.06640625" defaultRowHeight="14.25" outlineLevelRow="2" x14ac:dyDescent="0.45"/>
  <cols>
    <col min="1" max="1" width="5.06640625" style="20" customWidth="1"/>
    <col min="2" max="2" width="3.33203125" style="20" customWidth="1"/>
    <col min="3" max="3" width="31" style="20" customWidth="1"/>
    <col min="4" max="4" width="5.33203125" style="20" bestFit="1" customWidth="1"/>
    <col min="5" max="5" width="3.796875" style="20" customWidth="1"/>
    <col min="6" max="6" width="3.59765625" style="20" customWidth="1"/>
    <col min="7" max="7" width="12.265625" style="20" customWidth="1"/>
    <col min="8" max="8" width="20.796875" style="20" customWidth="1"/>
    <col min="9" max="9" width="20.73046875" style="20" customWidth="1"/>
    <col min="10" max="10" width="25.796875" style="20" customWidth="1"/>
    <col min="11" max="11" width="20.73046875" style="20" customWidth="1"/>
    <col min="12" max="12" width="20.59765625" style="20" customWidth="1"/>
    <col min="13" max="13" width="20.265625" style="20" customWidth="1"/>
    <col min="14" max="27" width="20.73046875" style="20" customWidth="1"/>
    <col min="28" max="28" width="17" style="20" customWidth="1"/>
    <col min="29" max="29" width="6.796875" style="20" customWidth="1"/>
    <col min="30" max="31" width="20.73046875" style="20" customWidth="1"/>
    <col min="32" max="16384" width="9.06640625" style="20"/>
  </cols>
  <sheetData>
    <row r="1" spans="1:29" ht="16.149999999999999" thickBot="1" x14ac:dyDescent="0.55000000000000004">
      <c r="A1" s="746"/>
      <c r="B1" s="747"/>
      <c r="C1" s="747"/>
      <c r="D1" s="747"/>
      <c r="E1" s="747"/>
      <c r="F1" s="747"/>
      <c r="G1" s="747"/>
      <c r="H1" s="748" t="s">
        <v>261</v>
      </c>
      <c r="I1" s="747"/>
      <c r="J1" s="747"/>
      <c r="K1" s="747"/>
      <c r="L1" s="747"/>
      <c r="M1" s="747"/>
      <c r="N1" s="747"/>
      <c r="O1" s="747"/>
      <c r="P1" s="747"/>
      <c r="Q1" s="747"/>
      <c r="R1" s="747"/>
      <c r="S1" s="747"/>
      <c r="T1" s="747"/>
      <c r="U1" s="747"/>
      <c r="V1" s="747"/>
      <c r="W1" s="747"/>
      <c r="X1" s="747"/>
      <c r="Y1" s="747"/>
      <c r="Z1" s="747"/>
      <c r="AA1" s="747"/>
      <c r="AB1" s="747"/>
      <c r="AC1" s="749"/>
    </row>
    <row r="2" spans="1:29" ht="28.5" outlineLevel="1" x14ac:dyDescent="0.45">
      <c r="A2" s="750"/>
      <c r="B2" s="751"/>
      <c r="C2" s="156"/>
      <c r="D2" s="156"/>
      <c r="E2" s="156"/>
      <c r="F2" s="156"/>
      <c r="G2" s="156"/>
      <c r="H2" s="156"/>
      <c r="I2" s="156"/>
      <c r="J2" s="156"/>
      <c r="K2" s="156"/>
      <c r="L2" s="157"/>
      <c r="M2" s="751"/>
      <c r="N2" s="156"/>
      <c r="O2" s="156"/>
      <c r="P2" s="156"/>
      <c r="Q2" s="157"/>
      <c r="R2" s="752"/>
      <c r="S2" s="753" t="s">
        <v>262</v>
      </c>
      <c r="T2" s="752"/>
      <c r="U2" s="752"/>
      <c r="V2" s="752"/>
      <c r="W2" s="752"/>
      <c r="X2" s="752"/>
      <c r="Y2" s="752"/>
      <c r="Z2" s="752"/>
      <c r="AA2" s="752"/>
      <c r="AB2" s="752"/>
      <c r="AC2" s="749"/>
    </row>
    <row r="3" spans="1:29" outlineLevel="1" x14ac:dyDescent="0.45">
      <c r="A3" s="750"/>
      <c r="B3" s="754"/>
      <c r="C3" s="158"/>
      <c r="D3" s="158"/>
      <c r="E3" s="158"/>
      <c r="F3" s="158"/>
      <c r="G3" s="158"/>
      <c r="H3" s="755" t="s">
        <v>263</v>
      </c>
      <c r="I3" s="134" t="s">
        <v>264</v>
      </c>
      <c r="J3" s="158"/>
      <c r="K3" s="158"/>
      <c r="L3" s="160"/>
      <c r="M3" s="754"/>
      <c r="N3" s="158"/>
      <c r="O3" s="158"/>
      <c r="P3" s="158"/>
      <c r="Q3" s="160"/>
      <c r="R3" s="752"/>
      <c r="S3" s="756" t="s">
        <v>265</v>
      </c>
      <c r="T3" s="752"/>
      <c r="U3" s="752"/>
      <c r="V3" s="752"/>
      <c r="W3" s="752"/>
      <c r="X3" s="752"/>
      <c r="Y3" s="752"/>
      <c r="Z3" s="752"/>
      <c r="AA3" s="752"/>
      <c r="AB3" s="752"/>
      <c r="AC3" s="749"/>
    </row>
    <row r="4" spans="1:29" outlineLevel="1" x14ac:dyDescent="0.45">
      <c r="A4" s="750"/>
      <c r="B4" s="754"/>
      <c r="C4" s="158"/>
      <c r="D4" s="158"/>
      <c r="E4" s="158"/>
      <c r="F4" s="158"/>
      <c r="G4" s="158"/>
      <c r="H4" s="755"/>
      <c r="I4" s="757" t="s">
        <v>266</v>
      </c>
      <c r="J4" s="158"/>
      <c r="K4" s="158"/>
      <c r="L4" s="160"/>
      <c r="M4" s="754"/>
      <c r="N4" s="158"/>
      <c r="O4" s="158"/>
      <c r="P4" s="158"/>
      <c r="Q4" s="160"/>
      <c r="R4" s="752"/>
      <c r="S4" s="758" t="s">
        <v>267</v>
      </c>
      <c r="T4" s="752"/>
      <c r="U4" s="752"/>
      <c r="V4" s="752"/>
      <c r="W4" s="752"/>
      <c r="X4" s="752"/>
      <c r="Y4" s="752"/>
      <c r="Z4" s="752"/>
      <c r="AA4" s="752"/>
      <c r="AB4" s="752"/>
      <c r="AC4" s="749"/>
    </row>
    <row r="5" spans="1:29" ht="14.65" outlineLevel="1" thickBot="1" x14ac:dyDescent="0.5">
      <c r="A5" s="750"/>
      <c r="B5" s="754"/>
      <c r="C5" s="158"/>
      <c r="D5" s="158"/>
      <c r="E5" s="158"/>
      <c r="F5" s="158"/>
      <c r="G5" s="158"/>
      <c r="H5" s="755"/>
      <c r="I5" s="757" t="s">
        <v>268</v>
      </c>
      <c r="J5" s="158"/>
      <c r="K5" s="158"/>
      <c r="L5" s="160"/>
      <c r="M5" s="754"/>
      <c r="N5" s="173" t="s">
        <v>269</v>
      </c>
      <c r="O5" s="158"/>
      <c r="P5" s="158"/>
      <c r="Q5" s="759"/>
      <c r="R5" s="752"/>
      <c r="S5" s="752"/>
      <c r="T5" s="752"/>
      <c r="U5" s="752"/>
      <c r="V5" s="752"/>
      <c r="W5" s="752"/>
      <c r="X5" s="752"/>
      <c r="Y5" s="752"/>
      <c r="Z5" s="752"/>
      <c r="AA5" s="752"/>
      <c r="AB5" s="752"/>
      <c r="AC5" s="749"/>
    </row>
    <row r="6" spans="1:29" ht="16.5" outlineLevel="1" thickTop="1" thickBot="1" x14ac:dyDescent="0.55000000000000004">
      <c r="A6" s="750"/>
      <c r="B6" s="754"/>
      <c r="C6" s="760" t="s">
        <v>270</v>
      </c>
      <c r="D6" s="158"/>
      <c r="E6" s="761" t="s">
        <v>271</v>
      </c>
      <c r="F6" s="158"/>
      <c r="G6" s="158"/>
      <c r="H6" s="757"/>
      <c r="I6" s="757" t="s">
        <v>272</v>
      </c>
      <c r="J6" s="158"/>
      <c r="K6" s="158"/>
      <c r="L6" s="160"/>
      <c r="M6" s="754"/>
      <c r="N6" s="760" t="s">
        <v>273</v>
      </c>
      <c r="O6" s="158"/>
      <c r="P6" s="762">
        <f>+'Project Info Entry'!$C$15</f>
        <v>44166</v>
      </c>
      <c r="Q6" s="160"/>
      <c r="R6" s="752"/>
      <c r="S6" s="752"/>
      <c r="T6" s="752"/>
      <c r="U6" s="752"/>
      <c r="V6" s="752"/>
      <c r="W6" s="752"/>
      <c r="X6" s="752"/>
      <c r="Y6" s="752"/>
      <c r="Z6" s="752"/>
      <c r="AA6" s="752"/>
      <c r="AB6" s="752"/>
      <c r="AC6" s="749"/>
    </row>
    <row r="7" spans="1:29" ht="6" customHeight="1" outlineLevel="1" thickBot="1" x14ac:dyDescent="0.5">
      <c r="A7" s="750"/>
      <c r="B7" s="754"/>
      <c r="C7" s="158"/>
      <c r="D7" s="158"/>
      <c r="E7" s="158"/>
      <c r="F7" s="158"/>
      <c r="G7" s="158"/>
      <c r="H7" s="757"/>
      <c r="I7" s="757"/>
      <c r="J7" s="158"/>
      <c r="K7" s="158"/>
      <c r="L7" s="160"/>
      <c r="M7" s="754"/>
      <c r="N7" s="69"/>
      <c r="O7" s="158"/>
      <c r="P7" s="69"/>
      <c r="Q7" s="160"/>
      <c r="R7" s="752"/>
      <c r="S7" s="752"/>
      <c r="T7" s="752"/>
      <c r="U7" s="752"/>
      <c r="V7" s="752"/>
      <c r="W7" s="752"/>
      <c r="X7" s="752"/>
      <c r="Y7" s="752"/>
      <c r="Z7" s="752"/>
      <c r="AA7" s="752"/>
      <c r="AB7" s="752"/>
      <c r="AC7" s="749"/>
    </row>
    <row r="8" spans="1:29" ht="15" outlineLevel="1" thickTop="1" thickBot="1" x14ac:dyDescent="0.5">
      <c r="A8" s="750"/>
      <c r="B8" s="754"/>
      <c r="C8" s="760" t="s">
        <v>274</v>
      </c>
      <c r="D8" s="158"/>
      <c r="E8" s="158"/>
      <c r="F8" s="158"/>
      <c r="G8" s="158"/>
      <c r="H8" s="757" t="s">
        <v>275</v>
      </c>
      <c r="I8" s="757"/>
      <c r="J8" s="158"/>
      <c r="K8" s="158"/>
      <c r="L8" s="160"/>
      <c r="M8" s="754"/>
      <c r="N8" s="158" t="s">
        <v>276</v>
      </c>
      <c r="O8" s="158"/>
      <c r="P8" s="762">
        <f>+'Project Info Entry'!$C$15</f>
        <v>44166</v>
      </c>
      <c r="Q8" s="160"/>
      <c r="R8" s="752"/>
      <c r="S8" s="752"/>
      <c r="T8" s="752"/>
      <c r="U8" s="752"/>
      <c r="V8" s="752"/>
      <c r="W8" s="752"/>
      <c r="X8" s="752"/>
      <c r="Y8" s="752"/>
      <c r="Z8" s="752"/>
      <c r="AA8" s="752"/>
      <c r="AB8" s="752"/>
      <c r="AC8" s="749"/>
    </row>
    <row r="9" spans="1:29" ht="6" customHeight="1" outlineLevel="1" thickBot="1" x14ac:dyDescent="0.5">
      <c r="A9" s="750"/>
      <c r="B9" s="754"/>
      <c r="C9" s="158"/>
      <c r="D9" s="158"/>
      <c r="E9" s="158"/>
      <c r="F9" s="158"/>
      <c r="G9" s="158"/>
      <c r="H9" s="158"/>
      <c r="I9" s="158"/>
      <c r="J9" s="158"/>
      <c r="K9" s="158"/>
      <c r="L9" s="160"/>
      <c r="M9" s="754"/>
      <c r="N9" s="158"/>
      <c r="O9" s="158"/>
      <c r="P9" s="158"/>
      <c r="Q9" s="160"/>
      <c r="R9" s="752"/>
      <c r="S9" s="752"/>
      <c r="T9" s="752"/>
      <c r="U9" s="752"/>
      <c r="V9" s="752"/>
      <c r="W9" s="752"/>
      <c r="X9" s="752"/>
      <c r="Y9" s="752"/>
      <c r="Z9" s="752"/>
      <c r="AA9" s="752"/>
      <c r="AB9" s="752"/>
      <c r="AC9" s="749"/>
    </row>
    <row r="10" spans="1:29" ht="15" outlineLevel="1" thickTop="1" thickBot="1" x14ac:dyDescent="0.5">
      <c r="A10" s="750"/>
      <c r="B10" s="754"/>
      <c r="C10" s="760" t="s">
        <v>277</v>
      </c>
      <c r="D10" s="158"/>
      <c r="E10" s="763"/>
      <c r="F10" s="764" t="s">
        <v>271</v>
      </c>
      <c r="G10" s="764"/>
      <c r="H10" s="765"/>
      <c r="I10" s="765"/>
      <c r="J10" s="765"/>
      <c r="K10" s="765"/>
      <c r="L10" s="160"/>
      <c r="M10" s="754"/>
      <c r="N10" s="760" t="s">
        <v>278</v>
      </c>
      <c r="O10" s="158"/>
      <c r="P10" s="762">
        <f>+P8</f>
        <v>44166</v>
      </c>
      <c r="Q10" s="160"/>
      <c r="R10" s="752"/>
      <c r="S10" s="752"/>
      <c r="T10" s="752"/>
      <c r="U10" s="752"/>
      <c r="V10" s="752"/>
      <c r="W10" s="752"/>
      <c r="X10" s="752"/>
      <c r="Y10" s="752"/>
      <c r="Z10" s="752"/>
      <c r="AA10" s="752"/>
      <c r="AB10" s="752"/>
      <c r="AC10" s="749"/>
    </row>
    <row r="11" spans="1:29" ht="6" customHeight="1" outlineLevel="1" thickBot="1" x14ac:dyDescent="0.5">
      <c r="A11" s="750"/>
      <c r="B11" s="754"/>
      <c r="C11" s="158"/>
      <c r="D11" s="158"/>
      <c r="E11" s="766"/>
      <c r="F11" s="158"/>
      <c r="G11" s="158"/>
      <c r="H11" s="158"/>
      <c r="I11" s="158"/>
      <c r="J11" s="158"/>
      <c r="K11" s="158"/>
      <c r="L11" s="160"/>
      <c r="M11" s="754"/>
      <c r="N11" s="158"/>
      <c r="O11" s="158"/>
      <c r="P11" s="158"/>
      <c r="Q11" s="160"/>
      <c r="R11" s="752"/>
      <c r="S11" s="752"/>
      <c r="T11" s="752"/>
      <c r="U11" s="752"/>
      <c r="V11" s="752"/>
      <c r="W11" s="752"/>
      <c r="X11" s="752"/>
      <c r="Y11" s="752"/>
      <c r="Z11" s="752"/>
      <c r="AA11" s="752"/>
      <c r="AB11" s="752"/>
      <c r="AC11" s="749"/>
    </row>
    <row r="12" spans="1:29" ht="15" outlineLevel="1" thickTop="1" thickBot="1" x14ac:dyDescent="0.5">
      <c r="A12" s="750"/>
      <c r="B12" s="754"/>
      <c r="C12" s="760" t="s">
        <v>279</v>
      </c>
      <c r="D12" s="158"/>
      <c r="E12" s="766"/>
      <c r="F12" s="158"/>
      <c r="G12" s="158"/>
      <c r="H12" s="767" t="s">
        <v>280</v>
      </c>
      <c r="I12" s="768" t="s">
        <v>281</v>
      </c>
      <c r="J12" s="767" t="s">
        <v>282</v>
      </c>
      <c r="K12" s="769">
        <v>250</v>
      </c>
      <c r="L12" s="770" t="s">
        <v>283</v>
      </c>
      <c r="M12" s="754"/>
      <c r="N12" s="771" t="s">
        <v>284</v>
      </c>
      <c r="O12" s="158"/>
      <c r="P12" s="158"/>
      <c r="Q12" s="160"/>
      <c r="R12" s="752"/>
      <c r="S12" s="752"/>
      <c r="T12" s="752"/>
      <c r="U12" s="752"/>
      <c r="V12" s="752"/>
      <c r="W12" s="752"/>
      <c r="X12" s="752"/>
      <c r="Y12" s="752"/>
      <c r="Z12" s="752"/>
      <c r="AA12" s="752"/>
      <c r="AB12" s="752"/>
      <c r="AC12" s="749"/>
    </row>
    <row r="13" spans="1:29" ht="6" customHeight="1" outlineLevel="1" thickBot="1" x14ac:dyDescent="0.5">
      <c r="A13" s="750"/>
      <c r="B13" s="754"/>
      <c r="C13" s="158"/>
      <c r="D13" s="158"/>
      <c r="E13" s="766"/>
      <c r="F13" s="158"/>
      <c r="G13" s="158"/>
      <c r="H13" s="767"/>
      <c r="I13" s="158"/>
      <c r="J13" s="767"/>
      <c r="K13" s="158"/>
      <c r="L13" s="160"/>
      <c r="M13" s="754"/>
      <c r="N13" s="158"/>
      <c r="O13" s="158"/>
      <c r="P13" s="158"/>
      <c r="Q13" s="160"/>
      <c r="R13" s="752"/>
      <c r="S13" s="752"/>
      <c r="T13" s="752"/>
      <c r="U13" s="752"/>
      <c r="V13" s="752"/>
      <c r="W13" s="752"/>
      <c r="X13" s="752"/>
      <c r="Y13" s="752"/>
      <c r="Z13" s="752"/>
      <c r="AA13" s="752"/>
      <c r="AB13" s="752"/>
      <c r="AC13" s="749"/>
    </row>
    <row r="14" spans="1:29" ht="15" outlineLevel="1" thickTop="1" thickBot="1" x14ac:dyDescent="0.5">
      <c r="A14" s="750"/>
      <c r="B14" s="754"/>
      <c r="C14" s="760" t="s">
        <v>285</v>
      </c>
      <c r="D14" s="158"/>
      <c r="E14" s="766"/>
      <c r="F14" s="770" t="s">
        <v>286</v>
      </c>
      <c r="G14" s="158"/>
      <c r="H14" s="767" t="s">
        <v>57</v>
      </c>
      <c r="I14" s="772">
        <f>+IF('Trial Deposits Analysis'!C11&lt;&gt;0,'Trial Deposits Analysis'!C11,0)</f>
        <v>466925</v>
      </c>
      <c r="J14" s="767" t="s">
        <v>287</v>
      </c>
      <c r="K14" s="768" t="s">
        <v>281</v>
      </c>
      <c r="L14" s="770" t="s">
        <v>288</v>
      </c>
      <c r="M14" s="754"/>
      <c r="N14" s="760" t="s">
        <v>289</v>
      </c>
      <c r="O14" s="158"/>
      <c r="P14" s="773">
        <f>+'Project Info Entry'!$C$12</f>
        <v>20000000</v>
      </c>
      <c r="Q14" s="160"/>
      <c r="R14" s="752"/>
      <c r="S14" s="752"/>
      <c r="T14" s="752"/>
      <c r="U14" s="752"/>
      <c r="V14" s="752"/>
      <c r="W14" s="752"/>
      <c r="X14" s="752"/>
      <c r="Y14" s="752"/>
      <c r="Z14" s="752"/>
      <c r="AA14" s="752"/>
      <c r="AB14" s="752"/>
      <c r="AC14" s="749"/>
    </row>
    <row r="15" spans="1:29" ht="6" customHeight="1" outlineLevel="1" thickBot="1" x14ac:dyDescent="0.5">
      <c r="A15" s="750"/>
      <c r="B15" s="754"/>
      <c r="C15" s="158"/>
      <c r="D15" s="158"/>
      <c r="E15" s="766"/>
      <c r="F15" s="158"/>
      <c r="G15" s="158"/>
      <c r="H15" s="767"/>
      <c r="I15" s="158"/>
      <c r="J15" s="767"/>
      <c r="K15" s="158"/>
      <c r="L15" s="160"/>
      <c r="M15" s="754"/>
      <c r="N15" s="158"/>
      <c r="O15" s="158"/>
      <c r="P15" s="158"/>
      <c r="Q15" s="160"/>
      <c r="R15" s="752"/>
      <c r="S15" s="752"/>
      <c r="T15" s="752"/>
      <c r="U15" s="752"/>
      <c r="V15" s="752"/>
      <c r="W15" s="752"/>
      <c r="X15" s="752"/>
      <c r="Y15" s="752"/>
      <c r="Z15" s="752"/>
      <c r="AA15" s="752"/>
      <c r="AB15" s="752"/>
      <c r="AC15" s="749"/>
    </row>
    <row r="16" spans="1:29" ht="15" outlineLevel="1" thickTop="1" thickBot="1" x14ac:dyDescent="0.5">
      <c r="A16" s="750"/>
      <c r="B16" s="754"/>
      <c r="C16" s="760" t="s">
        <v>290</v>
      </c>
      <c r="D16" s="158"/>
      <c r="E16" s="766"/>
      <c r="F16" s="770" t="s">
        <v>291</v>
      </c>
      <c r="G16" s="158"/>
      <c r="H16" s="767" t="s">
        <v>292</v>
      </c>
      <c r="I16" s="772">
        <f>+IF('Trial Deposits Analysis'!E11&lt;&gt;0,'Trial Deposits Analysis'!E11,0)</f>
        <v>556</v>
      </c>
      <c r="J16" s="767" t="s">
        <v>293</v>
      </c>
      <c r="K16" s="774" t="s">
        <v>294</v>
      </c>
      <c r="L16" s="770" t="s">
        <v>288</v>
      </c>
      <c r="M16" s="754"/>
      <c r="N16" s="760" t="s">
        <v>295</v>
      </c>
      <c r="O16" s="158"/>
      <c r="P16" s="775">
        <f>+'Project Info Entry'!$C$13</f>
        <v>2.5000000000000001E-2</v>
      </c>
      <c r="Q16" s="160"/>
      <c r="R16" s="752"/>
      <c r="S16" s="752"/>
      <c r="T16" s="752"/>
      <c r="U16" s="752"/>
      <c r="V16" s="752"/>
      <c r="W16" s="752"/>
      <c r="X16" s="752"/>
      <c r="Y16" s="752"/>
      <c r="Z16" s="752"/>
      <c r="AA16" s="752"/>
      <c r="AB16" s="752"/>
      <c r="AC16" s="749"/>
    </row>
    <row r="17" spans="1:29" ht="6" customHeight="1" outlineLevel="1" thickBot="1" x14ac:dyDescent="0.5">
      <c r="A17" s="750"/>
      <c r="B17" s="754"/>
      <c r="C17" s="158"/>
      <c r="D17" s="158"/>
      <c r="E17" s="766"/>
      <c r="F17" s="158"/>
      <c r="G17" s="158"/>
      <c r="H17" s="767"/>
      <c r="I17" s="158"/>
      <c r="J17" s="767"/>
      <c r="K17" s="158"/>
      <c r="L17" s="160"/>
      <c r="M17" s="754"/>
      <c r="N17" s="158"/>
      <c r="O17" s="158"/>
      <c r="P17" s="158"/>
      <c r="Q17" s="160"/>
      <c r="R17" s="752"/>
      <c r="S17" s="752"/>
      <c r="T17" s="752"/>
      <c r="U17" s="752"/>
      <c r="V17" s="752"/>
      <c r="W17" s="752"/>
      <c r="X17" s="752"/>
      <c r="Y17" s="752"/>
      <c r="Z17" s="752"/>
      <c r="AA17" s="752"/>
      <c r="AB17" s="752"/>
      <c r="AC17" s="749"/>
    </row>
    <row r="18" spans="1:29" ht="15" outlineLevel="1" thickTop="1" thickBot="1" x14ac:dyDescent="0.5">
      <c r="A18" s="750"/>
      <c r="B18" s="754"/>
      <c r="C18" s="760" t="s">
        <v>296</v>
      </c>
      <c r="D18" s="158"/>
      <c r="E18" s="766"/>
      <c r="F18" s="158"/>
      <c r="G18" s="158"/>
      <c r="H18" s="767" t="s">
        <v>297</v>
      </c>
      <c r="I18" s="776">
        <f>I16*P22</f>
        <v>253536</v>
      </c>
      <c r="J18" s="158"/>
      <c r="K18" s="158"/>
      <c r="L18" s="160"/>
      <c r="M18" s="754"/>
      <c r="N18" s="760" t="s">
        <v>298</v>
      </c>
      <c r="O18" s="158"/>
      <c r="P18" s="777">
        <f>+'Project Info Entry'!$C$15</f>
        <v>44166</v>
      </c>
      <c r="Q18" s="778" t="s">
        <v>299</v>
      </c>
      <c r="R18" s="752"/>
      <c r="S18" s="752"/>
      <c r="T18" s="752"/>
      <c r="U18" s="752"/>
      <c r="V18" s="752"/>
      <c r="W18" s="752"/>
      <c r="X18" s="752"/>
      <c r="Y18" s="752"/>
      <c r="Z18" s="752"/>
      <c r="AA18" s="752"/>
      <c r="AB18" s="752"/>
      <c r="AC18" s="749"/>
    </row>
    <row r="19" spans="1:29" ht="6" customHeight="1" outlineLevel="1" thickBot="1" x14ac:dyDescent="0.5">
      <c r="A19" s="750"/>
      <c r="B19" s="754"/>
      <c r="C19" s="158"/>
      <c r="D19" s="158"/>
      <c r="E19" s="766"/>
      <c r="F19" s="158"/>
      <c r="G19" s="158"/>
      <c r="H19" s="767"/>
      <c r="I19" s="158"/>
      <c r="J19" s="158"/>
      <c r="K19" s="158"/>
      <c r="L19" s="160"/>
      <c r="M19" s="754"/>
      <c r="N19" s="158"/>
      <c r="O19" s="158"/>
      <c r="P19" s="158"/>
      <c r="Q19" s="779"/>
      <c r="R19" s="752"/>
      <c r="S19" s="752"/>
      <c r="T19" s="752"/>
      <c r="U19" s="752"/>
      <c r="V19" s="752"/>
      <c r="W19" s="752"/>
      <c r="X19" s="752"/>
      <c r="Y19" s="752"/>
      <c r="Z19" s="752"/>
      <c r="AA19" s="752"/>
      <c r="AB19" s="752"/>
      <c r="AC19" s="749"/>
    </row>
    <row r="20" spans="1:29" ht="15" outlineLevel="1" thickTop="1" thickBot="1" x14ac:dyDescent="0.5">
      <c r="A20" s="750"/>
      <c r="B20" s="754"/>
      <c r="C20" s="760" t="s">
        <v>300</v>
      </c>
      <c r="D20" s="158"/>
      <c r="E20" s="766"/>
      <c r="F20" s="158"/>
      <c r="G20" s="158"/>
      <c r="H20" s="158"/>
      <c r="I20" s="158"/>
      <c r="J20" s="158"/>
      <c r="K20" s="158"/>
      <c r="L20" s="780" t="s">
        <v>301</v>
      </c>
      <c r="M20" s="754"/>
      <c r="N20" s="760" t="s">
        <v>215</v>
      </c>
      <c r="O20" s="158"/>
      <c r="P20" s="781">
        <f>+'Project Info Entry'!$C$14</f>
        <v>35</v>
      </c>
      <c r="Q20" s="782">
        <f>+DATE(YEAR(P18)+P20,MONTH(P18)+1,DAY(P18))</f>
        <v>56980</v>
      </c>
      <c r="R20" s="752"/>
      <c r="S20" s="752"/>
      <c r="T20" s="752"/>
      <c r="U20" s="752"/>
      <c r="V20" s="752"/>
      <c r="W20" s="752"/>
      <c r="X20" s="752"/>
      <c r="Y20" s="752"/>
      <c r="Z20" s="752"/>
      <c r="AA20" s="752"/>
      <c r="AB20" s="752"/>
      <c r="AC20" s="749"/>
    </row>
    <row r="21" spans="1:29" ht="6" customHeight="1" outlineLevel="1" thickBot="1" x14ac:dyDescent="0.5">
      <c r="A21" s="750"/>
      <c r="B21" s="754"/>
      <c r="C21" s="158"/>
      <c r="D21" s="158"/>
      <c r="E21" s="766"/>
      <c r="F21" s="158"/>
      <c r="G21" s="158"/>
      <c r="H21" s="158"/>
      <c r="I21" s="158"/>
      <c r="J21" s="158"/>
      <c r="K21" s="158"/>
      <c r="L21" s="160"/>
      <c r="M21" s="754"/>
      <c r="N21" s="158"/>
      <c r="O21" s="158"/>
      <c r="P21" s="158"/>
      <c r="Q21" s="160"/>
      <c r="R21" s="752"/>
      <c r="S21" s="752"/>
      <c r="T21" s="752"/>
      <c r="U21" s="752"/>
      <c r="V21" s="752"/>
      <c r="W21" s="752"/>
      <c r="X21" s="752"/>
      <c r="Y21" s="752"/>
      <c r="Z21" s="752"/>
      <c r="AA21" s="752"/>
      <c r="AB21" s="752"/>
      <c r="AC21" s="749"/>
    </row>
    <row r="22" spans="1:29" ht="15" outlineLevel="1" thickTop="1" thickBot="1" x14ac:dyDescent="0.5">
      <c r="A22" s="750"/>
      <c r="B22" s="754"/>
      <c r="C22" s="760" t="s">
        <v>302</v>
      </c>
      <c r="D22" s="158"/>
      <c r="E22" s="766"/>
      <c r="F22" s="783"/>
      <c r="G22" s="783" t="s">
        <v>303</v>
      </c>
      <c r="H22" s="158"/>
      <c r="I22" s="159" t="s">
        <v>304</v>
      </c>
      <c r="J22" s="159" t="s">
        <v>305</v>
      </c>
      <c r="K22" s="784" t="s">
        <v>306</v>
      </c>
      <c r="L22" s="160"/>
      <c r="M22" s="754"/>
      <c r="N22" s="760" t="s">
        <v>307</v>
      </c>
      <c r="O22" s="158"/>
      <c r="P22" s="781">
        <f>+'Trial Deposits Analysis'!M10</f>
        <v>456</v>
      </c>
      <c r="Q22" s="160"/>
      <c r="R22" s="752"/>
      <c r="S22" s="752"/>
      <c r="T22" s="752"/>
      <c r="U22" s="752"/>
      <c r="V22" s="752"/>
      <c r="W22" s="752"/>
      <c r="X22" s="752"/>
      <c r="Y22" s="752"/>
      <c r="Z22" s="752"/>
      <c r="AA22" s="752"/>
      <c r="AB22" s="752"/>
      <c r="AC22" s="749"/>
    </row>
    <row r="23" spans="1:29" ht="6" customHeight="1" outlineLevel="1" thickBot="1" x14ac:dyDescent="0.5">
      <c r="A23" s="750"/>
      <c r="B23" s="754"/>
      <c r="C23" s="158"/>
      <c r="D23" s="158"/>
      <c r="E23" s="766"/>
      <c r="F23" s="158"/>
      <c r="G23" s="158"/>
      <c r="H23" s="158"/>
      <c r="I23" s="158"/>
      <c r="J23" s="158"/>
      <c r="K23" s="158"/>
      <c r="L23" s="160"/>
      <c r="M23" s="754"/>
      <c r="N23" s="158"/>
      <c r="O23" s="158"/>
      <c r="P23" s="158"/>
      <c r="Q23" s="160"/>
      <c r="R23" s="752"/>
      <c r="S23" s="752"/>
      <c r="T23" s="752"/>
      <c r="U23" s="752"/>
      <c r="V23" s="752"/>
      <c r="W23" s="752"/>
      <c r="X23" s="752"/>
      <c r="Y23" s="752"/>
      <c r="Z23" s="752"/>
      <c r="AA23" s="752"/>
      <c r="AB23" s="752"/>
      <c r="AC23" s="749"/>
    </row>
    <row r="24" spans="1:29" ht="15" outlineLevel="1" thickTop="1" thickBot="1" x14ac:dyDescent="0.5">
      <c r="A24" s="750"/>
      <c r="B24" s="754"/>
      <c r="C24" s="760" t="s">
        <v>308</v>
      </c>
      <c r="D24" s="158"/>
      <c r="E24" s="766"/>
      <c r="F24" s="158"/>
      <c r="G24" s="770" t="s">
        <v>309</v>
      </c>
      <c r="H24" s="366" t="s">
        <v>45</v>
      </c>
      <c r="I24" s="785">
        <f>+'Trial Deposits Analysis'!C6</f>
        <v>0</v>
      </c>
      <c r="J24" s="785">
        <f ca="1">+'Trial Deposits Analysis'!G6</f>
        <v>0.02</v>
      </c>
      <c r="K24" s="786">
        <f ca="1">+'Trial Deposits Analysis'!E6</f>
        <v>1</v>
      </c>
      <c r="L24" s="787">
        <v>2</v>
      </c>
      <c r="M24" s="754"/>
      <c r="N24" s="760" t="s">
        <v>310</v>
      </c>
      <c r="O24" s="158"/>
      <c r="P24" s="788">
        <f>+P14/P22</f>
        <v>43859.649122807015</v>
      </c>
      <c r="Q24" s="160"/>
      <c r="R24" s="752"/>
      <c r="S24" s="752"/>
      <c r="T24" s="752"/>
      <c r="U24" s="752"/>
      <c r="V24" s="752"/>
      <c r="W24" s="752"/>
      <c r="X24" s="752"/>
      <c r="Y24" s="752"/>
      <c r="Z24" s="752"/>
      <c r="AA24" s="752"/>
      <c r="AB24" s="752"/>
      <c r="AC24" s="749"/>
    </row>
    <row r="25" spans="1:29" ht="6" customHeight="1" outlineLevel="1" thickBot="1" x14ac:dyDescent="0.5">
      <c r="A25" s="750"/>
      <c r="B25" s="754"/>
      <c r="C25" s="158"/>
      <c r="D25" s="158"/>
      <c r="E25" s="766"/>
      <c r="F25" s="158"/>
      <c r="G25" s="158"/>
      <c r="H25" s="366"/>
      <c r="I25" s="159"/>
      <c r="J25" s="159"/>
      <c r="K25" s="159"/>
      <c r="L25" s="160"/>
      <c r="M25" s="754"/>
      <c r="N25" s="158"/>
      <c r="O25" s="158"/>
      <c r="P25" s="158"/>
      <c r="Q25" s="160"/>
      <c r="R25" s="752"/>
      <c r="S25" s="752"/>
      <c r="T25" s="752"/>
      <c r="U25" s="752"/>
      <c r="V25" s="752"/>
      <c r="W25" s="752"/>
      <c r="X25" s="752"/>
      <c r="Y25" s="752"/>
      <c r="Z25" s="752"/>
      <c r="AA25" s="752"/>
      <c r="AB25" s="752"/>
      <c r="AC25" s="749"/>
    </row>
    <row r="26" spans="1:29" s="802" customFormat="1" ht="15" outlineLevel="1" thickTop="1" thickBot="1" x14ac:dyDescent="0.5">
      <c r="A26" s="789"/>
      <c r="B26" s="790"/>
      <c r="C26" s="791" t="s">
        <v>311</v>
      </c>
      <c r="D26" s="792"/>
      <c r="E26" s="793"/>
      <c r="F26" s="792"/>
      <c r="G26" s="794" t="s">
        <v>312</v>
      </c>
      <c r="H26" s="795" t="s">
        <v>313</v>
      </c>
      <c r="I26" s="796">
        <f>+'eTool Data Engine'!F38</f>
        <v>0</v>
      </c>
      <c r="J26" s="796">
        <f ca="1">+'eTool Data Engine'!F40</f>
        <v>0.02</v>
      </c>
      <c r="K26" s="797">
        <f ca="1">+'eTool Data Engine'!F39</f>
        <v>1</v>
      </c>
      <c r="L26" s="798">
        <v>3</v>
      </c>
      <c r="M26" s="790"/>
      <c r="N26" s="799" t="s">
        <v>314</v>
      </c>
      <c r="O26" s="792"/>
      <c r="P26" s="800"/>
      <c r="Q26" s="801" t="s">
        <v>315</v>
      </c>
      <c r="R26" s="752"/>
      <c r="S26" s="752"/>
      <c r="T26" s="752"/>
      <c r="U26" s="752"/>
      <c r="V26" s="752"/>
      <c r="W26" s="752"/>
      <c r="X26" s="752"/>
      <c r="Y26" s="752"/>
      <c r="Z26" s="752"/>
      <c r="AA26" s="752"/>
      <c r="AB26" s="752"/>
      <c r="AC26" s="752"/>
    </row>
    <row r="27" spans="1:29" s="802" customFormat="1" ht="6" customHeight="1" outlineLevel="1" thickBot="1" x14ac:dyDescent="0.5">
      <c r="A27" s="789"/>
      <c r="B27" s="790"/>
      <c r="C27" s="792"/>
      <c r="D27" s="792"/>
      <c r="E27" s="793"/>
      <c r="F27" s="792"/>
      <c r="G27" s="792"/>
      <c r="H27" s="795"/>
      <c r="I27" s="803"/>
      <c r="J27" s="803"/>
      <c r="K27" s="803"/>
      <c r="L27" s="798"/>
      <c r="M27" s="790"/>
      <c r="N27" s="792"/>
      <c r="O27" s="792"/>
      <c r="P27" s="792"/>
      <c r="Q27" s="804"/>
      <c r="R27" s="752"/>
      <c r="S27" s="752"/>
      <c r="T27" s="752"/>
      <c r="U27" s="752"/>
      <c r="V27" s="752"/>
      <c r="W27" s="752"/>
      <c r="X27" s="752"/>
      <c r="Y27" s="752"/>
      <c r="Z27" s="752"/>
      <c r="AA27" s="752"/>
      <c r="AB27" s="752"/>
      <c r="AC27" s="752"/>
    </row>
    <row r="28" spans="1:29" s="802" customFormat="1" ht="15" outlineLevel="1" thickTop="1" thickBot="1" x14ac:dyDescent="0.5">
      <c r="A28" s="789"/>
      <c r="B28" s="790"/>
      <c r="C28" s="791" t="s">
        <v>316</v>
      </c>
      <c r="D28" s="792"/>
      <c r="E28" s="793"/>
      <c r="F28" s="792"/>
      <c r="G28" s="794" t="s">
        <v>317</v>
      </c>
      <c r="H28" s="795" t="s">
        <v>318</v>
      </c>
      <c r="I28" s="785">
        <f>+'eTool Data Engine'!F27</f>
        <v>0.01</v>
      </c>
      <c r="J28" s="785">
        <f ca="1">+'eTool Data Engine'!F29</f>
        <v>1.4999999999999999E-2</v>
      </c>
      <c r="K28" s="786">
        <f ca="1">+'eTool Data Engine'!F28</f>
        <v>3</v>
      </c>
      <c r="L28" s="798">
        <v>2</v>
      </c>
      <c r="M28" s="790"/>
      <c r="N28" s="791" t="s">
        <v>319</v>
      </c>
      <c r="O28" s="792"/>
      <c r="P28" s="805">
        <f ca="1">+SUM(H73:Q73)</f>
        <v>-2612736.6149164233</v>
      </c>
      <c r="Q28" s="806">
        <f ca="1">+P28/10</f>
        <v>-261273.66149164233</v>
      </c>
      <c r="R28" s="752"/>
      <c r="S28" s="752"/>
      <c r="T28" s="752"/>
      <c r="U28" s="752"/>
      <c r="V28" s="752"/>
      <c r="W28" s="752"/>
      <c r="X28" s="752"/>
      <c r="Y28" s="752"/>
      <c r="Z28" s="752"/>
      <c r="AA28" s="752"/>
      <c r="AB28" s="752"/>
      <c r="AC28" s="752"/>
    </row>
    <row r="29" spans="1:29" s="802" customFormat="1" ht="6" customHeight="1" outlineLevel="1" thickBot="1" x14ac:dyDescent="0.5">
      <c r="A29" s="789"/>
      <c r="B29" s="790"/>
      <c r="C29" s="792"/>
      <c r="D29" s="792"/>
      <c r="E29" s="793"/>
      <c r="F29" s="792"/>
      <c r="G29" s="792"/>
      <c r="H29" s="792"/>
      <c r="I29" s="792"/>
      <c r="J29" s="792"/>
      <c r="K29" s="792"/>
      <c r="L29" s="804"/>
      <c r="M29" s="790"/>
      <c r="N29" s="792"/>
      <c r="O29" s="792"/>
      <c r="P29" s="792"/>
      <c r="Q29" s="804"/>
      <c r="R29" s="752"/>
      <c r="S29" s="752"/>
      <c r="T29" s="752"/>
      <c r="U29" s="752"/>
      <c r="V29" s="752"/>
      <c r="W29" s="752"/>
      <c r="X29" s="752"/>
      <c r="Y29" s="752"/>
      <c r="Z29" s="752"/>
      <c r="AA29" s="752"/>
      <c r="AB29" s="752"/>
      <c r="AC29" s="752"/>
    </row>
    <row r="30" spans="1:29" s="802" customFormat="1" ht="16.149999999999999" outlineLevel="1" thickBot="1" x14ac:dyDescent="0.55000000000000004">
      <c r="A30" s="789"/>
      <c r="B30" s="790"/>
      <c r="C30" s="791" t="s">
        <v>271</v>
      </c>
      <c r="D30" s="792"/>
      <c r="E30" s="793"/>
      <c r="F30" s="792"/>
      <c r="G30" s="807" t="s">
        <v>123</v>
      </c>
      <c r="H30" s="808" t="str">
        <f ca="1">+IF(AND(D106="FAIL",D107="Fail",D120="Fail"),"VIOLATION EXISTS",IF(AND(D106="PASS",D107="Fail",D120="FAIL"),"VIOLATION EXISTS",IF(AND(D106="Fail",D107="Fail",D120="PASS"),"VIOLATION EXISTS",IF(AND(D106="Fail",D107="PASS",D120="Fail"),"VIOLATION EXISTS","REQUIREMENTS MET"))))</f>
        <v>REQUIREMENTS MET</v>
      </c>
      <c r="I30" s="809" t="s">
        <v>320</v>
      </c>
      <c r="J30" s="810" t="s">
        <v>321</v>
      </c>
      <c r="K30" s="809" t="s">
        <v>322</v>
      </c>
      <c r="L30" s="811"/>
      <c r="M30" s="790"/>
      <c r="N30" s="791" t="s">
        <v>323</v>
      </c>
      <c r="O30" s="792"/>
      <c r="P30" s="805">
        <f ca="1">+SUM(H73:AA73)</f>
        <v>-6704991.6337651033</v>
      </c>
      <c r="Q30" s="812">
        <f>-+'Paste Financial Sched.'!B9</f>
        <v>-335249.58</v>
      </c>
      <c r="R30" s="752"/>
      <c r="S30" s="752"/>
      <c r="T30" s="752"/>
      <c r="U30" s="752"/>
      <c r="V30" s="752"/>
      <c r="W30" s="752"/>
      <c r="X30" s="752"/>
      <c r="Y30" s="752"/>
      <c r="Z30" s="752"/>
      <c r="AA30" s="752"/>
      <c r="AB30" s="752"/>
      <c r="AC30" s="752"/>
    </row>
    <row r="31" spans="1:29" ht="42.75" customHeight="1" outlineLevel="1" thickBot="1" x14ac:dyDescent="0.5">
      <c r="A31" s="750"/>
      <c r="B31" s="754"/>
      <c r="C31" s="158"/>
      <c r="D31" s="158"/>
      <c r="E31" s="1126" t="s">
        <v>324</v>
      </c>
      <c r="F31" s="1126"/>
      <c r="G31" s="1126"/>
      <c r="H31" s="158"/>
      <c r="I31" s="813" t="s">
        <v>325</v>
      </c>
      <c r="J31" s="732" t="s">
        <v>326</v>
      </c>
      <c r="K31" s="814" t="s">
        <v>327</v>
      </c>
      <c r="L31" s="160"/>
      <c r="M31" s="815"/>
      <c r="N31" s="170"/>
      <c r="O31" s="170"/>
      <c r="P31" s="170"/>
      <c r="Q31" s="171"/>
      <c r="R31" s="752"/>
      <c r="S31" s="752"/>
      <c r="T31" s="752"/>
      <c r="U31" s="752"/>
      <c r="V31" s="752"/>
      <c r="W31" s="752"/>
      <c r="X31" s="752"/>
      <c r="Y31" s="752"/>
      <c r="Z31" s="752"/>
      <c r="AA31" s="752"/>
      <c r="AB31" s="752"/>
      <c r="AC31" s="749"/>
    </row>
    <row r="32" spans="1:29" ht="14.65" outlineLevel="2" thickBot="1" x14ac:dyDescent="0.5">
      <c r="A32" s="750"/>
      <c r="B32" s="754"/>
      <c r="C32" s="760" t="s">
        <v>328</v>
      </c>
      <c r="D32" s="158"/>
      <c r="E32" s="1126"/>
      <c r="F32" s="1126"/>
      <c r="G32" s="1126"/>
      <c r="H32" s="158"/>
      <c r="I32" s="816">
        <v>0</v>
      </c>
      <c r="J32" s="816">
        <v>0</v>
      </c>
      <c r="K32" s="817">
        <v>0</v>
      </c>
      <c r="L32" s="160"/>
      <c r="M32" s="752"/>
      <c r="N32" s="752"/>
      <c r="O32" s="752"/>
      <c r="P32" s="752"/>
      <c r="Q32" s="752"/>
      <c r="R32" s="752"/>
      <c r="S32" s="752"/>
      <c r="T32" s="752"/>
      <c r="U32" s="752"/>
      <c r="V32" s="752"/>
      <c r="W32" s="752"/>
      <c r="X32" s="752"/>
      <c r="Y32" s="752"/>
      <c r="Z32" s="752"/>
      <c r="AA32" s="752"/>
      <c r="AB32" s="752"/>
      <c r="AC32" s="749"/>
    </row>
    <row r="33" spans="1:29" ht="6" customHeight="1" outlineLevel="2" thickBot="1" x14ac:dyDescent="0.5">
      <c r="A33" s="750"/>
      <c r="B33" s="754"/>
      <c r="C33" s="158"/>
      <c r="D33" s="158"/>
      <c r="E33" s="766"/>
      <c r="F33" s="158"/>
      <c r="G33" s="158"/>
      <c r="H33" s="158"/>
      <c r="I33" s="158"/>
      <c r="J33" s="158"/>
      <c r="K33" s="818"/>
      <c r="L33" s="160"/>
      <c r="M33" s="752"/>
      <c r="N33" s="752"/>
      <c r="O33" s="752"/>
      <c r="P33" s="752"/>
      <c r="Q33" s="752"/>
      <c r="R33" s="752"/>
      <c r="S33" s="752"/>
      <c r="T33" s="752"/>
      <c r="U33" s="752"/>
      <c r="V33" s="752"/>
      <c r="W33" s="752"/>
      <c r="X33" s="752"/>
      <c r="Y33" s="752"/>
      <c r="Z33" s="752"/>
      <c r="AA33" s="752"/>
      <c r="AB33" s="752"/>
      <c r="AC33" s="749"/>
    </row>
    <row r="34" spans="1:29" ht="15" outlineLevel="2" thickTop="1" thickBot="1" x14ac:dyDescent="0.5">
      <c r="A34" s="750"/>
      <c r="B34" s="754"/>
      <c r="C34" s="760" t="s">
        <v>329</v>
      </c>
      <c r="D34" s="158"/>
      <c r="E34" s="766"/>
      <c r="F34" s="158"/>
      <c r="G34" s="158"/>
      <c r="H34" s="158" t="s">
        <v>330</v>
      </c>
      <c r="I34" s="1186"/>
      <c r="J34" s="1187"/>
      <c r="K34" s="818"/>
      <c r="L34" s="160"/>
      <c r="M34" s="752"/>
      <c r="N34" s="752"/>
      <c r="O34" s="752"/>
      <c r="P34" s="752"/>
      <c r="Q34" s="752"/>
      <c r="R34" s="752"/>
      <c r="S34" s="752"/>
      <c r="T34" s="752"/>
      <c r="U34" s="752"/>
      <c r="V34" s="752"/>
      <c r="W34" s="752"/>
      <c r="X34" s="752"/>
      <c r="Y34" s="752"/>
      <c r="Z34" s="752"/>
      <c r="AA34" s="752"/>
      <c r="AB34" s="752"/>
      <c r="AC34" s="749"/>
    </row>
    <row r="35" spans="1:29" ht="6" customHeight="1" outlineLevel="2" x14ac:dyDescent="0.45">
      <c r="A35" s="750"/>
      <c r="B35" s="754"/>
      <c r="C35" s="158"/>
      <c r="D35" s="158"/>
      <c r="E35" s="766"/>
      <c r="F35" s="158"/>
      <c r="G35" s="158"/>
      <c r="H35" s="158"/>
      <c r="I35" s="1188"/>
      <c r="J35" s="1189"/>
      <c r="K35" s="818"/>
      <c r="L35" s="160"/>
      <c r="M35" s="752"/>
      <c r="N35" s="752"/>
      <c r="O35" s="752"/>
      <c r="P35" s="752"/>
      <c r="Q35" s="752"/>
      <c r="R35" s="752"/>
      <c r="S35" s="752"/>
      <c r="T35" s="752"/>
      <c r="U35" s="752"/>
      <c r="V35" s="752"/>
      <c r="W35" s="752"/>
      <c r="X35" s="752"/>
      <c r="Y35" s="752"/>
      <c r="Z35" s="752"/>
      <c r="AA35" s="752"/>
      <c r="AB35" s="752"/>
      <c r="AC35" s="749"/>
    </row>
    <row r="36" spans="1:29" outlineLevel="2" x14ac:dyDescent="0.45">
      <c r="A36" s="750"/>
      <c r="B36" s="754"/>
      <c r="C36" s="158"/>
      <c r="D36" s="158"/>
      <c r="E36" s="766"/>
      <c r="F36" s="158"/>
      <c r="G36" s="158"/>
      <c r="H36" s="158"/>
      <c r="I36" s="1188"/>
      <c r="J36" s="1189"/>
      <c r="K36" s="818"/>
      <c r="L36" s="160"/>
      <c r="M36" s="752"/>
      <c r="N36" s="752"/>
      <c r="O36" s="752"/>
      <c r="P36" s="752"/>
      <c r="Q36" s="752"/>
      <c r="R36" s="752"/>
      <c r="S36" s="752"/>
      <c r="T36" s="752"/>
      <c r="U36" s="752"/>
      <c r="V36" s="752"/>
      <c r="W36" s="752"/>
      <c r="X36" s="752"/>
      <c r="Y36" s="752"/>
      <c r="Z36" s="752"/>
      <c r="AA36" s="752"/>
      <c r="AB36" s="752"/>
      <c r="AC36" s="749"/>
    </row>
    <row r="37" spans="1:29" outlineLevel="2" x14ac:dyDescent="0.45">
      <c r="A37" s="750"/>
      <c r="B37" s="754"/>
      <c r="C37" s="158"/>
      <c r="D37" s="158"/>
      <c r="E37" s="766"/>
      <c r="F37" s="158"/>
      <c r="G37" s="158"/>
      <c r="H37" s="158"/>
      <c r="I37" s="1190"/>
      <c r="J37" s="1191"/>
      <c r="K37" s="818"/>
      <c r="L37" s="160"/>
      <c r="M37" s="752"/>
      <c r="N37" s="752"/>
      <c r="O37" s="752"/>
      <c r="P37" s="752"/>
      <c r="Q37" s="752"/>
      <c r="R37" s="752"/>
      <c r="S37" s="752"/>
      <c r="T37" s="752"/>
      <c r="U37" s="752"/>
      <c r="V37" s="752"/>
      <c r="W37" s="752"/>
      <c r="X37" s="752"/>
      <c r="Y37" s="752"/>
      <c r="Z37" s="752"/>
      <c r="AA37" s="752"/>
      <c r="AB37" s="752"/>
      <c r="AC37" s="749"/>
    </row>
    <row r="38" spans="1:29" outlineLevel="2" x14ac:dyDescent="0.45">
      <c r="A38" s="750"/>
      <c r="B38" s="754"/>
      <c r="C38" s="158"/>
      <c r="D38" s="158"/>
      <c r="E38" s="766"/>
      <c r="F38" s="158"/>
      <c r="G38" s="158"/>
      <c r="H38" s="158"/>
      <c r="I38" s="158"/>
      <c r="J38" s="158"/>
      <c r="K38" s="818"/>
      <c r="L38" s="160"/>
      <c r="M38" s="752"/>
      <c r="N38" s="752"/>
      <c r="O38" s="752"/>
      <c r="P38" s="752"/>
      <c r="Q38" s="752"/>
      <c r="R38" s="752"/>
      <c r="S38" s="752"/>
      <c r="T38" s="752"/>
      <c r="U38" s="752"/>
      <c r="V38" s="752"/>
      <c r="W38" s="752"/>
      <c r="X38" s="752"/>
      <c r="Y38" s="752"/>
      <c r="Z38" s="752"/>
      <c r="AA38" s="752"/>
      <c r="AB38" s="752"/>
      <c r="AC38" s="749"/>
    </row>
    <row r="39" spans="1:29" outlineLevel="2" x14ac:dyDescent="0.45">
      <c r="A39" s="750"/>
      <c r="B39" s="754"/>
      <c r="C39" s="158"/>
      <c r="D39" s="158"/>
      <c r="E39" s="766"/>
      <c r="F39" s="158"/>
      <c r="G39" s="158"/>
      <c r="H39" s="158"/>
      <c r="I39" s="158"/>
      <c r="J39" s="158"/>
      <c r="K39" s="818"/>
      <c r="L39" s="160"/>
      <c r="M39" s="752"/>
      <c r="N39" s="752"/>
      <c r="O39" s="752"/>
      <c r="P39" s="752"/>
      <c r="Q39" s="752"/>
      <c r="R39" s="752"/>
      <c r="S39" s="752"/>
      <c r="T39" s="752"/>
      <c r="U39" s="752"/>
      <c r="V39" s="752"/>
      <c r="W39" s="752"/>
      <c r="X39" s="752"/>
      <c r="Y39" s="752"/>
      <c r="Z39" s="752"/>
      <c r="AA39" s="752"/>
      <c r="AB39" s="752"/>
      <c r="AC39" s="749"/>
    </row>
    <row r="40" spans="1:29" outlineLevel="2" x14ac:dyDescent="0.45">
      <c r="A40" s="750"/>
      <c r="B40" s="754"/>
      <c r="C40" s="158"/>
      <c r="D40" s="158"/>
      <c r="E40" s="766"/>
      <c r="F40" s="763"/>
      <c r="G40" s="764" t="s">
        <v>331</v>
      </c>
      <c r="H40" s="765"/>
      <c r="I40" s="765"/>
      <c r="J40" s="765"/>
      <c r="K40" s="818"/>
      <c r="L40" s="160"/>
      <c r="M40" s="752"/>
      <c r="N40" s="752"/>
      <c r="O40" s="752"/>
      <c r="P40" s="752"/>
      <c r="Q40" s="752"/>
      <c r="R40" s="752"/>
      <c r="S40" s="752"/>
      <c r="T40" s="752"/>
      <c r="U40" s="752"/>
      <c r="V40" s="752"/>
      <c r="W40" s="752"/>
      <c r="X40" s="752"/>
      <c r="Y40" s="752"/>
      <c r="Z40" s="752"/>
      <c r="AA40" s="752"/>
      <c r="AB40" s="752"/>
      <c r="AC40" s="749"/>
    </row>
    <row r="41" spans="1:29" outlineLevel="2" x14ac:dyDescent="0.45">
      <c r="A41" s="750"/>
      <c r="B41" s="754"/>
      <c r="C41" s="158"/>
      <c r="D41" s="158"/>
      <c r="E41" s="766"/>
      <c r="F41" s="766"/>
      <c r="G41" s="158" t="s">
        <v>332</v>
      </c>
      <c r="H41" s="158"/>
      <c r="I41" s="158"/>
      <c r="J41" s="158"/>
      <c r="K41" s="818"/>
      <c r="L41" s="160"/>
      <c r="M41" s="752"/>
      <c r="N41" s="752"/>
      <c r="O41" s="752"/>
      <c r="P41" s="752"/>
      <c r="Q41" s="752"/>
      <c r="R41" s="752"/>
      <c r="S41" s="752"/>
      <c r="T41" s="752"/>
      <c r="U41" s="752"/>
      <c r="V41" s="752"/>
      <c r="W41" s="752"/>
      <c r="X41" s="752"/>
      <c r="Y41" s="752"/>
      <c r="Z41" s="752"/>
      <c r="AA41" s="752"/>
      <c r="AB41" s="752"/>
      <c r="AC41" s="749"/>
    </row>
    <row r="42" spans="1:29" outlineLevel="2" x14ac:dyDescent="0.45">
      <c r="A42" s="750"/>
      <c r="B42" s="754"/>
      <c r="C42" s="158"/>
      <c r="D42" s="158"/>
      <c r="E42" s="766"/>
      <c r="F42" s="766"/>
      <c r="G42" s="158" t="s">
        <v>333</v>
      </c>
      <c r="H42" s="158"/>
      <c r="I42" s="158"/>
      <c r="J42" s="158"/>
      <c r="K42" s="818"/>
      <c r="L42" s="160"/>
      <c r="M42" s="752"/>
      <c r="N42" s="752"/>
      <c r="O42" s="752"/>
      <c r="P42" s="752"/>
      <c r="Q42" s="752"/>
      <c r="R42" s="752"/>
      <c r="S42" s="752"/>
      <c r="T42" s="752"/>
      <c r="U42" s="752"/>
      <c r="V42" s="752"/>
      <c r="W42" s="752"/>
      <c r="X42" s="752"/>
      <c r="Y42" s="752"/>
      <c r="Z42" s="752"/>
      <c r="AA42" s="752"/>
      <c r="AB42" s="752"/>
      <c r="AC42" s="749"/>
    </row>
    <row r="43" spans="1:29" outlineLevel="2" x14ac:dyDescent="0.45">
      <c r="A43" s="750"/>
      <c r="B43" s="754"/>
      <c r="C43" s="158"/>
      <c r="D43" s="158"/>
      <c r="E43" s="766"/>
      <c r="F43" s="766"/>
      <c r="G43" s="158" t="s">
        <v>334</v>
      </c>
      <c r="H43" s="158"/>
      <c r="I43" s="158"/>
      <c r="J43" s="158"/>
      <c r="K43" s="818"/>
      <c r="L43" s="160"/>
      <c r="M43" s="752"/>
      <c r="N43" s="752"/>
      <c r="O43" s="752"/>
      <c r="P43" s="752"/>
      <c r="Q43" s="752"/>
      <c r="R43" s="752"/>
      <c r="S43" s="752"/>
      <c r="T43" s="752"/>
      <c r="U43" s="752"/>
      <c r="V43" s="752"/>
      <c r="W43" s="752"/>
      <c r="X43" s="752"/>
      <c r="Y43" s="752"/>
      <c r="Z43" s="752"/>
      <c r="AA43" s="752"/>
      <c r="AB43" s="752"/>
      <c r="AC43" s="749"/>
    </row>
    <row r="44" spans="1:29" outlineLevel="2" x14ac:dyDescent="0.45">
      <c r="A44" s="750"/>
      <c r="B44" s="754"/>
      <c r="C44" s="158"/>
      <c r="D44" s="158"/>
      <c r="E44" s="766"/>
      <c r="F44" s="766"/>
      <c r="G44" s="158"/>
      <c r="H44" s="158"/>
      <c r="I44" s="158"/>
      <c r="J44" s="158"/>
      <c r="K44" s="818"/>
      <c r="L44" s="160"/>
      <c r="M44" s="752"/>
      <c r="N44" s="752"/>
      <c r="O44" s="752"/>
      <c r="P44" s="752"/>
      <c r="Q44" s="752"/>
      <c r="R44" s="752"/>
      <c r="S44" s="752"/>
      <c r="T44" s="752"/>
      <c r="U44" s="752"/>
      <c r="V44" s="752"/>
      <c r="W44" s="752"/>
      <c r="X44" s="752"/>
      <c r="Y44" s="752"/>
      <c r="Z44" s="752"/>
      <c r="AA44" s="752"/>
      <c r="AB44" s="752"/>
      <c r="AC44" s="749"/>
    </row>
    <row r="45" spans="1:29" outlineLevel="2" x14ac:dyDescent="0.45">
      <c r="A45" s="750"/>
      <c r="B45" s="754"/>
      <c r="C45" s="158"/>
      <c r="D45" s="158"/>
      <c r="E45" s="766"/>
      <c r="F45" s="766"/>
      <c r="G45" s="158" t="s">
        <v>335</v>
      </c>
      <c r="H45" s="158"/>
      <c r="I45" s="158"/>
      <c r="J45" s="158"/>
      <c r="K45" s="818"/>
      <c r="L45" s="160"/>
      <c r="M45" s="752"/>
      <c r="N45" s="752"/>
      <c r="O45" s="752"/>
      <c r="P45" s="752"/>
      <c r="Q45" s="752"/>
      <c r="R45" s="752"/>
      <c r="S45" s="752"/>
      <c r="T45" s="752"/>
      <c r="U45" s="752"/>
      <c r="V45" s="752"/>
      <c r="W45" s="752"/>
      <c r="X45" s="752"/>
      <c r="Y45" s="752"/>
      <c r="Z45" s="752"/>
      <c r="AA45" s="752"/>
      <c r="AB45" s="752"/>
      <c r="AC45" s="749"/>
    </row>
    <row r="46" spans="1:29" outlineLevel="2" x14ac:dyDescent="0.45">
      <c r="A46" s="750"/>
      <c r="B46" s="754"/>
      <c r="C46" s="158"/>
      <c r="D46" s="158"/>
      <c r="E46" s="766"/>
      <c r="F46" s="766"/>
      <c r="G46" s="158" t="s">
        <v>336</v>
      </c>
      <c r="H46" s="158"/>
      <c r="I46" s="158"/>
      <c r="J46" s="158"/>
      <c r="K46" s="818"/>
      <c r="L46" s="160"/>
      <c r="M46" s="752"/>
      <c r="N46" s="752"/>
      <c r="O46" s="752"/>
      <c r="P46" s="752"/>
      <c r="Q46" s="752"/>
      <c r="R46" s="752"/>
      <c r="S46" s="752"/>
      <c r="T46" s="752"/>
      <c r="U46" s="752"/>
      <c r="V46" s="752"/>
      <c r="W46" s="752"/>
      <c r="X46" s="752"/>
      <c r="Y46" s="752"/>
      <c r="Z46" s="752"/>
      <c r="AA46" s="752"/>
      <c r="AB46" s="752"/>
      <c r="AC46" s="749"/>
    </row>
    <row r="47" spans="1:29" outlineLevel="2" x14ac:dyDescent="0.45">
      <c r="A47" s="750"/>
      <c r="B47" s="754"/>
      <c r="C47" s="158"/>
      <c r="D47" s="158"/>
      <c r="E47" s="766"/>
      <c r="F47" s="766"/>
      <c r="G47" s="158"/>
      <c r="H47" s="158"/>
      <c r="I47" s="158"/>
      <c r="J47" s="158"/>
      <c r="K47" s="818"/>
      <c r="L47" s="160"/>
      <c r="M47" s="752"/>
      <c r="N47" s="752"/>
      <c r="O47" s="752"/>
      <c r="P47" s="752"/>
      <c r="Q47" s="752"/>
      <c r="R47" s="752"/>
      <c r="S47" s="752"/>
      <c r="T47" s="752"/>
      <c r="U47" s="752"/>
      <c r="V47" s="752"/>
      <c r="W47" s="752"/>
      <c r="X47" s="752"/>
      <c r="Y47" s="752"/>
      <c r="Z47" s="752"/>
      <c r="AA47" s="752"/>
      <c r="AB47" s="752"/>
      <c r="AC47" s="749"/>
    </row>
    <row r="48" spans="1:29" outlineLevel="2" x14ac:dyDescent="0.45">
      <c r="A48" s="750"/>
      <c r="B48" s="754"/>
      <c r="C48" s="158"/>
      <c r="D48" s="158"/>
      <c r="E48" s="766"/>
      <c r="F48" s="766"/>
      <c r="G48" s="158" t="s">
        <v>337</v>
      </c>
      <c r="H48" s="158"/>
      <c r="I48" s="158"/>
      <c r="J48" s="158"/>
      <c r="K48" s="818"/>
      <c r="L48" s="160"/>
      <c r="M48" s="752"/>
      <c r="N48" s="752"/>
      <c r="O48" s="752"/>
      <c r="P48" s="752"/>
      <c r="Q48" s="752"/>
      <c r="R48" s="752"/>
      <c r="S48" s="752"/>
      <c r="T48" s="752"/>
      <c r="U48" s="752"/>
      <c r="V48" s="752"/>
      <c r="W48" s="752"/>
      <c r="X48" s="752"/>
      <c r="Y48" s="752"/>
      <c r="Z48" s="752"/>
      <c r="AA48" s="752"/>
      <c r="AB48" s="752"/>
      <c r="AC48" s="749"/>
    </row>
    <row r="49" spans="1:29" outlineLevel="2" x14ac:dyDescent="0.45">
      <c r="A49" s="750"/>
      <c r="B49" s="754"/>
      <c r="C49" s="158"/>
      <c r="D49" s="158"/>
      <c r="E49" s="766"/>
      <c r="F49" s="766"/>
      <c r="G49" s="158" t="s">
        <v>338</v>
      </c>
      <c r="H49" s="158"/>
      <c r="I49" s="158"/>
      <c r="J49" s="158"/>
      <c r="K49" s="818"/>
      <c r="L49" s="160"/>
      <c r="M49" s="752"/>
      <c r="N49" s="752"/>
      <c r="O49" s="752"/>
      <c r="P49" s="752"/>
      <c r="Q49" s="752"/>
      <c r="R49" s="752"/>
      <c r="S49" s="752"/>
      <c r="T49" s="752"/>
      <c r="U49" s="752"/>
      <c r="V49" s="752"/>
      <c r="W49" s="752"/>
      <c r="X49" s="752"/>
      <c r="Y49" s="752"/>
      <c r="Z49" s="752"/>
      <c r="AA49" s="752"/>
      <c r="AB49" s="752"/>
      <c r="AC49" s="749"/>
    </row>
    <row r="50" spans="1:29" outlineLevel="2" x14ac:dyDescent="0.45">
      <c r="A50" s="750"/>
      <c r="B50" s="754"/>
      <c r="C50" s="158"/>
      <c r="D50" s="158"/>
      <c r="E50" s="766"/>
      <c r="F50" s="819"/>
      <c r="G50" s="820"/>
      <c r="H50" s="820"/>
      <c r="I50" s="820"/>
      <c r="J50" s="820"/>
      <c r="K50" s="818"/>
      <c r="L50" s="160"/>
      <c r="M50" s="752"/>
      <c r="N50" s="752"/>
      <c r="O50" s="752"/>
      <c r="P50" s="752"/>
      <c r="Q50" s="752"/>
      <c r="R50" s="752"/>
      <c r="S50" s="752"/>
      <c r="T50" s="752"/>
      <c r="U50" s="752"/>
      <c r="V50" s="752"/>
      <c r="W50" s="752"/>
      <c r="X50" s="752"/>
      <c r="Y50" s="752"/>
      <c r="Z50" s="752"/>
      <c r="AA50" s="752"/>
      <c r="AB50" s="752"/>
      <c r="AC50" s="749"/>
    </row>
    <row r="51" spans="1:29" outlineLevel="2" x14ac:dyDescent="0.45">
      <c r="A51" s="750"/>
      <c r="B51" s="754"/>
      <c r="C51" s="158"/>
      <c r="D51" s="158"/>
      <c r="E51" s="819"/>
      <c r="F51" s="820"/>
      <c r="G51" s="820"/>
      <c r="H51" s="820"/>
      <c r="I51" s="820"/>
      <c r="J51" s="820"/>
      <c r="K51" s="821"/>
      <c r="L51" s="160"/>
      <c r="M51" s="752"/>
      <c r="N51" s="752"/>
      <c r="O51" s="752"/>
      <c r="P51" s="752"/>
      <c r="Q51" s="752"/>
      <c r="R51" s="752"/>
      <c r="S51" s="752"/>
      <c r="T51" s="752"/>
      <c r="U51" s="752"/>
      <c r="V51" s="752"/>
      <c r="W51" s="752"/>
      <c r="X51" s="752"/>
      <c r="Y51" s="752"/>
      <c r="Z51" s="752"/>
      <c r="AA51" s="752"/>
      <c r="AB51" s="752"/>
      <c r="AC51" s="749"/>
    </row>
    <row r="52" spans="1:29" ht="14.65" outlineLevel="2" thickBot="1" x14ac:dyDescent="0.5">
      <c r="A52" s="750"/>
      <c r="B52" s="815"/>
      <c r="C52" s="170"/>
      <c r="D52" s="170"/>
      <c r="E52" s="170"/>
      <c r="F52" s="170"/>
      <c r="G52" s="170"/>
      <c r="H52" s="170"/>
      <c r="I52" s="170"/>
      <c r="J52" s="170"/>
      <c r="K52" s="170"/>
      <c r="L52" s="171"/>
      <c r="M52" s="752"/>
      <c r="N52" s="752"/>
      <c r="O52" s="752"/>
      <c r="P52" s="752"/>
      <c r="Q52" s="752"/>
      <c r="R52" s="752"/>
      <c r="S52" s="752"/>
      <c r="T52" s="752"/>
      <c r="U52" s="752"/>
      <c r="V52" s="752"/>
      <c r="W52" s="752"/>
      <c r="X52" s="752"/>
      <c r="Y52" s="752"/>
      <c r="Z52" s="752"/>
      <c r="AA52" s="752"/>
      <c r="AB52" s="752"/>
      <c r="AC52" s="749"/>
    </row>
    <row r="53" spans="1:29" outlineLevel="2" x14ac:dyDescent="0.45">
      <c r="A53" s="750"/>
      <c r="B53" s="752"/>
      <c r="C53" s="752"/>
      <c r="D53" s="752"/>
      <c r="E53" s="752"/>
      <c r="F53" s="752"/>
      <c r="G53" s="752"/>
      <c r="H53" s="752"/>
      <c r="I53" s="752"/>
      <c r="J53" s="752"/>
      <c r="K53" s="752"/>
      <c r="L53" s="752"/>
      <c r="M53" s="752"/>
      <c r="N53" s="752"/>
      <c r="O53" s="752"/>
      <c r="P53" s="752"/>
      <c r="Q53" s="752"/>
      <c r="R53" s="752"/>
      <c r="S53" s="752"/>
      <c r="T53" s="752"/>
      <c r="U53" s="752"/>
      <c r="V53" s="752"/>
      <c r="W53" s="752"/>
      <c r="X53" s="752"/>
      <c r="Y53" s="752"/>
      <c r="Z53" s="752"/>
      <c r="AA53" s="752"/>
      <c r="AB53" s="752"/>
      <c r="AC53" s="749"/>
    </row>
    <row r="54" spans="1:29" outlineLevel="1" x14ac:dyDescent="0.45">
      <c r="A54" s="750"/>
      <c r="B54" s="822"/>
      <c r="C54" s="823"/>
      <c r="D54" s="823"/>
      <c r="E54" s="823"/>
      <c r="F54" s="823"/>
      <c r="G54" s="823"/>
      <c r="H54" s="823"/>
      <c r="I54" s="823"/>
      <c r="J54" s="823"/>
      <c r="K54" s="823"/>
      <c r="L54" s="823"/>
      <c r="M54" s="823"/>
      <c r="N54" s="823"/>
      <c r="O54" s="823"/>
      <c r="P54" s="823"/>
      <c r="Q54" s="823"/>
      <c r="R54" s="823"/>
      <c r="S54" s="823"/>
      <c r="T54" s="823"/>
      <c r="U54" s="823"/>
      <c r="V54" s="823"/>
      <c r="W54" s="823"/>
      <c r="X54" s="823"/>
      <c r="Y54" s="823"/>
      <c r="Z54" s="823"/>
      <c r="AA54" s="823"/>
      <c r="AB54" s="823"/>
      <c r="AC54" s="749"/>
    </row>
    <row r="55" spans="1:29" ht="41.25" customHeight="1" x14ac:dyDescent="0.45">
      <c r="A55" s="750"/>
      <c r="B55" s="824" t="s">
        <v>339</v>
      </c>
      <c r="C55" s="1192" t="s">
        <v>340</v>
      </c>
      <c r="D55" s="1192"/>
      <c r="E55" s="1192"/>
      <c r="F55" s="1192"/>
      <c r="G55" s="1192"/>
      <c r="H55" s="823"/>
      <c r="I55" s="823"/>
      <c r="J55" s="823"/>
      <c r="K55" s="823"/>
      <c r="L55" s="823"/>
      <c r="M55" s="823"/>
      <c r="N55" s="823"/>
      <c r="O55" s="823"/>
      <c r="P55" s="823"/>
      <c r="Q55" s="825"/>
      <c r="R55" s="823"/>
      <c r="S55" s="823"/>
      <c r="T55" s="823"/>
      <c r="U55" s="823"/>
      <c r="V55" s="823"/>
      <c r="W55" s="823"/>
      <c r="X55" s="823"/>
      <c r="Y55" s="823"/>
      <c r="Z55" s="823"/>
      <c r="AA55" s="823"/>
      <c r="AB55" s="826"/>
      <c r="AC55" s="749"/>
    </row>
    <row r="56" spans="1:29" x14ac:dyDescent="0.45">
      <c r="A56" s="750"/>
      <c r="B56" s="827"/>
      <c r="C56" s="1183" t="s">
        <v>341</v>
      </c>
      <c r="D56" s="1183"/>
      <c r="E56" s="1183"/>
      <c r="F56" s="1183"/>
      <c r="G56" s="1183"/>
      <c r="H56" s="94" t="s">
        <v>73</v>
      </c>
      <c r="I56" s="94" t="s">
        <v>73</v>
      </c>
      <c r="J56" s="94" t="s">
        <v>73</v>
      </c>
      <c r="K56" s="94" t="s">
        <v>73</v>
      </c>
      <c r="L56" s="94" t="s">
        <v>73</v>
      </c>
      <c r="M56" s="94" t="s">
        <v>73</v>
      </c>
      <c r="N56" s="94" t="s">
        <v>73</v>
      </c>
      <c r="O56" s="94" t="s">
        <v>73</v>
      </c>
      <c r="P56" s="94" t="s">
        <v>73</v>
      </c>
      <c r="Q56" s="828" t="s">
        <v>73</v>
      </c>
      <c r="R56" s="94" t="s">
        <v>73</v>
      </c>
      <c r="S56" s="94" t="s">
        <v>73</v>
      </c>
      <c r="T56" s="94" t="s">
        <v>73</v>
      </c>
      <c r="U56" s="94" t="s">
        <v>73</v>
      </c>
      <c r="V56" s="94" t="s">
        <v>73</v>
      </c>
      <c r="W56" s="94" t="s">
        <v>73</v>
      </c>
      <c r="X56" s="94" t="s">
        <v>73</v>
      </c>
      <c r="Y56" s="94" t="s">
        <v>73</v>
      </c>
      <c r="Z56" s="94" t="s">
        <v>73</v>
      </c>
      <c r="AA56" s="94" t="s">
        <v>73</v>
      </c>
      <c r="AB56" s="828"/>
      <c r="AC56" s="749"/>
    </row>
    <row r="57" spans="1:29" x14ac:dyDescent="0.45">
      <c r="A57" s="750"/>
      <c r="B57" s="827"/>
      <c r="C57" s="87" t="s">
        <v>342</v>
      </c>
      <c r="D57" s="87"/>
      <c r="E57" s="87"/>
      <c r="F57" s="87"/>
      <c r="G57" s="87"/>
      <c r="H57" s="829">
        <f t="shared" ref="H57:AA57" si="0">DAYS360($P$8,H58)/360</f>
        <v>1</v>
      </c>
      <c r="I57" s="829">
        <f t="shared" si="0"/>
        <v>2</v>
      </c>
      <c r="J57" s="829">
        <f t="shared" si="0"/>
        <v>3</v>
      </c>
      <c r="K57" s="829">
        <f t="shared" si="0"/>
        <v>4</v>
      </c>
      <c r="L57" s="829">
        <f t="shared" si="0"/>
        <v>5</v>
      </c>
      <c r="M57" s="829">
        <f t="shared" si="0"/>
        <v>6</v>
      </c>
      <c r="N57" s="829">
        <f t="shared" si="0"/>
        <v>7</v>
      </c>
      <c r="O57" s="829">
        <f t="shared" si="0"/>
        <v>8</v>
      </c>
      <c r="P57" s="829">
        <f t="shared" si="0"/>
        <v>9</v>
      </c>
      <c r="Q57" s="830">
        <f t="shared" si="0"/>
        <v>10</v>
      </c>
      <c r="R57" s="829">
        <f t="shared" si="0"/>
        <v>11</v>
      </c>
      <c r="S57" s="829">
        <f t="shared" si="0"/>
        <v>12</v>
      </c>
      <c r="T57" s="829">
        <f t="shared" si="0"/>
        <v>13</v>
      </c>
      <c r="U57" s="829">
        <f t="shared" si="0"/>
        <v>14</v>
      </c>
      <c r="V57" s="829">
        <f t="shared" si="0"/>
        <v>15</v>
      </c>
      <c r="W57" s="829">
        <f t="shared" si="0"/>
        <v>16</v>
      </c>
      <c r="X57" s="829">
        <f t="shared" si="0"/>
        <v>17</v>
      </c>
      <c r="Y57" s="829">
        <f t="shared" si="0"/>
        <v>18</v>
      </c>
      <c r="Z57" s="829">
        <f t="shared" si="0"/>
        <v>19</v>
      </c>
      <c r="AA57" s="829">
        <f t="shared" si="0"/>
        <v>20</v>
      </c>
      <c r="AB57" s="831" t="s">
        <v>343</v>
      </c>
      <c r="AC57" s="749"/>
    </row>
    <row r="58" spans="1:29" x14ac:dyDescent="0.45">
      <c r="A58" s="750"/>
      <c r="B58" s="827"/>
      <c r="C58" s="832" t="s">
        <v>344</v>
      </c>
      <c r="D58" s="87"/>
      <c r="E58" s="87"/>
      <c r="F58" s="87"/>
      <c r="G58" s="87"/>
      <c r="H58" s="833">
        <f>+DATE(YEAR(P8)+1,MONTH(P8),DAY(P8))</f>
        <v>44531</v>
      </c>
      <c r="I58" s="833">
        <f t="shared" ref="I58:AA58" si="1">+DATE(YEAR(H58)+1,MONTH(H58),DAY(H58))</f>
        <v>44896</v>
      </c>
      <c r="J58" s="833">
        <f t="shared" si="1"/>
        <v>45261</v>
      </c>
      <c r="K58" s="833">
        <f t="shared" si="1"/>
        <v>45627</v>
      </c>
      <c r="L58" s="833">
        <f t="shared" si="1"/>
        <v>45992</v>
      </c>
      <c r="M58" s="833">
        <f t="shared" si="1"/>
        <v>46357</v>
      </c>
      <c r="N58" s="833">
        <f t="shared" si="1"/>
        <v>46722</v>
      </c>
      <c r="O58" s="833">
        <f t="shared" si="1"/>
        <v>47088</v>
      </c>
      <c r="P58" s="833">
        <f t="shared" si="1"/>
        <v>47453</v>
      </c>
      <c r="Q58" s="834">
        <f t="shared" si="1"/>
        <v>47818</v>
      </c>
      <c r="R58" s="833">
        <f t="shared" si="1"/>
        <v>48183</v>
      </c>
      <c r="S58" s="833">
        <f t="shared" si="1"/>
        <v>48549</v>
      </c>
      <c r="T58" s="833">
        <f t="shared" si="1"/>
        <v>48914</v>
      </c>
      <c r="U58" s="833">
        <f t="shared" si="1"/>
        <v>49279</v>
      </c>
      <c r="V58" s="833">
        <f t="shared" si="1"/>
        <v>49644</v>
      </c>
      <c r="W58" s="833">
        <f t="shared" si="1"/>
        <v>50010</v>
      </c>
      <c r="X58" s="833">
        <f t="shared" si="1"/>
        <v>50375</v>
      </c>
      <c r="Y58" s="833">
        <f t="shared" si="1"/>
        <v>50740</v>
      </c>
      <c r="Z58" s="833">
        <f t="shared" si="1"/>
        <v>51105</v>
      </c>
      <c r="AA58" s="833">
        <f t="shared" si="1"/>
        <v>51471</v>
      </c>
      <c r="AB58" s="835"/>
      <c r="AC58" s="749"/>
    </row>
    <row r="59" spans="1:29" x14ac:dyDescent="0.45">
      <c r="A59" s="750"/>
      <c r="B59" s="827"/>
      <c r="C59" s="836" t="s">
        <v>57</v>
      </c>
      <c r="D59" s="837"/>
      <c r="E59" s="837"/>
      <c r="F59" s="837"/>
      <c r="G59" s="87"/>
      <c r="H59" s="838">
        <f>+I14</f>
        <v>466925</v>
      </c>
      <c r="I59" s="87"/>
      <c r="J59" s="87"/>
      <c r="K59" s="87"/>
      <c r="L59" s="87"/>
      <c r="M59" s="87"/>
      <c r="N59" s="87"/>
      <c r="O59" s="87"/>
      <c r="P59" s="87"/>
      <c r="Q59" s="839"/>
      <c r="R59" s="840">
        <f>+'Year 11+ Risk Analysis'!M23</f>
        <v>0</v>
      </c>
      <c r="S59" s="87"/>
      <c r="T59" s="87"/>
      <c r="U59" s="87"/>
      <c r="V59" s="87"/>
      <c r="W59" s="87"/>
      <c r="X59" s="87"/>
      <c r="Y59" s="87"/>
      <c r="Z59" s="87"/>
      <c r="AA59" s="87"/>
      <c r="AB59" s="828"/>
      <c r="AC59" s="749"/>
    </row>
    <row r="60" spans="1:29" x14ac:dyDescent="0.45">
      <c r="A60" s="750"/>
      <c r="B60" s="827"/>
      <c r="C60" s="841" t="s">
        <v>345</v>
      </c>
      <c r="D60" s="87"/>
      <c r="E60" s="87"/>
      <c r="F60" s="87"/>
      <c r="G60" s="87"/>
      <c r="H60" s="842">
        <f>+I14</f>
        <v>466925</v>
      </c>
      <c r="I60" s="843">
        <f t="shared" ref="I60:AA60" ca="1" si="2">+H79</f>
        <v>725130.25</v>
      </c>
      <c r="J60" s="843">
        <f t="shared" ca="1" si="2"/>
        <v>990988.27249999996</v>
      </c>
      <c r="K60" s="843">
        <f t="shared" ca="1" si="2"/>
        <v>924537.53098749998</v>
      </c>
      <c r="L60" s="843">
        <f t="shared" ca="1" si="2"/>
        <v>919611.60544031253</v>
      </c>
      <c r="M60" s="843">
        <f t="shared" ca="1" si="2"/>
        <v>693744.4796396771</v>
      </c>
      <c r="N60" s="843">
        <f t="shared" ca="1" si="2"/>
        <v>510675.35735438741</v>
      </c>
      <c r="O60" s="843">
        <f t="shared" ca="1" si="2"/>
        <v>377894.07284522068</v>
      </c>
      <c r="P60" s="843">
        <f t="shared" ca="1" si="2"/>
        <v>401502.72337102686</v>
      </c>
      <c r="Q60" s="844">
        <f t="shared" ca="1" si="2"/>
        <v>480981.93704338267</v>
      </c>
      <c r="R60" s="845">
        <f ca="1">+Q79+R59</f>
        <v>433773.61557725974</v>
      </c>
      <c r="S60" s="843">
        <f t="shared" ca="1" si="2"/>
        <v>-110703.27092129062</v>
      </c>
      <c r="T60" s="843">
        <f t="shared" ca="1" si="2"/>
        <v>-610983.27226814406</v>
      </c>
      <c r="U60" s="843">
        <f t="shared" ca="1" si="2"/>
        <v>-1017555.9606419345</v>
      </c>
      <c r="V60" s="843">
        <f t="shared" ca="1" si="2"/>
        <v>-966079.49998320092</v>
      </c>
      <c r="W60" s="843">
        <f t="shared" ca="1" si="2"/>
        <v>-1341212.1823112925</v>
      </c>
      <c r="X60" s="843">
        <f t="shared" ca="1" si="2"/>
        <v>-1670061.927285946</v>
      </c>
      <c r="Y60" s="843">
        <f t="shared" ca="1" si="2"/>
        <v>-1956866.8807600925</v>
      </c>
      <c r="Z60" s="843">
        <f t="shared" ca="1" si="2"/>
        <v>-1910382.6323037217</v>
      </c>
      <c r="AA60" s="843">
        <f t="shared" ca="1" si="2"/>
        <v>-1717781.0116782237</v>
      </c>
      <c r="AB60" s="828"/>
      <c r="AC60" s="749"/>
    </row>
    <row r="61" spans="1:29" outlineLevel="1" x14ac:dyDescent="0.45">
      <c r="A61" s="750"/>
      <c r="B61" s="827"/>
      <c r="C61" s="846" t="s">
        <v>346</v>
      </c>
      <c r="D61" s="87"/>
      <c r="E61" s="87"/>
      <c r="F61" s="87"/>
      <c r="G61" s="87"/>
      <c r="H61" s="847">
        <f t="shared" ref="H61:AA61" ca="1" si="3">IF($K$28&lt;=0,$I$28,+IF(H57&lt;$K$28,$I$28,$J$28))</f>
        <v>0.01</v>
      </c>
      <c r="I61" s="847">
        <f t="shared" ca="1" si="3"/>
        <v>0.01</v>
      </c>
      <c r="J61" s="847">
        <f t="shared" ca="1" si="3"/>
        <v>1.4999999999999999E-2</v>
      </c>
      <c r="K61" s="847">
        <f t="shared" ca="1" si="3"/>
        <v>1.4999999999999999E-2</v>
      </c>
      <c r="L61" s="847">
        <f t="shared" ca="1" si="3"/>
        <v>1.4999999999999999E-2</v>
      </c>
      <c r="M61" s="847">
        <f t="shared" ca="1" si="3"/>
        <v>1.4999999999999999E-2</v>
      </c>
      <c r="N61" s="847">
        <f t="shared" ca="1" si="3"/>
        <v>1.4999999999999999E-2</v>
      </c>
      <c r="O61" s="847">
        <f t="shared" ca="1" si="3"/>
        <v>1.4999999999999999E-2</v>
      </c>
      <c r="P61" s="847">
        <f t="shared" ca="1" si="3"/>
        <v>1.4999999999999999E-2</v>
      </c>
      <c r="Q61" s="848">
        <f t="shared" ca="1" si="3"/>
        <v>1.4999999999999999E-2</v>
      </c>
      <c r="R61" s="847">
        <f t="shared" ca="1" si="3"/>
        <v>1.4999999999999999E-2</v>
      </c>
      <c r="S61" s="847">
        <f t="shared" ca="1" si="3"/>
        <v>1.4999999999999999E-2</v>
      </c>
      <c r="T61" s="847">
        <f t="shared" ca="1" si="3"/>
        <v>1.4999999999999999E-2</v>
      </c>
      <c r="U61" s="847">
        <f t="shared" ca="1" si="3"/>
        <v>1.4999999999999999E-2</v>
      </c>
      <c r="V61" s="847">
        <f t="shared" ca="1" si="3"/>
        <v>1.4999999999999999E-2</v>
      </c>
      <c r="W61" s="847">
        <f t="shared" ca="1" si="3"/>
        <v>1.4999999999999999E-2</v>
      </c>
      <c r="X61" s="847">
        <f t="shared" ca="1" si="3"/>
        <v>1.4999999999999999E-2</v>
      </c>
      <c r="Y61" s="847">
        <f t="shared" ca="1" si="3"/>
        <v>1.4999999999999999E-2</v>
      </c>
      <c r="Z61" s="847">
        <f t="shared" ca="1" si="3"/>
        <v>1.4999999999999999E-2</v>
      </c>
      <c r="AA61" s="847">
        <f t="shared" ca="1" si="3"/>
        <v>1.4999999999999999E-2</v>
      </c>
      <c r="AB61" s="828"/>
      <c r="AC61" s="749"/>
    </row>
    <row r="62" spans="1:29" ht="16.5" x14ac:dyDescent="0.75">
      <c r="A62" s="750"/>
      <c r="B62" s="827"/>
      <c r="C62" s="849" t="s">
        <v>347</v>
      </c>
      <c r="D62" s="87"/>
      <c r="E62" s="87"/>
      <c r="F62" s="87"/>
      <c r="G62" s="87"/>
      <c r="H62" s="850">
        <f ca="1">+IF(+H60*H61&gt;0,H60*H61,0)</f>
        <v>4669.25</v>
      </c>
      <c r="I62" s="850">
        <f t="shared" ref="I62:AA62" ca="1" si="4">+IF(+I60*I61&gt;0,I60*I61,0)</f>
        <v>7251.3024999999998</v>
      </c>
      <c r="J62" s="850">
        <f t="shared" ca="1" si="4"/>
        <v>14864.824087499999</v>
      </c>
      <c r="K62" s="850">
        <f t="shared" ca="1" si="4"/>
        <v>13868.0629648125</v>
      </c>
      <c r="L62" s="850">
        <f t="shared" ca="1" si="4"/>
        <v>13794.174081604688</v>
      </c>
      <c r="M62" s="850">
        <f t="shared" ca="1" si="4"/>
        <v>10406.167194595157</v>
      </c>
      <c r="N62" s="850">
        <f t="shared" ca="1" si="4"/>
        <v>7660.1303603158112</v>
      </c>
      <c r="O62" s="850">
        <f t="shared" ca="1" si="4"/>
        <v>5668.4110926783096</v>
      </c>
      <c r="P62" s="850">
        <f t="shared" ca="1" si="4"/>
        <v>6022.5408505654032</v>
      </c>
      <c r="Q62" s="851">
        <f t="shared" ca="1" si="4"/>
        <v>7214.7290556507396</v>
      </c>
      <c r="R62" s="850">
        <f t="shared" ca="1" si="4"/>
        <v>6506.6042336588962</v>
      </c>
      <c r="S62" s="850">
        <f t="shared" ca="1" si="4"/>
        <v>0</v>
      </c>
      <c r="T62" s="850">
        <f t="shared" ca="1" si="4"/>
        <v>0</v>
      </c>
      <c r="U62" s="850">
        <f t="shared" ca="1" si="4"/>
        <v>0</v>
      </c>
      <c r="V62" s="850">
        <f t="shared" ca="1" si="4"/>
        <v>0</v>
      </c>
      <c r="W62" s="850">
        <f t="shared" ca="1" si="4"/>
        <v>0</v>
      </c>
      <c r="X62" s="850">
        <f t="shared" ca="1" si="4"/>
        <v>0</v>
      </c>
      <c r="Y62" s="850">
        <f t="shared" ca="1" si="4"/>
        <v>0</v>
      </c>
      <c r="Z62" s="850">
        <f t="shared" ca="1" si="4"/>
        <v>0</v>
      </c>
      <c r="AA62" s="850">
        <f t="shared" ca="1" si="4"/>
        <v>0</v>
      </c>
      <c r="AB62" s="852">
        <f ca="1">SUM(H62:AA62)</f>
        <v>97926.196421381508</v>
      </c>
      <c r="AC62" s="749"/>
    </row>
    <row r="63" spans="1:29" x14ac:dyDescent="0.45">
      <c r="A63" s="750"/>
      <c r="B63" s="827"/>
      <c r="C63" s="841" t="s">
        <v>348</v>
      </c>
      <c r="D63" s="87"/>
      <c r="E63" s="87"/>
      <c r="F63" s="87"/>
      <c r="G63" s="87"/>
      <c r="H63" s="853">
        <f ca="1">+H60+H62</f>
        <v>471594.25</v>
      </c>
      <c r="I63" s="853">
        <f t="shared" ref="I63:AA63" ca="1" si="5">+I60+I62</f>
        <v>732381.55249999999</v>
      </c>
      <c r="J63" s="853">
        <f t="shared" ca="1" si="5"/>
        <v>1005853.0965875</v>
      </c>
      <c r="K63" s="853">
        <f t="shared" ca="1" si="5"/>
        <v>938405.59395231248</v>
      </c>
      <c r="L63" s="853">
        <f t="shared" ca="1" si="5"/>
        <v>933405.77952191723</v>
      </c>
      <c r="M63" s="853">
        <f t="shared" ca="1" si="5"/>
        <v>704150.64683427231</v>
      </c>
      <c r="N63" s="853">
        <f t="shared" ca="1" si="5"/>
        <v>518335.48771470319</v>
      </c>
      <c r="O63" s="853">
        <f t="shared" ca="1" si="5"/>
        <v>383562.483937899</v>
      </c>
      <c r="P63" s="853">
        <f t="shared" ca="1" si="5"/>
        <v>407525.26422159228</v>
      </c>
      <c r="Q63" s="854">
        <f t="shared" ca="1" si="5"/>
        <v>488196.66609903343</v>
      </c>
      <c r="R63" s="853">
        <f t="shared" ca="1" si="5"/>
        <v>440280.21981091861</v>
      </c>
      <c r="S63" s="853">
        <f t="shared" ca="1" si="5"/>
        <v>-110703.27092129062</v>
      </c>
      <c r="T63" s="853">
        <f t="shared" ca="1" si="5"/>
        <v>-610983.27226814406</v>
      </c>
      <c r="U63" s="853">
        <f t="shared" ca="1" si="5"/>
        <v>-1017555.9606419345</v>
      </c>
      <c r="V63" s="853">
        <f t="shared" ca="1" si="5"/>
        <v>-966079.49998320092</v>
      </c>
      <c r="W63" s="853">
        <f t="shared" ca="1" si="5"/>
        <v>-1341212.1823112925</v>
      </c>
      <c r="X63" s="853">
        <f t="shared" ca="1" si="5"/>
        <v>-1670061.927285946</v>
      </c>
      <c r="Y63" s="853">
        <f t="shared" ca="1" si="5"/>
        <v>-1956866.8807600925</v>
      </c>
      <c r="Z63" s="853">
        <f t="shared" ca="1" si="5"/>
        <v>-1910382.6323037217</v>
      </c>
      <c r="AA63" s="853">
        <f t="shared" ca="1" si="5"/>
        <v>-1717781.0116782237</v>
      </c>
      <c r="AB63" s="828"/>
      <c r="AC63" s="749"/>
    </row>
    <row r="64" spans="1:29" outlineLevel="1" x14ac:dyDescent="0.45">
      <c r="A64" s="750"/>
      <c r="B64" s="827"/>
      <c r="C64" s="841"/>
      <c r="D64" s="87"/>
      <c r="E64" s="87"/>
      <c r="F64" s="87"/>
      <c r="G64" s="87"/>
      <c r="H64" s="855">
        <f>+'Year 11+ Risk Analysis'!M13*P22</f>
        <v>0</v>
      </c>
      <c r="I64" s="853"/>
      <c r="J64" s="853"/>
      <c r="K64" s="853"/>
      <c r="L64" s="853"/>
      <c r="M64" s="853"/>
      <c r="N64" s="853"/>
      <c r="O64" s="853"/>
      <c r="P64" s="853"/>
      <c r="Q64" s="854"/>
      <c r="R64" s="855">
        <f ca="1">+'Year 11+ Risk Analysis'!M33*P22*(1+R66)</f>
        <v>0</v>
      </c>
      <c r="S64" s="855">
        <f ca="1">+R64*(1+S66)</f>
        <v>0</v>
      </c>
      <c r="T64" s="855">
        <f t="shared" ref="T64:AA64" ca="1" si="6">+S64*(1+T66)</f>
        <v>0</v>
      </c>
      <c r="U64" s="855">
        <f t="shared" ca="1" si="6"/>
        <v>0</v>
      </c>
      <c r="V64" s="855">
        <f t="shared" ca="1" si="6"/>
        <v>0</v>
      </c>
      <c r="W64" s="855">
        <f t="shared" ca="1" si="6"/>
        <v>0</v>
      </c>
      <c r="X64" s="855">
        <f t="shared" ca="1" si="6"/>
        <v>0</v>
      </c>
      <c r="Y64" s="855">
        <f t="shared" ca="1" si="6"/>
        <v>0</v>
      </c>
      <c r="Z64" s="855">
        <f t="shared" ca="1" si="6"/>
        <v>0</v>
      </c>
      <c r="AA64" s="855">
        <f t="shared" ca="1" si="6"/>
        <v>0</v>
      </c>
      <c r="AB64" s="852">
        <f ca="1">SUM(H64:AA64)</f>
        <v>0</v>
      </c>
      <c r="AC64" s="749"/>
    </row>
    <row r="65" spans="1:29" outlineLevel="1" x14ac:dyDescent="0.45">
      <c r="A65" s="750"/>
      <c r="B65" s="827"/>
      <c r="C65" s="856" t="s">
        <v>349</v>
      </c>
      <c r="D65" s="837"/>
      <c r="E65" s="837"/>
      <c r="F65" s="837"/>
      <c r="G65" s="837"/>
      <c r="H65" s="857">
        <f>+I18+H64</f>
        <v>253536</v>
      </c>
      <c r="I65" s="858">
        <f t="shared" ref="I65:AA65" si="7">+H65</f>
        <v>253536</v>
      </c>
      <c r="J65" s="858">
        <f t="shared" si="7"/>
        <v>253536</v>
      </c>
      <c r="K65" s="858">
        <f t="shared" si="7"/>
        <v>253536</v>
      </c>
      <c r="L65" s="858">
        <f t="shared" si="7"/>
        <v>253536</v>
      </c>
      <c r="M65" s="858">
        <f t="shared" si="7"/>
        <v>253536</v>
      </c>
      <c r="N65" s="858">
        <f t="shared" si="7"/>
        <v>253536</v>
      </c>
      <c r="O65" s="858">
        <f t="shared" si="7"/>
        <v>253536</v>
      </c>
      <c r="P65" s="858">
        <f t="shared" si="7"/>
        <v>253536</v>
      </c>
      <c r="Q65" s="859">
        <f t="shared" si="7"/>
        <v>253536</v>
      </c>
      <c r="R65" s="858">
        <f t="shared" si="7"/>
        <v>253536</v>
      </c>
      <c r="S65" s="858">
        <f t="shared" si="7"/>
        <v>253536</v>
      </c>
      <c r="T65" s="858">
        <f t="shared" si="7"/>
        <v>253536</v>
      </c>
      <c r="U65" s="858">
        <f t="shared" si="7"/>
        <v>253536</v>
      </c>
      <c r="V65" s="858">
        <f t="shared" si="7"/>
        <v>253536</v>
      </c>
      <c r="W65" s="858">
        <f t="shared" si="7"/>
        <v>253536</v>
      </c>
      <c r="X65" s="858">
        <f t="shared" si="7"/>
        <v>253536</v>
      </c>
      <c r="Y65" s="858">
        <f t="shared" si="7"/>
        <v>253536</v>
      </c>
      <c r="Z65" s="858">
        <f t="shared" si="7"/>
        <v>253536</v>
      </c>
      <c r="AA65" s="858">
        <f t="shared" si="7"/>
        <v>253536</v>
      </c>
      <c r="AB65" s="852">
        <f>SUM(H65:AA65)</f>
        <v>5070720</v>
      </c>
      <c r="AC65" s="749"/>
    </row>
    <row r="66" spans="1:29" outlineLevel="1" x14ac:dyDescent="0.45">
      <c r="A66" s="750"/>
      <c r="B66" s="827"/>
      <c r="C66" s="846" t="s">
        <v>350</v>
      </c>
      <c r="D66" s="837"/>
      <c r="E66" s="837"/>
      <c r="F66" s="837"/>
      <c r="G66" s="837"/>
      <c r="H66" s="860">
        <v>0</v>
      </c>
      <c r="I66" s="860">
        <f t="shared" ref="I66:AA66" ca="1" si="8">IF($K$24&lt;=0,$I$24,+IF(I57&lt;$K$24,$I$24,$J$24))</f>
        <v>0.02</v>
      </c>
      <c r="J66" s="860">
        <f t="shared" ca="1" si="8"/>
        <v>0.02</v>
      </c>
      <c r="K66" s="860">
        <f t="shared" ca="1" si="8"/>
        <v>0.02</v>
      </c>
      <c r="L66" s="860">
        <f t="shared" ca="1" si="8"/>
        <v>0.02</v>
      </c>
      <c r="M66" s="860">
        <f t="shared" ca="1" si="8"/>
        <v>0.02</v>
      </c>
      <c r="N66" s="860">
        <f t="shared" ca="1" si="8"/>
        <v>0.02</v>
      </c>
      <c r="O66" s="860">
        <f t="shared" ca="1" si="8"/>
        <v>0.02</v>
      </c>
      <c r="P66" s="860">
        <f t="shared" ca="1" si="8"/>
        <v>0.02</v>
      </c>
      <c r="Q66" s="861">
        <f t="shared" ca="1" si="8"/>
        <v>0.02</v>
      </c>
      <c r="R66" s="860">
        <f t="shared" ca="1" si="8"/>
        <v>0.02</v>
      </c>
      <c r="S66" s="860">
        <f t="shared" ca="1" si="8"/>
        <v>0.02</v>
      </c>
      <c r="T66" s="860">
        <f t="shared" ca="1" si="8"/>
        <v>0.02</v>
      </c>
      <c r="U66" s="860">
        <f t="shared" ca="1" si="8"/>
        <v>0.02</v>
      </c>
      <c r="V66" s="860">
        <f t="shared" ca="1" si="8"/>
        <v>0.02</v>
      </c>
      <c r="W66" s="860">
        <f t="shared" ca="1" si="8"/>
        <v>0.02</v>
      </c>
      <c r="X66" s="860">
        <f t="shared" ca="1" si="8"/>
        <v>0.02</v>
      </c>
      <c r="Y66" s="860">
        <f t="shared" ca="1" si="8"/>
        <v>0.02</v>
      </c>
      <c r="Z66" s="860">
        <f t="shared" ca="1" si="8"/>
        <v>0.02</v>
      </c>
      <c r="AA66" s="860">
        <f t="shared" ca="1" si="8"/>
        <v>0.02</v>
      </c>
      <c r="AB66" s="828"/>
      <c r="AC66" s="749"/>
    </row>
    <row r="67" spans="1:29" outlineLevel="1" x14ac:dyDescent="0.45">
      <c r="A67" s="750"/>
      <c r="B67" s="827"/>
      <c r="C67" s="846" t="s">
        <v>351</v>
      </c>
      <c r="D67" s="837"/>
      <c r="E67" s="837"/>
      <c r="F67" s="837"/>
      <c r="G67" s="837"/>
      <c r="H67" s="862">
        <f>+H66</f>
        <v>0</v>
      </c>
      <c r="I67" s="862">
        <f t="shared" ref="I67:AA67" ca="1" si="9">+(1+H67)*(1+I66)-1</f>
        <v>2.0000000000000018E-2</v>
      </c>
      <c r="J67" s="862">
        <f t="shared" ca="1" si="9"/>
        <v>4.0399999999999991E-2</v>
      </c>
      <c r="K67" s="862">
        <f t="shared" ca="1" si="9"/>
        <v>6.1207999999999929E-2</v>
      </c>
      <c r="L67" s="862">
        <f t="shared" ca="1" si="9"/>
        <v>8.2432159999999977E-2</v>
      </c>
      <c r="M67" s="862">
        <f t="shared" ca="1" si="9"/>
        <v>0.10408080320000002</v>
      </c>
      <c r="N67" s="862">
        <f t="shared" ca="1" si="9"/>
        <v>0.12616241926400007</v>
      </c>
      <c r="O67" s="862">
        <f t="shared" ca="1" si="9"/>
        <v>0.14868566764928004</v>
      </c>
      <c r="P67" s="862">
        <f t="shared" ca="1" si="9"/>
        <v>0.17165938100226574</v>
      </c>
      <c r="Q67" s="863">
        <f t="shared" ca="1" si="9"/>
        <v>0.19509256862231106</v>
      </c>
      <c r="R67" s="862">
        <f t="shared" ca="1" si="9"/>
        <v>0.21899441999475733</v>
      </c>
      <c r="S67" s="862">
        <f t="shared" ca="1" si="9"/>
        <v>0.24337430839465246</v>
      </c>
      <c r="T67" s="862">
        <f t="shared" ca="1" si="9"/>
        <v>0.26824179456254549</v>
      </c>
      <c r="U67" s="862">
        <f t="shared" ca="1" si="9"/>
        <v>0.29360663045379631</v>
      </c>
      <c r="V67" s="862">
        <f t="shared" ca="1" si="9"/>
        <v>0.31947876306287237</v>
      </c>
      <c r="W67" s="862">
        <f t="shared" ca="1" si="9"/>
        <v>0.34586833832412989</v>
      </c>
      <c r="X67" s="862">
        <f t="shared" ca="1" si="9"/>
        <v>0.37278570509061248</v>
      </c>
      <c r="Y67" s="862">
        <f t="shared" ca="1" si="9"/>
        <v>0.40024141919242484</v>
      </c>
      <c r="Z67" s="862">
        <f t="shared" ca="1" si="9"/>
        <v>0.42824624757627339</v>
      </c>
      <c r="AA67" s="862">
        <f t="shared" ca="1" si="9"/>
        <v>0.45681117252779879</v>
      </c>
      <c r="AB67" s="828"/>
      <c r="AC67" s="749"/>
    </row>
    <row r="68" spans="1:29" outlineLevel="1" x14ac:dyDescent="0.45">
      <c r="A68" s="750"/>
      <c r="B68" s="827"/>
      <c r="C68" s="846" t="s">
        <v>352</v>
      </c>
      <c r="D68" s="837"/>
      <c r="E68" s="837"/>
      <c r="F68" s="837"/>
      <c r="G68" s="837"/>
      <c r="H68" s="864">
        <f t="shared" ref="H68:AA68" si="10">+H65*H67</f>
        <v>0</v>
      </c>
      <c r="I68" s="864">
        <f t="shared" ca="1" si="10"/>
        <v>5070.7200000000048</v>
      </c>
      <c r="J68" s="864">
        <f t="shared" ca="1" si="10"/>
        <v>10242.854399999998</v>
      </c>
      <c r="K68" s="864">
        <f t="shared" ca="1" si="10"/>
        <v>15518.431487999982</v>
      </c>
      <c r="L68" s="864">
        <f t="shared" ca="1" si="10"/>
        <v>20899.520117759996</v>
      </c>
      <c r="M68" s="864">
        <f t="shared" ca="1" si="10"/>
        <v>26388.230520115205</v>
      </c>
      <c r="N68" s="864">
        <f t="shared" ca="1" si="10"/>
        <v>31986.715130517521</v>
      </c>
      <c r="O68" s="864">
        <f t="shared" ca="1" si="10"/>
        <v>37697.169433127863</v>
      </c>
      <c r="P68" s="864">
        <f t="shared" ca="1" si="10"/>
        <v>43521.832821790449</v>
      </c>
      <c r="Q68" s="865">
        <f ca="1">+Q65*Q67</f>
        <v>49462.989478226256</v>
      </c>
      <c r="R68" s="864">
        <f ca="1">+R65*R67</f>
        <v>55522.969267790795</v>
      </c>
      <c r="S68" s="864">
        <f t="shared" ca="1" si="10"/>
        <v>61704.148653146607</v>
      </c>
      <c r="T68" s="864">
        <f t="shared" ca="1" si="10"/>
        <v>68008.951626209528</v>
      </c>
      <c r="U68" s="864">
        <f t="shared" ca="1" si="10"/>
        <v>74439.850658733703</v>
      </c>
      <c r="V68" s="864">
        <f t="shared" ca="1" si="10"/>
        <v>80999.367671908403</v>
      </c>
      <c r="W68" s="864">
        <f t="shared" ca="1" si="10"/>
        <v>87690.075025346596</v>
      </c>
      <c r="X68" s="864">
        <f t="shared" ca="1" si="10"/>
        <v>94514.596525853529</v>
      </c>
      <c r="Y68" s="864">
        <f t="shared" ca="1" si="10"/>
        <v>101475.60845637062</v>
      </c>
      <c r="Z68" s="864">
        <f t="shared" ca="1" si="10"/>
        <v>108575.84062549805</v>
      </c>
      <c r="AA68" s="864">
        <f t="shared" ca="1" si="10"/>
        <v>115818.077438008</v>
      </c>
      <c r="AB68" s="852">
        <f ca="1">SUM(H68:AA68)</f>
        <v>1089537.9493384031</v>
      </c>
      <c r="AC68" s="749"/>
    </row>
    <row r="69" spans="1:29" ht="16.5" x14ac:dyDescent="0.75">
      <c r="A69" s="750"/>
      <c r="B69" s="827"/>
      <c r="C69" s="87" t="s">
        <v>353</v>
      </c>
      <c r="D69" s="87"/>
      <c r="E69" s="87"/>
      <c r="F69" s="87"/>
      <c r="G69" s="87"/>
      <c r="H69" s="866">
        <f>+H65+H68</f>
        <v>253536</v>
      </c>
      <c r="I69" s="866">
        <f t="shared" ref="I69:AA69" ca="1" si="11">+I65+I68</f>
        <v>258606.72</v>
      </c>
      <c r="J69" s="866">
        <f t="shared" ca="1" si="11"/>
        <v>263778.85440000001</v>
      </c>
      <c r="K69" s="866">
        <f t="shared" ca="1" si="11"/>
        <v>269054.43148799997</v>
      </c>
      <c r="L69" s="866">
        <f t="shared" ca="1" si="11"/>
        <v>274435.52011776</v>
      </c>
      <c r="M69" s="866">
        <f t="shared" ca="1" si="11"/>
        <v>279924.23052011523</v>
      </c>
      <c r="N69" s="866">
        <f t="shared" ca="1" si="11"/>
        <v>285522.71513051749</v>
      </c>
      <c r="O69" s="866">
        <f t="shared" ca="1" si="11"/>
        <v>291233.16943312786</v>
      </c>
      <c r="P69" s="866">
        <f t="shared" ca="1" si="11"/>
        <v>297057.83282179048</v>
      </c>
      <c r="Q69" s="867">
        <f t="shared" ca="1" si="11"/>
        <v>302998.98947822629</v>
      </c>
      <c r="R69" s="866">
        <f ca="1">+R65+R68</f>
        <v>309058.96926779079</v>
      </c>
      <c r="S69" s="866">
        <f t="shared" ca="1" si="11"/>
        <v>315240.14865314658</v>
      </c>
      <c r="T69" s="866">
        <f t="shared" ca="1" si="11"/>
        <v>321544.95162620954</v>
      </c>
      <c r="U69" s="866">
        <f t="shared" ca="1" si="11"/>
        <v>327975.85065873369</v>
      </c>
      <c r="V69" s="866">
        <f t="shared" ca="1" si="11"/>
        <v>334535.3676719084</v>
      </c>
      <c r="W69" s="866">
        <f t="shared" ca="1" si="11"/>
        <v>341226.0750253466</v>
      </c>
      <c r="X69" s="866">
        <f t="shared" ca="1" si="11"/>
        <v>348050.5965258535</v>
      </c>
      <c r="Y69" s="866">
        <f t="shared" ca="1" si="11"/>
        <v>355011.60845637065</v>
      </c>
      <c r="Z69" s="866">
        <f t="shared" ca="1" si="11"/>
        <v>362111.84062549804</v>
      </c>
      <c r="AA69" s="866">
        <f t="shared" ca="1" si="11"/>
        <v>369354.07743800798</v>
      </c>
      <c r="AB69" s="868">
        <f ca="1">SUM(H69:AA69)</f>
        <v>6160257.9493384035</v>
      </c>
      <c r="AC69" s="749"/>
    </row>
    <row r="70" spans="1:29" ht="16.5" x14ac:dyDescent="0.75">
      <c r="A70" s="750"/>
      <c r="B70" s="827"/>
      <c r="C70" s="87" t="s">
        <v>354</v>
      </c>
      <c r="D70" s="87"/>
      <c r="E70" s="87"/>
      <c r="F70" s="87"/>
      <c r="G70" s="87"/>
      <c r="H70" s="869">
        <f t="shared" ref="H70:AA70" ca="1" si="12">+H60+H72</f>
        <v>725130.25</v>
      </c>
      <c r="I70" s="869">
        <f t="shared" ca="1" si="12"/>
        <v>990988.27249999996</v>
      </c>
      <c r="J70" s="869">
        <f t="shared" ca="1" si="12"/>
        <v>1269631.9509874999</v>
      </c>
      <c r="K70" s="869">
        <f t="shared" ca="1" si="12"/>
        <v>1207460.0254403125</v>
      </c>
      <c r="L70" s="869">
        <f t="shared" ca="1" si="12"/>
        <v>1207841.2996396772</v>
      </c>
      <c r="M70" s="869">
        <f t="shared" ca="1" si="12"/>
        <v>984074.87735438743</v>
      </c>
      <c r="N70" s="869">
        <f t="shared" ca="1" si="12"/>
        <v>803858.20284522069</v>
      </c>
      <c r="O70" s="869">
        <f t="shared" ca="1" si="12"/>
        <v>674795.65337102686</v>
      </c>
      <c r="P70" s="869">
        <f t="shared" ca="1" si="12"/>
        <v>704583.0970433827</v>
      </c>
      <c r="Q70" s="870">
        <f t="shared" ca="1" si="12"/>
        <v>791195.65557725972</v>
      </c>
      <c r="R70" s="869">
        <f t="shared" ca="1" si="12"/>
        <v>749339.18907870934</v>
      </c>
      <c r="S70" s="869">
        <f t="shared" ca="1" si="12"/>
        <v>204536.87773185596</v>
      </c>
      <c r="T70" s="869">
        <f t="shared" ca="1" si="12"/>
        <v>-289438.32064193452</v>
      </c>
      <c r="U70" s="869">
        <f t="shared" ca="1" si="12"/>
        <v>-689580.10998320091</v>
      </c>
      <c r="V70" s="869">
        <f t="shared" ca="1" si="12"/>
        <v>-631544.13231129246</v>
      </c>
      <c r="W70" s="869">
        <f t="shared" ca="1" si="12"/>
        <v>-999986.10728594591</v>
      </c>
      <c r="X70" s="869">
        <f t="shared" ca="1" si="12"/>
        <v>-1322011.3307600925</v>
      </c>
      <c r="Y70" s="869">
        <f t="shared" ca="1" si="12"/>
        <v>-1601855.2723037219</v>
      </c>
      <c r="Z70" s="869">
        <f t="shared" ca="1" si="12"/>
        <v>-1548270.7916782238</v>
      </c>
      <c r="AA70" s="869">
        <f t="shared" ca="1" si="12"/>
        <v>-1348426.9342402157</v>
      </c>
      <c r="AB70" s="868"/>
      <c r="AC70" s="749"/>
    </row>
    <row r="71" spans="1:29" collapsed="1" x14ac:dyDescent="0.45">
      <c r="A71" s="750"/>
      <c r="B71" s="827"/>
      <c r="C71" s="87"/>
      <c r="D71" s="87"/>
      <c r="E71" s="87"/>
      <c r="F71" s="87"/>
      <c r="G71" s="87"/>
      <c r="H71" s="87"/>
      <c r="I71" s="87"/>
      <c r="J71" s="87"/>
      <c r="K71" s="87"/>
      <c r="L71" s="87"/>
      <c r="M71" s="87"/>
      <c r="N71" s="87"/>
      <c r="O71" s="87"/>
      <c r="P71" s="87"/>
      <c r="Q71" s="839"/>
      <c r="R71" s="87"/>
      <c r="S71" s="87"/>
      <c r="T71" s="87"/>
      <c r="U71" s="87"/>
      <c r="V71" s="87"/>
      <c r="W71" s="87"/>
      <c r="X71" s="87"/>
      <c r="Y71" s="87"/>
      <c r="Z71" s="87"/>
      <c r="AA71" s="87"/>
      <c r="AB71" s="828"/>
      <c r="AC71" s="749"/>
    </row>
    <row r="72" spans="1:29" ht="25.9" outlineLevel="1" thickBot="1" x14ac:dyDescent="0.5">
      <c r="A72" s="750"/>
      <c r="B72" s="827"/>
      <c r="C72" s="871" t="s">
        <v>355</v>
      </c>
      <c r="D72" s="837"/>
      <c r="E72" s="837"/>
      <c r="F72" s="837"/>
      <c r="G72" s="837"/>
      <c r="H72" s="838">
        <f t="shared" ref="H72:Q72" ca="1" si="13">+H62+H69</f>
        <v>258205.25</v>
      </c>
      <c r="I72" s="858">
        <f t="shared" ca="1" si="13"/>
        <v>265858.02250000002</v>
      </c>
      <c r="J72" s="858">
        <f t="shared" ca="1" si="13"/>
        <v>278643.6784875</v>
      </c>
      <c r="K72" s="858">
        <f t="shared" ca="1" si="13"/>
        <v>282922.49445281248</v>
      </c>
      <c r="L72" s="858">
        <f t="shared" ca="1" si="13"/>
        <v>288229.69419936469</v>
      </c>
      <c r="M72" s="858">
        <f t="shared" ca="1" si="13"/>
        <v>290330.39771471039</v>
      </c>
      <c r="N72" s="858">
        <f t="shared" ca="1" si="13"/>
        <v>293182.84549083328</v>
      </c>
      <c r="O72" s="858">
        <f t="shared" ca="1" si="13"/>
        <v>296901.58052580617</v>
      </c>
      <c r="P72" s="858">
        <f t="shared" ca="1" si="13"/>
        <v>303080.3736723559</v>
      </c>
      <c r="Q72" s="859">
        <f t="shared" ca="1" si="13"/>
        <v>310213.71853387705</v>
      </c>
      <c r="R72" s="872">
        <f ca="1">+R62+R69+R64</f>
        <v>315565.57350144966</v>
      </c>
      <c r="S72" s="872">
        <f t="shared" ref="S72:AA72" ca="1" si="14">+S62+S69+S64</f>
        <v>315240.14865314658</v>
      </c>
      <c r="T72" s="872">
        <f t="shared" ca="1" si="14"/>
        <v>321544.95162620954</v>
      </c>
      <c r="U72" s="872">
        <f t="shared" ca="1" si="14"/>
        <v>327975.85065873369</v>
      </c>
      <c r="V72" s="872">
        <f t="shared" ca="1" si="14"/>
        <v>334535.3676719084</v>
      </c>
      <c r="W72" s="872">
        <f t="shared" ca="1" si="14"/>
        <v>341226.0750253466</v>
      </c>
      <c r="X72" s="872">
        <f t="shared" ca="1" si="14"/>
        <v>348050.5965258535</v>
      </c>
      <c r="Y72" s="872">
        <f t="shared" ca="1" si="14"/>
        <v>355011.60845637065</v>
      </c>
      <c r="Z72" s="872">
        <f t="shared" ca="1" si="14"/>
        <v>362111.84062549804</v>
      </c>
      <c r="AA72" s="872">
        <f t="shared" ca="1" si="14"/>
        <v>369354.07743800798</v>
      </c>
      <c r="AB72" s="852">
        <f ca="1">SUM(H72:AA72)</f>
        <v>6258184.1457597846</v>
      </c>
      <c r="AC72" s="749"/>
    </row>
    <row r="73" spans="1:29" s="802" customFormat="1" ht="16.899999999999999" outlineLevel="1" thickTop="1" x14ac:dyDescent="0.75">
      <c r="A73" s="789"/>
      <c r="B73" s="789"/>
      <c r="C73" s="792" t="s">
        <v>356</v>
      </c>
      <c r="D73" s="792"/>
      <c r="E73" s="792"/>
      <c r="F73" s="792"/>
      <c r="G73" s="792"/>
      <c r="H73" s="873">
        <f t="shared" ref="H73:AA73" si="15">+H78*H77</f>
        <v>0</v>
      </c>
      <c r="I73" s="873">
        <f t="shared" ca="1" si="15"/>
        <v>0</v>
      </c>
      <c r="J73" s="873">
        <f t="shared" ca="1" si="15"/>
        <v>-331693.98308342946</v>
      </c>
      <c r="K73" s="873">
        <f t="shared" ca="1" si="15"/>
        <v>-271245.99513007817</v>
      </c>
      <c r="L73" s="873">
        <f t="shared" ca="1" si="15"/>
        <v>-474945.99569177622</v>
      </c>
      <c r="M73" s="873">
        <f t="shared" ca="1" si="15"/>
        <v>-428772.53062269348</v>
      </c>
      <c r="N73" s="873">
        <f t="shared" ca="1" si="15"/>
        <v>-378243.95727783878</v>
      </c>
      <c r="O73" s="873">
        <f t="shared" ca="1" si="15"/>
        <v>-237917.94195471983</v>
      </c>
      <c r="P73" s="873">
        <f t="shared" ca="1" si="15"/>
        <v>-190841.43704693948</v>
      </c>
      <c r="Q73" s="873">
        <f t="shared" ca="1" si="15"/>
        <v>-299074.7741089479</v>
      </c>
      <c r="R73" s="873">
        <f t="shared" ca="1" si="15"/>
        <v>-705534.36988144612</v>
      </c>
      <c r="S73" s="873">
        <f t="shared" ca="1" si="15"/>
        <v>-655892.71428081521</v>
      </c>
      <c r="T73" s="873">
        <f t="shared" ca="1" si="15"/>
        <v>-574115.79016062117</v>
      </c>
      <c r="U73" s="873">
        <f t="shared" ca="1" si="15"/>
        <v>-213743.02163479498</v>
      </c>
      <c r="V73" s="873">
        <f t="shared" ca="1" si="15"/>
        <v>-537839.69084327342</v>
      </c>
      <c r="W73" s="873">
        <f t="shared" ca="1" si="15"/>
        <v>-497876.20446913538</v>
      </c>
      <c r="X73" s="873">
        <f t="shared" ca="1" si="15"/>
        <v>-462457.86771074776</v>
      </c>
      <c r="Y73" s="873">
        <f t="shared" ca="1" si="15"/>
        <v>-220338.69000814162</v>
      </c>
      <c r="Z73" s="873">
        <f t="shared" ca="1" si="15"/>
        <v>-118684.16968548525</v>
      </c>
      <c r="AA73" s="873">
        <f t="shared" ca="1" si="15"/>
        <v>-105772.50017421845</v>
      </c>
      <c r="AB73" s="868">
        <f ca="1">SUM(H73:AA73)</f>
        <v>-6704991.6337651033</v>
      </c>
      <c r="AC73" s="749"/>
    </row>
    <row r="74" spans="1:29" s="802" customFormat="1" ht="16.5" outlineLevel="1" x14ac:dyDescent="0.75">
      <c r="A74" s="789"/>
      <c r="B74" s="789"/>
      <c r="C74" s="874" t="s">
        <v>357</v>
      </c>
      <c r="D74" s="875"/>
      <c r="E74" s="875"/>
      <c r="F74" s="875"/>
      <c r="G74" s="875"/>
      <c r="H74" s="862">
        <v>0</v>
      </c>
      <c r="I74" s="862">
        <f t="shared" ref="I74:AA74" ca="1" si="16">IF($K$26&lt;=0,$I$26,+IF(I57&lt;$K$26,$I$26,$J$26))</f>
        <v>0.02</v>
      </c>
      <c r="J74" s="862">
        <f t="shared" ca="1" si="16"/>
        <v>0.02</v>
      </c>
      <c r="K74" s="862">
        <f t="shared" ca="1" si="16"/>
        <v>0.02</v>
      </c>
      <c r="L74" s="862">
        <f t="shared" ca="1" si="16"/>
        <v>0.02</v>
      </c>
      <c r="M74" s="862">
        <f t="shared" ca="1" si="16"/>
        <v>0.02</v>
      </c>
      <c r="N74" s="862">
        <f t="shared" ca="1" si="16"/>
        <v>0.02</v>
      </c>
      <c r="O74" s="862">
        <f t="shared" ca="1" si="16"/>
        <v>0.02</v>
      </c>
      <c r="P74" s="862">
        <f t="shared" ca="1" si="16"/>
        <v>0.02</v>
      </c>
      <c r="Q74" s="862">
        <f t="shared" ca="1" si="16"/>
        <v>0.02</v>
      </c>
      <c r="R74" s="862">
        <f t="shared" ca="1" si="16"/>
        <v>0.02</v>
      </c>
      <c r="S74" s="862">
        <f t="shared" ca="1" si="16"/>
        <v>0.02</v>
      </c>
      <c r="T74" s="862">
        <f t="shared" ca="1" si="16"/>
        <v>0.02</v>
      </c>
      <c r="U74" s="862">
        <f t="shared" ca="1" si="16"/>
        <v>0.02</v>
      </c>
      <c r="V74" s="862">
        <f t="shared" ca="1" si="16"/>
        <v>0.02</v>
      </c>
      <c r="W74" s="862">
        <f t="shared" ca="1" si="16"/>
        <v>0.02</v>
      </c>
      <c r="X74" s="862">
        <f t="shared" ca="1" si="16"/>
        <v>0.02</v>
      </c>
      <c r="Y74" s="862">
        <f t="shared" ca="1" si="16"/>
        <v>0.02</v>
      </c>
      <c r="Z74" s="862">
        <f t="shared" ca="1" si="16"/>
        <v>0.02</v>
      </c>
      <c r="AA74" s="862">
        <f t="shared" ca="1" si="16"/>
        <v>0.02</v>
      </c>
      <c r="AB74" s="868"/>
      <c r="AC74" s="749"/>
    </row>
    <row r="75" spans="1:29" s="802" customFormat="1" ht="16.5" outlineLevel="1" x14ac:dyDescent="0.75">
      <c r="A75" s="789"/>
      <c r="B75" s="789"/>
      <c r="C75" s="874" t="s">
        <v>351</v>
      </c>
      <c r="D75" s="875"/>
      <c r="E75" s="875"/>
      <c r="F75" s="875"/>
      <c r="G75" s="875"/>
      <c r="H75" s="862">
        <f>(+H74)</f>
        <v>0</v>
      </c>
      <c r="I75" s="862">
        <f ca="1">+(1+H75)*(1+I74)-1</f>
        <v>2.0000000000000018E-2</v>
      </c>
      <c r="J75" s="862">
        <f t="shared" ref="J75:AA75" ca="1" si="17">+(1+I75)*(1+J74)-1</f>
        <v>4.0399999999999991E-2</v>
      </c>
      <c r="K75" s="862">
        <f t="shared" ca="1" si="17"/>
        <v>6.1207999999999929E-2</v>
      </c>
      <c r="L75" s="862">
        <f t="shared" ca="1" si="17"/>
        <v>8.2432159999999977E-2</v>
      </c>
      <c r="M75" s="862">
        <f t="shared" ca="1" si="17"/>
        <v>0.10408080320000002</v>
      </c>
      <c r="N75" s="862">
        <f t="shared" ca="1" si="17"/>
        <v>0.12616241926400007</v>
      </c>
      <c r="O75" s="862">
        <f t="shared" ca="1" si="17"/>
        <v>0.14868566764928004</v>
      </c>
      <c r="P75" s="862">
        <f t="shared" ca="1" si="17"/>
        <v>0.17165938100226574</v>
      </c>
      <c r="Q75" s="862">
        <f t="shared" ca="1" si="17"/>
        <v>0.19509256862231106</v>
      </c>
      <c r="R75" s="862">
        <f t="shared" ca="1" si="17"/>
        <v>0.21899441999475733</v>
      </c>
      <c r="S75" s="862">
        <f t="shared" ca="1" si="17"/>
        <v>0.24337430839465246</v>
      </c>
      <c r="T75" s="862">
        <f t="shared" ca="1" si="17"/>
        <v>0.26824179456254549</v>
      </c>
      <c r="U75" s="862">
        <f t="shared" ca="1" si="17"/>
        <v>0.29360663045379631</v>
      </c>
      <c r="V75" s="862">
        <f t="shared" ca="1" si="17"/>
        <v>0.31947876306287237</v>
      </c>
      <c r="W75" s="862">
        <f t="shared" ca="1" si="17"/>
        <v>0.34586833832412989</v>
      </c>
      <c r="X75" s="862">
        <f t="shared" ca="1" si="17"/>
        <v>0.37278570509061248</v>
      </c>
      <c r="Y75" s="862">
        <f t="shared" ca="1" si="17"/>
        <v>0.40024141919242484</v>
      </c>
      <c r="Z75" s="862">
        <f t="shared" ca="1" si="17"/>
        <v>0.42824624757627339</v>
      </c>
      <c r="AA75" s="862">
        <f t="shared" ca="1" si="17"/>
        <v>0.45681117252779879</v>
      </c>
      <c r="AB75" s="868"/>
      <c r="AC75" s="749"/>
    </row>
    <row r="76" spans="1:29" s="802" customFormat="1" ht="16.5" outlineLevel="1" x14ac:dyDescent="0.75">
      <c r="A76" s="789"/>
      <c r="B76" s="789"/>
      <c r="C76" s="874" t="s">
        <v>358</v>
      </c>
      <c r="D76" s="875"/>
      <c r="E76" s="875"/>
      <c r="F76" s="875"/>
      <c r="G76" s="875"/>
      <c r="H76" s="876">
        <f>+H73*H75</f>
        <v>0</v>
      </c>
      <c r="I76" s="876">
        <f t="shared" ref="I76:AA76" ca="1" si="18">+I73*I75</f>
        <v>0</v>
      </c>
      <c r="J76" s="876">
        <f t="shared" ca="1" si="18"/>
        <v>-13400.436916570547</v>
      </c>
      <c r="K76" s="876">
        <f t="shared" ca="1" si="18"/>
        <v>-16602.424869921804</v>
      </c>
      <c r="L76" s="876">
        <f t="shared" ca="1" si="18"/>
        <v>-39150.824308223797</v>
      </c>
      <c r="M76" s="876">
        <f t="shared" ca="1" si="18"/>
        <v>-44626.989377306541</v>
      </c>
      <c r="N76" s="876">
        <f t="shared" ca="1" si="18"/>
        <v>-47720.172722161224</v>
      </c>
      <c r="O76" s="876">
        <f t="shared" ca="1" si="18"/>
        <v>-35374.988045280174</v>
      </c>
      <c r="P76" s="876">
        <f t="shared" ca="1" si="18"/>
        <v>-32759.722953060496</v>
      </c>
      <c r="Q76" s="876">
        <f t="shared" ca="1" si="18"/>
        <v>-58347.265891052099</v>
      </c>
      <c r="R76" s="876">
        <f t="shared" ca="1" si="18"/>
        <v>-154508.09011855387</v>
      </c>
      <c r="S76" s="876">
        <f t="shared" ca="1" si="18"/>
        <v>-159627.43571918478</v>
      </c>
      <c r="T76" s="876">
        <f t="shared" ca="1" si="18"/>
        <v>-154001.84983937882</v>
      </c>
      <c r="U76" s="876">
        <f t="shared" ca="1" si="18"/>
        <v>-62756.368365205039</v>
      </c>
      <c r="V76" s="876">
        <f t="shared" ca="1" si="18"/>
        <v>-171828.35915672668</v>
      </c>
      <c r="W76" s="876">
        <f t="shared" ca="1" si="18"/>
        <v>-172199.6155308646</v>
      </c>
      <c r="X76" s="876">
        <f t="shared" ca="1" si="18"/>
        <v>-172397.68228925229</v>
      </c>
      <c r="Y76" s="876">
        <f t="shared" ca="1" si="18"/>
        <v>-88188.669991858362</v>
      </c>
      <c r="Z76" s="876">
        <f t="shared" ca="1" si="18"/>
        <v>-50826.05031451476</v>
      </c>
      <c r="AA76" s="876">
        <f t="shared" ca="1" si="18"/>
        <v>-48318.059825781536</v>
      </c>
      <c r="AB76" s="868">
        <f ca="1">SUM(H76:AA76)</f>
        <v>-1522635.0062348973</v>
      </c>
      <c r="AC76" s="749"/>
    </row>
    <row r="77" spans="1:29" s="802" customFormat="1" ht="16.5" outlineLevel="1" x14ac:dyDescent="0.75">
      <c r="A77" s="789"/>
      <c r="B77" s="789"/>
      <c r="C77" s="874" t="s">
        <v>359</v>
      </c>
      <c r="D77" s="875"/>
      <c r="E77" s="875"/>
      <c r="F77" s="875"/>
      <c r="G77" s="875"/>
      <c r="H77" s="877">
        <f t="shared" ref="H77:AA77" si="19">1/(1+H75)</f>
        <v>1</v>
      </c>
      <c r="I77" s="877">
        <f t="shared" ca="1" si="19"/>
        <v>0.98039215686274506</v>
      </c>
      <c r="J77" s="877">
        <f t="shared" ca="1" si="19"/>
        <v>0.96116878123798544</v>
      </c>
      <c r="K77" s="877">
        <f t="shared" ca="1" si="19"/>
        <v>0.94232233454704462</v>
      </c>
      <c r="L77" s="877">
        <f t="shared" ca="1" si="19"/>
        <v>0.9238454260265142</v>
      </c>
      <c r="M77" s="877">
        <f t="shared" ca="1" si="19"/>
        <v>0.90573080982991594</v>
      </c>
      <c r="N77" s="877">
        <f t="shared" ca="1" si="19"/>
        <v>0.88797138218619198</v>
      </c>
      <c r="O77" s="877">
        <f t="shared" ca="1" si="19"/>
        <v>0.87056017861391377</v>
      </c>
      <c r="P77" s="877">
        <f t="shared" ca="1" si="19"/>
        <v>0.8534903711901114</v>
      </c>
      <c r="Q77" s="877">
        <f t="shared" ca="1" si="19"/>
        <v>0.83675526587265825</v>
      </c>
      <c r="R77" s="877">
        <f t="shared" ca="1" si="19"/>
        <v>0.82034829987515512</v>
      </c>
      <c r="S77" s="877">
        <f t="shared" ca="1" si="19"/>
        <v>0.80426303909328933</v>
      </c>
      <c r="T77" s="877">
        <f t="shared" ca="1" si="19"/>
        <v>0.78849317558165621</v>
      </c>
      <c r="U77" s="877">
        <f t="shared" ca="1" si="19"/>
        <v>0.77303252508005516</v>
      </c>
      <c r="V77" s="877">
        <f t="shared" ca="1" si="19"/>
        <v>0.75787502458828937</v>
      </c>
      <c r="W77" s="877">
        <f t="shared" ca="1" si="19"/>
        <v>0.74301472998851892</v>
      </c>
      <c r="X77" s="877">
        <f t="shared" ca="1" si="19"/>
        <v>0.72844581371423422</v>
      </c>
      <c r="Y77" s="877">
        <f t="shared" ca="1" si="19"/>
        <v>0.71416256246493548</v>
      </c>
      <c r="Z77" s="877">
        <f t="shared" ca="1" si="19"/>
        <v>0.70015937496562297</v>
      </c>
      <c r="AA77" s="877">
        <f t="shared" ca="1" si="19"/>
        <v>0.68643075977021861</v>
      </c>
      <c r="AB77" s="868"/>
      <c r="AC77" s="749"/>
    </row>
    <row r="78" spans="1:29" ht="16.5" x14ac:dyDescent="0.75">
      <c r="A78" s="750"/>
      <c r="B78" s="827"/>
      <c r="C78" s="841" t="s">
        <v>46</v>
      </c>
      <c r="D78" s="87"/>
      <c r="E78" s="87"/>
      <c r="F78" s="87"/>
      <c r="G78" s="87"/>
      <c r="H78" s="878">
        <f>-'Paste Financial Sched.'!B7</f>
        <v>0</v>
      </c>
      <c r="I78" s="878">
        <f>-'Paste Financial Sched.'!C7</f>
        <v>0</v>
      </c>
      <c r="J78" s="878">
        <f>-'Paste Financial Sched.'!D7</f>
        <v>-345094.42</v>
      </c>
      <c r="K78" s="878">
        <f>-'Paste Financial Sched.'!E7</f>
        <v>-287848.42</v>
      </c>
      <c r="L78" s="878">
        <f>-'Paste Financial Sched.'!F7</f>
        <v>-514096.82</v>
      </c>
      <c r="M78" s="878">
        <f>-'Paste Financial Sched.'!G7</f>
        <v>-473399.52</v>
      </c>
      <c r="N78" s="878">
        <f>-'Paste Financial Sched.'!H7</f>
        <v>-425964.13</v>
      </c>
      <c r="O78" s="878">
        <f>-'Paste Financial Sched.'!I7</f>
        <v>-273292.93</v>
      </c>
      <c r="P78" s="878">
        <f>-'Paste Financial Sched.'!J7</f>
        <v>-223601.16</v>
      </c>
      <c r="Q78" s="878">
        <f>-'Paste Financial Sched.'!K7</f>
        <v>-357422.04</v>
      </c>
      <c r="R78" s="878">
        <f>-'Paste Financial Sched.'!L7</f>
        <v>-860042.46</v>
      </c>
      <c r="S78" s="878">
        <f>-'Paste Financial Sched.'!M7</f>
        <v>-815520.15</v>
      </c>
      <c r="T78" s="878">
        <f>-'Paste Financial Sched.'!N7</f>
        <v>-728117.64</v>
      </c>
      <c r="U78" s="878">
        <f>-'Paste Financial Sched.'!O7</f>
        <v>-276499.39</v>
      </c>
      <c r="V78" s="878">
        <f>-'Paste Financial Sched.'!P7</f>
        <v>-709668.05</v>
      </c>
      <c r="W78" s="878">
        <f>-'Paste Financial Sched.'!Q7</f>
        <v>-670075.81999999995</v>
      </c>
      <c r="X78" s="878">
        <f>-'Paste Financial Sched.'!R7</f>
        <v>-634855.55000000005</v>
      </c>
      <c r="Y78" s="878">
        <f>-'Paste Financial Sched.'!S7</f>
        <v>-308527.35999999999</v>
      </c>
      <c r="Z78" s="878">
        <f>-'Paste Financial Sched.'!T7</f>
        <v>-169510.22</v>
      </c>
      <c r="AA78" s="878">
        <f>-'Paste Financial Sched.'!U7</f>
        <v>-154090.56</v>
      </c>
      <c r="AB78" s="868">
        <f>SUM(H78:AA78)</f>
        <v>-8227626.6399999997</v>
      </c>
      <c r="AC78" s="749"/>
    </row>
    <row r="79" spans="1:29" ht="16.5" x14ac:dyDescent="0.75">
      <c r="A79" s="750"/>
      <c r="B79" s="827"/>
      <c r="C79" s="841" t="s">
        <v>99</v>
      </c>
      <c r="D79" s="87"/>
      <c r="E79" s="87"/>
      <c r="F79" s="87"/>
      <c r="G79" s="87"/>
      <c r="H79" s="879">
        <f t="shared" ref="H79:AA79" ca="1" si="20">+H70+H78</f>
        <v>725130.25</v>
      </c>
      <c r="I79" s="879">
        <f t="shared" ca="1" si="20"/>
        <v>990988.27249999996</v>
      </c>
      <c r="J79" s="879">
        <f t="shared" ca="1" si="20"/>
        <v>924537.53098749998</v>
      </c>
      <c r="K79" s="879">
        <f t="shared" ca="1" si="20"/>
        <v>919611.60544031253</v>
      </c>
      <c r="L79" s="879">
        <f t="shared" ca="1" si="20"/>
        <v>693744.4796396771</v>
      </c>
      <c r="M79" s="879">
        <f t="shared" ca="1" si="20"/>
        <v>510675.35735438741</v>
      </c>
      <c r="N79" s="879">
        <f t="shared" ca="1" si="20"/>
        <v>377894.07284522068</v>
      </c>
      <c r="O79" s="879">
        <f t="shared" ca="1" si="20"/>
        <v>401502.72337102686</v>
      </c>
      <c r="P79" s="879">
        <f t="shared" ca="1" si="20"/>
        <v>480981.93704338267</v>
      </c>
      <c r="Q79" s="880">
        <f t="shared" ca="1" si="20"/>
        <v>433773.61557725974</v>
      </c>
      <c r="R79" s="879">
        <f t="shared" ca="1" si="20"/>
        <v>-110703.27092129062</v>
      </c>
      <c r="S79" s="879">
        <f t="shared" ca="1" si="20"/>
        <v>-610983.27226814406</v>
      </c>
      <c r="T79" s="879">
        <f t="shared" ca="1" si="20"/>
        <v>-1017555.9606419345</v>
      </c>
      <c r="U79" s="879">
        <f t="shared" ca="1" si="20"/>
        <v>-966079.49998320092</v>
      </c>
      <c r="V79" s="879">
        <f t="shared" ca="1" si="20"/>
        <v>-1341212.1823112925</v>
      </c>
      <c r="W79" s="879">
        <f t="shared" ca="1" si="20"/>
        <v>-1670061.927285946</v>
      </c>
      <c r="X79" s="879">
        <f t="shared" ca="1" si="20"/>
        <v>-1956866.8807600925</v>
      </c>
      <c r="Y79" s="879">
        <f t="shared" ca="1" si="20"/>
        <v>-1910382.6323037217</v>
      </c>
      <c r="Z79" s="879">
        <f t="shared" ca="1" si="20"/>
        <v>-1717781.0116782237</v>
      </c>
      <c r="AA79" s="879">
        <f t="shared" ca="1" si="20"/>
        <v>-1502517.4942402157</v>
      </c>
      <c r="AB79" s="868"/>
      <c r="AC79" s="749"/>
    </row>
    <row r="80" spans="1:29" ht="16.5" x14ac:dyDescent="0.75">
      <c r="A80" s="750"/>
      <c r="B80" s="827"/>
      <c r="C80" s="87"/>
      <c r="D80" s="87"/>
      <c r="E80" s="87"/>
      <c r="F80" s="881" t="s">
        <v>360</v>
      </c>
      <c r="G80" s="882">
        <f ca="1">+MIN(H79:Q79)</f>
        <v>377894.07284522068</v>
      </c>
      <c r="AB80" s="868"/>
      <c r="AC80" s="749"/>
    </row>
    <row r="81" spans="1:32 16372:16384" ht="16.5" x14ac:dyDescent="0.75">
      <c r="A81" s="750"/>
      <c r="B81" s="827"/>
      <c r="C81" s="87"/>
      <c r="D81" s="87"/>
      <c r="E81" s="87"/>
      <c r="F81" s="881" t="s">
        <v>361</v>
      </c>
      <c r="G81" s="882">
        <f ca="1">+MIN(R79:AA79)</f>
        <v>-1956866.8807600925</v>
      </c>
      <c r="H81" s="879"/>
      <c r="I81" s="883"/>
      <c r="J81" s="883"/>
      <c r="K81" s="883"/>
      <c r="L81" s="883"/>
      <c r="M81" s="883"/>
      <c r="N81" s="883"/>
      <c r="O81" s="883"/>
      <c r="P81" s="883"/>
      <c r="Q81" s="883"/>
      <c r="R81" s="883"/>
      <c r="S81" s="883"/>
      <c r="T81" s="883"/>
      <c r="U81" s="883"/>
      <c r="V81" s="883"/>
      <c r="W81" s="883"/>
      <c r="X81" s="883"/>
      <c r="Y81" s="883"/>
      <c r="Z81" s="883"/>
      <c r="AA81" s="883"/>
      <c r="AB81" s="868"/>
      <c r="AC81" s="749"/>
      <c r="AF81" s="884"/>
    </row>
    <row r="82" spans="1:32 16372:16384" hidden="1" outlineLevel="1" x14ac:dyDescent="0.45">
      <c r="A82" s="750"/>
      <c r="B82" s="827"/>
      <c r="C82" s="885"/>
      <c r="D82" s="885"/>
      <c r="E82" s="885"/>
      <c r="F82" s="885"/>
      <c r="G82" s="885"/>
      <c r="H82" s="885"/>
      <c r="I82" s="87"/>
      <c r="J82" s="87"/>
      <c r="K82" s="87"/>
      <c r="L82" s="87"/>
      <c r="M82" s="87"/>
      <c r="N82" s="87"/>
      <c r="O82" s="87"/>
      <c r="P82" s="87"/>
      <c r="Q82" s="839"/>
      <c r="R82" s="87"/>
      <c r="S82" s="87"/>
      <c r="T82" s="87"/>
      <c r="U82" s="87"/>
      <c r="V82" s="87"/>
      <c r="W82" s="87"/>
      <c r="X82" s="87"/>
      <c r="Y82" s="87"/>
      <c r="Z82" s="87"/>
      <c r="AA82" s="87"/>
      <c r="AB82" s="828"/>
      <c r="AC82" s="749"/>
    </row>
    <row r="83" spans="1:32 16372:16384" hidden="1" outlineLevel="1" x14ac:dyDescent="0.45">
      <c r="A83" s="750"/>
      <c r="B83" s="827"/>
      <c r="C83" s="886" t="s">
        <v>362</v>
      </c>
      <c r="D83" s="87"/>
      <c r="E83" s="87"/>
      <c r="F83" s="87"/>
      <c r="G83" s="87"/>
      <c r="H83" s="87"/>
      <c r="I83" s="87"/>
      <c r="J83" s="87"/>
      <c r="K83" s="87"/>
      <c r="L83" s="87"/>
      <c r="M83" s="887"/>
      <c r="N83" s="87"/>
      <c r="O83" s="87"/>
      <c r="P83" s="87"/>
      <c r="Q83" s="839"/>
      <c r="S83" s="87"/>
      <c r="T83" s="87"/>
      <c r="U83" s="87"/>
      <c r="V83" s="87"/>
      <c r="W83" s="87"/>
      <c r="X83" s="87"/>
      <c r="Y83" s="87"/>
      <c r="Z83" s="87"/>
      <c r="AA83" s="87"/>
      <c r="AB83" s="888">
        <f>+-MIN(H78:AA78)</f>
        <v>860042.46</v>
      </c>
      <c r="AC83" s="749"/>
    </row>
    <row r="84" spans="1:32 16372:16384" collapsed="1" x14ac:dyDescent="0.45">
      <c r="A84" s="750"/>
      <c r="B84" s="827"/>
      <c r="C84" s="87"/>
      <c r="D84" s="87"/>
      <c r="E84" s="87"/>
      <c r="F84" s="87"/>
      <c r="G84" s="87"/>
      <c r="H84" s="87"/>
      <c r="I84" s="87"/>
      <c r="J84" s="87"/>
      <c r="K84" s="87"/>
      <c r="L84" s="87"/>
      <c r="M84" s="87"/>
      <c r="N84" s="87"/>
      <c r="O84" s="87"/>
      <c r="P84" s="87"/>
      <c r="Q84" s="839"/>
      <c r="R84" s="87"/>
      <c r="S84" s="87"/>
      <c r="T84" s="87"/>
      <c r="U84" s="87"/>
      <c r="V84" s="87"/>
      <c r="W84" s="87"/>
      <c r="X84" s="87"/>
      <c r="Y84" s="87"/>
      <c r="Z84" s="87"/>
      <c r="AA84" s="87"/>
      <c r="AB84" s="828"/>
      <c r="AC84" s="749"/>
    </row>
    <row r="85" spans="1:32 16372:16384" ht="16.5" x14ac:dyDescent="0.75">
      <c r="A85" s="750"/>
      <c r="B85" s="827"/>
      <c r="C85" s="889" t="s">
        <v>363</v>
      </c>
      <c r="D85" s="889"/>
      <c r="E85" s="889"/>
      <c r="F85" s="889"/>
      <c r="G85" s="889"/>
      <c r="H85" s="890">
        <f t="shared" ref="H85:AA85" ca="1" si="21">+H79-H60</f>
        <v>258205.25</v>
      </c>
      <c r="I85" s="890">
        <f t="shared" ca="1" si="21"/>
        <v>265858.02249999996</v>
      </c>
      <c r="J85" s="890">
        <f t="shared" ca="1" si="21"/>
        <v>-66450.741512499982</v>
      </c>
      <c r="K85" s="890">
        <f t="shared" ca="1" si="21"/>
        <v>-4925.9255471874494</v>
      </c>
      <c r="L85" s="890">
        <f t="shared" ca="1" si="21"/>
        <v>-225867.12580063543</v>
      </c>
      <c r="M85" s="890">
        <f t="shared" ca="1" si="21"/>
        <v>-183069.12228528969</v>
      </c>
      <c r="N85" s="890">
        <f t="shared" ca="1" si="21"/>
        <v>-132781.28450916673</v>
      </c>
      <c r="O85" s="890">
        <f t="shared" ca="1" si="21"/>
        <v>23608.650525806181</v>
      </c>
      <c r="P85" s="890">
        <f t="shared" ca="1" si="21"/>
        <v>79479.213672355807</v>
      </c>
      <c r="Q85" s="891">
        <f t="shared" ca="1" si="21"/>
        <v>-47208.321466122929</v>
      </c>
      <c r="R85" s="890">
        <f t="shared" ca="1" si="21"/>
        <v>-544476.88649855042</v>
      </c>
      <c r="S85" s="890">
        <f t="shared" ca="1" si="21"/>
        <v>-500280.00134685345</v>
      </c>
      <c r="T85" s="890">
        <f t="shared" ca="1" si="21"/>
        <v>-406572.68837379047</v>
      </c>
      <c r="U85" s="890">
        <f t="shared" ca="1" si="21"/>
        <v>51476.460658733617</v>
      </c>
      <c r="V85" s="890">
        <f t="shared" ca="1" si="21"/>
        <v>-375132.68232809159</v>
      </c>
      <c r="W85" s="890">
        <f t="shared" ca="1" si="21"/>
        <v>-328849.74497465347</v>
      </c>
      <c r="X85" s="890">
        <f t="shared" ca="1" si="21"/>
        <v>-286804.95347414655</v>
      </c>
      <c r="Y85" s="890">
        <f t="shared" ca="1" si="21"/>
        <v>46484.248456370784</v>
      </c>
      <c r="Z85" s="890">
        <f t="shared" ca="1" si="21"/>
        <v>192601.62062549801</v>
      </c>
      <c r="AA85" s="890">
        <f t="shared" ca="1" si="21"/>
        <v>215263.51743800798</v>
      </c>
      <c r="AB85" s="892">
        <f ca="1">SUM(H85:AA85)</f>
        <v>-1969442.4942402155</v>
      </c>
      <c r="AC85" s="749"/>
    </row>
    <row r="86" spans="1:32 16372:16384" x14ac:dyDescent="0.45">
      <c r="A86" s="750"/>
      <c r="B86" s="827"/>
      <c r="C86" s="87"/>
      <c r="D86" s="87"/>
      <c r="E86" s="87"/>
      <c r="F86" s="87"/>
      <c r="G86" s="87"/>
      <c r="H86" s="87"/>
      <c r="I86" s="87"/>
      <c r="J86" s="87"/>
      <c r="K86" s="87"/>
      <c r="L86" s="87"/>
      <c r="M86" s="87"/>
      <c r="N86" s="87"/>
      <c r="O86" s="87"/>
      <c r="P86" s="87"/>
      <c r="Q86" s="839"/>
      <c r="R86" s="87"/>
      <c r="S86" s="87"/>
      <c r="T86" s="87"/>
      <c r="U86" s="87"/>
      <c r="V86" s="87"/>
      <c r="W86" s="87"/>
      <c r="X86" s="87"/>
      <c r="Y86" s="87"/>
      <c r="Z86" s="87"/>
      <c r="AA86" s="87"/>
      <c r="AB86" s="828"/>
      <c r="AC86" s="749"/>
    </row>
    <row r="87" spans="1:32 16372:16384" x14ac:dyDescent="0.45">
      <c r="A87" s="750"/>
      <c r="B87" s="827"/>
      <c r="C87" s="87" t="s">
        <v>364</v>
      </c>
      <c r="D87" s="87"/>
      <c r="E87" s="87"/>
      <c r="F87" s="87"/>
      <c r="G87" s="87"/>
      <c r="H87" s="69"/>
      <c r="I87" s="87"/>
      <c r="J87" s="87"/>
      <c r="K87" s="87"/>
      <c r="L87" s="87"/>
      <c r="M87" s="87"/>
      <c r="N87" s="87"/>
      <c r="O87" s="87"/>
      <c r="P87" s="87"/>
      <c r="Q87" s="839"/>
      <c r="R87" s="87"/>
      <c r="S87" s="87"/>
      <c r="T87" s="87"/>
      <c r="U87" s="87"/>
      <c r="V87" s="87"/>
      <c r="W87" s="87"/>
      <c r="X87" s="87"/>
      <c r="Y87" s="87"/>
      <c r="Z87" s="87"/>
      <c r="AA87" s="87"/>
      <c r="AB87" s="828"/>
      <c r="AC87" s="749"/>
    </row>
    <row r="88" spans="1:32 16372:16384" ht="39.75" x14ac:dyDescent="0.45">
      <c r="A88" s="750"/>
      <c r="B88" s="827"/>
      <c r="C88" s="893" t="s">
        <v>365</v>
      </c>
      <c r="D88" s="837"/>
      <c r="E88" s="837"/>
      <c r="F88" s="837"/>
      <c r="G88" s="87"/>
      <c r="H88" s="87"/>
      <c r="I88" s="858"/>
      <c r="J88" s="858"/>
      <c r="K88" s="858"/>
      <c r="L88" s="858"/>
      <c r="M88" s="858"/>
      <c r="N88" s="858"/>
      <c r="O88" s="858"/>
      <c r="P88" s="858"/>
      <c r="Q88" s="859"/>
      <c r="R88" s="858"/>
      <c r="S88" s="858"/>
      <c r="T88" s="858"/>
      <c r="U88" s="858"/>
      <c r="V88" s="858"/>
      <c r="W88" s="858"/>
      <c r="X88" s="858"/>
      <c r="Y88" s="858"/>
      <c r="Z88" s="858"/>
      <c r="AA88" s="858"/>
      <c r="AB88" s="894"/>
      <c r="AC88" s="749"/>
    </row>
    <row r="89" spans="1:32 16372:16384" s="900" customFormat="1" outlineLevel="1" x14ac:dyDescent="0.45">
      <c r="A89" s="789"/>
      <c r="B89" s="789"/>
      <c r="C89" s="895" t="s">
        <v>366</v>
      </c>
      <c r="D89" s="792"/>
      <c r="E89" s="792"/>
      <c r="F89" s="792"/>
      <c r="G89" s="792"/>
      <c r="H89" s="896">
        <f ca="1">+Q28</f>
        <v>-261273.66149164233</v>
      </c>
      <c r="I89" s="896">
        <f t="shared" ref="I89:Q89" ca="1" si="22">+H89</f>
        <v>-261273.66149164233</v>
      </c>
      <c r="J89" s="896">
        <f t="shared" ca="1" si="22"/>
        <v>-261273.66149164233</v>
      </c>
      <c r="K89" s="896">
        <f t="shared" ca="1" si="22"/>
        <v>-261273.66149164233</v>
      </c>
      <c r="L89" s="896">
        <f t="shared" ca="1" si="22"/>
        <v>-261273.66149164233</v>
      </c>
      <c r="M89" s="896">
        <f t="shared" ca="1" si="22"/>
        <v>-261273.66149164233</v>
      </c>
      <c r="N89" s="896">
        <f t="shared" ca="1" si="22"/>
        <v>-261273.66149164233</v>
      </c>
      <c r="O89" s="896">
        <f t="shared" ca="1" si="22"/>
        <v>-261273.66149164233</v>
      </c>
      <c r="P89" s="896">
        <f t="shared" ca="1" si="22"/>
        <v>-261273.66149164233</v>
      </c>
      <c r="Q89" s="897">
        <f t="shared" ca="1" si="22"/>
        <v>-261273.66149164233</v>
      </c>
      <c r="R89" s="898" t="s">
        <v>367</v>
      </c>
      <c r="S89" s="898" t="s">
        <v>367</v>
      </c>
      <c r="T89" s="898" t="s">
        <v>367</v>
      </c>
      <c r="U89" s="898" t="s">
        <v>367</v>
      </c>
      <c r="V89" s="898" t="s">
        <v>367</v>
      </c>
      <c r="W89" s="898" t="s">
        <v>367</v>
      </c>
      <c r="X89" s="898" t="s">
        <v>367</v>
      </c>
      <c r="Y89" s="898" t="s">
        <v>367</v>
      </c>
      <c r="Z89" s="898" t="s">
        <v>367</v>
      </c>
      <c r="AA89" s="898" t="s">
        <v>367</v>
      </c>
      <c r="AB89" s="899"/>
      <c r="XER89" s="802"/>
      <c r="XES89" s="802"/>
      <c r="XET89" s="802"/>
      <c r="XEU89" s="802"/>
      <c r="XEV89" s="802"/>
      <c r="XEW89" s="802"/>
      <c r="XEX89" s="802"/>
      <c r="XEY89" s="802"/>
      <c r="XEZ89" s="802"/>
      <c r="XFA89" s="802"/>
      <c r="XFB89" s="802"/>
      <c r="XFC89" s="802"/>
      <c r="XFD89" s="802"/>
    </row>
    <row r="90" spans="1:32 16372:16384" s="900" customFormat="1" outlineLevel="1" x14ac:dyDescent="0.45">
      <c r="A90" s="789"/>
      <c r="B90" s="789"/>
      <c r="C90" s="895" t="str">
        <f>+C74</f>
        <v>Needs Inflation rate</v>
      </c>
      <c r="D90" s="792"/>
      <c r="E90" s="792"/>
      <c r="F90" s="792"/>
      <c r="G90" s="792"/>
      <c r="H90" s="901">
        <f>+H74</f>
        <v>0</v>
      </c>
      <c r="I90" s="901">
        <f ca="1">+I74</f>
        <v>0.02</v>
      </c>
      <c r="J90" s="901">
        <f t="shared" ref="J90:Q90" ca="1" si="23">+J74</f>
        <v>0.02</v>
      </c>
      <c r="K90" s="901">
        <f t="shared" ca="1" si="23"/>
        <v>0.02</v>
      </c>
      <c r="L90" s="901">
        <f t="shared" ca="1" si="23"/>
        <v>0.02</v>
      </c>
      <c r="M90" s="901">
        <f t="shared" ca="1" si="23"/>
        <v>0.02</v>
      </c>
      <c r="N90" s="901">
        <f t="shared" ca="1" si="23"/>
        <v>0.02</v>
      </c>
      <c r="O90" s="901">
        <f t="shared" ca="1" si="23"/>
        <v>0.02</v>
      </c>
      <c r="P90" s="901">
        <f t="shared" ca="1" si="23"/>
        <v>0.02</v>
      </c>
      <c r="Q90" s="902">
        <f t="shared" ca="1" si="23"/>
        <v>0.02</v>
      </c>
      <c r="R90" s="901"/>
      <c r="S90" s="901"/>
      <c r="T90" s="901"/>
      <c r="U90" s="901"/>
      <c r="V90" s="901"/>
      <c r="W90" s="901"/>
      <c r="X90" s="901"/>
      <c r="Y90" s="901"/>
      <c r="Z90" s="901"/>
      <c r="AA90" s="901"/>
      <c r="AB90" s="899"/>
      <c r="XER90" s="802"/>
      <c r="XES90" s="802"/>
      <c r="XET90" s="802"/>
      <c r="XEU90" s="802"/>
      <c r="XEV90" s="802"/>
      <c r="XEW90" s="802"/>
      <c r="XEX90" s="802"/>
      <c r="XEY90" s="802"/>
      <c r="XEZ90" s="802"/>
      <c r="XFA90" s="802"/>
      <c r="XFB90" s="802"/>
      <c r="XFC90" s="802"/>
      <c r="XFD90" s="802"/>
    </row>
    <row r="91" spans="1:32 16372:16384" s="900" customFormat="1" outlineLevel="1" x14ac:dyDescent="0.45">
      <c r="A91" s="789"/>
      <c r="B91" s="789"/>
      <c r="C91" s="895" t="str">
        <f>+C75</f>
        <v>Calculated cumulative inflation</v>
      </c>
      <c r="D91" s="792"/>
      <c r="E91" s="903" t="s">
        <v>368</v>
      </c>
      <c r="F91" s="792"/>
      <c r="G91" s="792"/>
      <c r="H91" s="901">
        <f>+H90</f>
        <v>0</v>
      </c>
      <c r="I91" s="901">
        <f ca="1">+(1+H91)*(1+I90)-1</f>
        <v>2.0000000000000018E-2</v>
      </c>
      <c r="J91" s="901">
        <f t="shared" ref="J91:Q91" ca="1" si="24">+(1+I91)*(1+J90)-1</f>
        <v>4.0399999999999991E-2</v>
      </c>
      <c r="K91" s="901">
        <f t="shared" ca="1" si="24"/>
        <v>6.1207999999999929E-2</v>
      </c>
      <c r="L91" s="901">
        <f t="shared" ca="1" si="24"/>
        <v>8.2432159999999977E-2</v>
      </c>
      <c r="M91" s="901">
        <f t="shared" ca="1" si="24"/>
        <v>0.10408080320000002</v>
      </c>
      <c r="N91" s="901">
        <f t="shared" ca="1" si="24"/>
        <v>0.12616241926400007</v>
      </c>
      <c r="O91" s="901">
        <f t="shared" ca="1" si="24"/>
        <v>0.14868566764928004</v>
      </c>
      <c r="P91" s="901">
        <f t="shared" ca="1" si="24"/>
        <v>0.17165938100226574</v>
      </c>
      <c r="Q91" s="902">
        <f t="shared" ca="1" si="24"/>
        <v>0.19509256862231106</v>
      </c>
      <c r="R91" s="901"/>
      <c r="S91" s="901"/>
      <c r="T91" s="901"/>
      <c r="U91" s="901"/>
      <c r="V91" s="901"/>
      <c r="W91" s="901"/>
      <c r="X91" s="901"/>
      <c r="Y91" s="901"/>
      <c r="Z91" s="901"/>
      <c r="AA91" s="901"/>
      <c r="AB91" s="899"/>
      <c r="XER91" s="802"/>
      <c r="XES91" s="802"/>
      <c r="XET91" s="802"/>
      <c r="XEU91" s="802"/>
      <c r="XEV91" s="802"/>
      <c r="XEW91" s="802"/>
      <c r="XEX91" s="802"/>
      <c r="XEY91" s="802"/>
      <c r="XEZ91" s="802"/>
      <c r="XFA91" s="802"/>
      <c r="XFB91" s="802"/>
      <c r="XFC91" s="802"/>
      <c r="XFD91" s="802"/>
    </row>
    <row r="92" spans="1:32 16372:16384" s="900" customFormat="1" outlineLevel="1" x14ac:dyDescent="0.45">
      <c r="A92" s="789"/>
      <c r="B92" s="789"/>
      <c r="C92" s="895" t="str">
        <f>+C76</f>
        <v>Inflation in Needs Amount</v>
      </c>
      <c r="D92" s="1182" t="s">
        <v>369</v>
      </c>
      <c r="E92" s="1182"/>
      <c r="F92" s="1182"/>
      <c r="G92" s="904" t="s">
        <v>370</v>
      </c>
      <c r="H92" s="905">
        <f ca="1">+H89*H91</f>
        <v>0</v>
      </c>
      <c r="I92" s="905">
        <f t="shared" ref="I92:Q92" ca="1" si="25">+I89*I91</f>
        <v>-5225.4732298328508</v>
      </c>
      <c r="J92" s="905">
        <f t="shared" ca="1" si="25"/>
        <v>-10555.455924262347</v>
      </c>
      <c r="K92" s="905">
        <f t="shared" ca="1" si="25"/>
        <v>-15992.038272580425</v>
      </c>
      <c r="L92" s="905">
        <f t="shared" ca="1" si="25"/>
        <v>-21537.352267864891</v>
      </c>
      <c r="M92" s="905">
        <f t="shared" ca="1" si="25"/>
        <v>-27193.572543055048</v>
      </c>
      <c r="N92" s="905">
        <f t="shared" ca="1" si="25"/>
        <v>-32962.917223749006</v>
      </c>
      <c r="O92" s="905">
        <f t="shared" ca="1" si="25"/>
        <v>-38847.648798056827</v>
      </c>
      <c r="P92" s="905">
        <f t="shared" ca="1" si="25"/>
        <v>-44850.075003850834</v>
      </c>
      <c r="Q92" s="906">
        <f t="shared" ca="1" si="25"/>
        <v>-50972.549733760701</v>
      </c>
      <c r="R92" s="907"/>
      <c r="S92" s="907"/>
      <c r="T92" s="907"/>
      <c r="U92" s="907"/>
      <c r="V92" s="907"/>
      <c r="W92" s="907"/>
      <c r="X92" s="907"/>
      <c r="Y92" s="907"/>
      <c r="Z92" s="907"/>
      <c r="AA92" s="907"/>
      <c r="AB92" s="899"/>
      <c r="XER92" s="802"/>
      <c r="XES92" s="802"/>
      <c r="XET92" s="802"/>
      <c r="XEU92" s="802"/>
      <c r="XEV92" s="802"/>
      <c r="XEW92" s="802"/>
      <c r="XEX92" s="802"/>
      <c r="XEY92" s="802"/>
      <c r="XEZ92" s="802"/>
      <c r="XFA92" s="802"/>
      <c r="XFB92" s="802"/>
      <c r="XFC92" s="802"/>
      <c r="XFD92" s="802"/>
    </row>
    <row r="93" spans="1:32 16372:16384" ht="15" outlineLevel="1" x14ac:dyDescent="0.55000000000000004">
      <c r="A93" s="750"/>
      <c r="B93" s="827"/>
      <c r="C93" s="908" t="s">
        <v>371</v>
      </c>
      <c r="D93" s="1180">
        <f ca="1">+'Trial Deposits Engine'!G104</f>
        <v>348.59477518073982</v>
      </c>
      <c r="E93" s="1180"/>
      <c r="F93" s="1180"/>
      <c r="G93" s="909">
        <f ca="1">+D93/(10*'Trial Deposits Analysis'!M10)</f>
        <v>7.6446222627355218E-2</v>
      </c>
      <c r="H93" s="910">
        <f ca="1">+H89+H92</f>
        <v>-261273.66149164233</v>
      </c>
      <c r="I93" s="910">
        <f ca="1">+H93</f>
        <v>-261273.66149164233</v>
      </c>
      <c r="J93" s="910">
        <f t="shared" ref="J93:Q93" ca="1" si="26">+I93</f>
        <v>-261273.66149164233</v>
      </c>
      <c r="K93" s="910">
        <f t="shared" ca="1" si="26"/>
        <v>-261273.66149164233</v>
      </c>
      <c r="L93" s="910">
        <f t="shared" ca="1" si="26"/>
        <v>-261273.66149164233</v>
      </c>
      <c r="M93" s="910">
        <f t="shared" ca="1" si="26"/>
        <v>-261273.66149164233</v>
      </c>
      <c r="N93" s="910">
        <f t="shared" ca="1" si="26"/>
        <v>-261273.66149164233</v>
      </c>
      <c r="O93" s="910">
        <f t="shared" ca="1" si="26"/>
        <v>-261273.66149164233</v>
      </c>
      <c r="P93" s="910">
        <f t="shared" ca="1" si="26"/>
        <v>-261273.66149164233</v>
      </c>
      <c r="Q93" s="910">
        <f t="shared" ca="1" si="26"/>
        <v>-261273.66149164233</v>
      </c>
      <c r="R93" s="858"/>
      <c r="S93" s="911"/>
      <c r="T93" s="911"/>
      <c r="U93" s="911"/>
      <c r="V93" s="911"/>
      <c r="W93" s="911"/>
      <c r="X93" s="911"/>
      <c r="Y93" s="911"/>
      <c r="Z93" s="911"/>
      <c r="AA93" s="911"/>
      <c r="AB93" s="912"/>
      <c r="AC93" s="749"/>
    </row>
    <row r="94" spans="1:32 16372:16384" outlineLevel="1" x14ac:dyDescent="0.45">
      <c r="A94" s="750"/>
      <c r="B94" s="827"/>
      <c r="C94" s="913" t="s">
        <v>372</v>
      </c>
      <c r="D94" s="87"/>
      <c r="E94" s="87"/>
      <c r="F94" s="914"/>
      <c r="G94" s="69"/>
      <c r="H94" s="858">
        <f ca="1">+H79-H93</f>
        <v>986403.91149164236</v>
      </c>
      <c r="I94" s="858">
        <f t="shared" ref="I94:Q94" ca="1" si="27">+I79-I93</f>
        <v>1252261.9339916422</v>
      </c>
      <c r="J94" s="858">
        <f t="shared" ca="1" si="27"/>
        <v>1185811.1924791422</v>
      </c>
      <c r="K94" s="858">
        <f t="shared" ca="1" si="27"/>
        <v>1180885.2669319548</v>
      </c>
      <c r="L94" s="858">
        <f t="shared" ca="1" si="27"/>
        <v>955018.14113131945</v>
      </c>
      <c r="M94" s="858">
        <f t="shared" ca="1" si="27"/>
        <v>771949.01884602976</v>
      </c>
      <c r="N94" s="858">
        <f t="shared" ca="1" si="27"/>
        <v>639167.73433686304</v>
      </c>
      <c r="O94" s="858">
        <f t="shared" ca="1" si="27"/>
        <v>662776.38486266916</v>
      </c>
      <c r="P94" s="858">
        <f t="shared" ca="1" si="27"/>
        <v>742255.59853502503</v>
      </c>
      <c r="Q94" s="859">
        <f t="shared" ca="1" si="27"/>
        <v>695047.27706890204</v>
      </c>
      <c r="R94" s="858"/>
      <c r="S94" s="911"/>
      <c r="T94" s="911"/>
      <c r="U94" s="911"/>
      <c r="V94" s="911"/>
      <c r="W94" s="911"/>
      <c r="X94" s="911"/>
      <c r="Y94" s="911"/>
      <c r="Z94" s="911"/>
      <c r="AA94" s="911"/>
      <c r="AB94" s="912"/>
      <c r="AC94" s="749"/>
    </row>
    <row r="95" spans="1:32 16372:16384" outlineLevel="1" x14ac:dyDescent="0.45">
      <c r="A95" s="750"/>
      <c r="B95" s="827"/>
      <c r="H95" s="858"/>
      <c r="I95" s="858"/>
      <c r="J95" s="858"/>
      <c r="K95" s="858"/>
      <c r="L95" s="858"/>
      <c r="M95" s="858"/>
      <c r="N95" s="858"/>
      <c r="O95" s="858"/>
      <c r="P95" s="858"/>
      <c r="Q95" s="859"/>
      <c r="R95" s="858"/>
      <c r="S95" s="911"/>
      <c r="T95" s="911"/>
      <c r="U95" s="911"/>
      <c r="V95" s="911"/>
      <c r="W95" s="911"/>
      <c r="X95" s="911"/>
      <c r="Y95" s="911"/>
      <c r="Z95" s="911"/>
      <c r="AA95" s="911"/>
      <c r="AB95" s="912"/>
      <c r="AC95" s="749"/>
    </row>
    <row r="96" spans="1:32 16372:16384" x14ac:dyDescent="0.45">
      <c r="A96" s="750"/>
      <c r="B96" s="827"/>
      <c r="H96" s="915" t="str">
        <f ca="1">+IF(H79&gt;=H93,"OK","Not OK")</f>
        <v>OK</v>
      </c>
      <c r="I96" s="915" t="str">
        <f t="shared" ref="I96:P96" ca="1" si="28">+IF(I79&gt;=I93,"OK","Not OK")</f>
        <v>OK</v>
      </c>
      <c r="J96" s="915" t="str">
        <f t="shared" ca="1" si="28"/>
        <v>OK</v>
      </c>
      <c r="K96" s="915" t="str">
        <f t="shared" ca="1" si="28"/>
        <v>OK</v>
      </c>
      <c r="L96" s="915" t="str">
        <f t="shared" ca="1" si="28"/>
        <v>OK</v>
      </c>
      <c r="M96" s="915" t="str">
        <f t="shared" ca="1" si="28"/>
        <v>OK</v>
      </c>
      <c r="N96" s="915" t="str">
        <f t="shared" ca="1" si="28"/>
        <v>OK</v>
      </c>
      <c r="O96" s="915" t="str">
        <f t="shared" ca="1" si="28"/>
        <v>OK</v>
      </c>
      <c r="P96" s="915" t="str">
        <f t="shared" ca="1" si="28"/>
        <v>OK</v>
      </c>
      <c r="Q96" s="916" t="str">
        <f ca="1">+IF(Q79&gt;=Q93,"OK","Not OK")</f>
        <v>OK</v>
      </c>
      <c r="R96" s="915" t="s">
        <v>373</v>
      </c>
      <c r="S96" s="915" t="s">
        <v>373</v>
      </c>
      <c r="T96" s="915" t="s">
        <v>373</v>
      </c>
      <c r="U96" s="915" t="s">
        <v>373</v>
      </c>
      <c r="V96" s="915" t="s">
        <v>373</v>
      </c>
      <c r="W96" s="915" t="s">
        <v>373</v>
      </c>
      <c r="X96" s="915" t="s">
        <v>373</v>
      </c>
      <c r="Y96" s="915" t="s">
        <v>373</v>
      </c>
      <c r="Z96" s="915" t="s">
        <v>373</v>
      </c>
      <c r="AA96" s="915" t="s">
        <v>373</v>
      </c>
      <c r="AB96" s="894"/>
      <c r="AC96" s="749"/>
    </row>
    <row r="97" spans="1:29" x14ac:dyDescent="0.45">
      <c r="A97" s="750"/>
      <c r="B97" s="827"/>
      <c r="C97" s="87" t="s">
        <v>374</v>
      </c>
      <c r="D97" s="87"/>
      <c r="E97" s="87"/>
      <c r="F97" s="87"/>
      <c r="G97" s="917"/>
      <c r="H97" s="87"/>
      <c r="I97" s="87"/>
      <c r="J97" s="87"/>
      <c r="K97" s="918"/>
      <c r="L97" s="918"/>
      <c r="M97" s="918"/>
      <c r="N97" s="918"/>
      <c r="O97" s="918"/>
      <c r="P97" s="918"/>
      <c r="Q97" s="919"/>
      <c r="R97" s="918"/>
      <c r="S97" s="918"/>
      <c r="T97" s="918"/>
      <c r="U97" s="918"/>
      <c r="V97" s="918"/>
      <c r="W97" s="918"/>
      <c r="X97" s="918"/>
      <c r="Y97" s="918"/>
      <c r="Z97" s="918"/>
      <c r="AA97" s="918">
        <f ca="1">+(1+$J$26)^(AA57-$K$26)-1</f>
        <v>0.45681117252779813</v>
      </c>
      <c r="AB97" s="828"/>
      <c r="AC97" s="749"/>
    </row>
    <row r="98" spans="1:29" s="802" customFormat="1" outlineLevel="1" x14ac:dyDescent="0.45">
      <c r="A98" s="789"/>
      <c r="B98" s="789"/>
      <c r="C98" s="895" t="s">
        <v>375</v>
      </c>
      <c r="D98" s="792"/>
      <c r="E98" s="792"/>
      <c r="F98" s="792"/>
      <c r="G98" s="792"/>
      <c r="H98" s="896">
        <f>+Q30</f>
        <v>-335249.58</v>
      </c>
      <c r="I98" s="896">
        <f t="shared" ref="I98:AA98" si="29">+H98</f>
        <v>-335249.58</v>
      </c>
      <c r="J98" s="896">
        <f t="shared" si="29"/>
        <v>-335249.58</v>
      </c>
      <c r="K98" s="896">
        <f t="shared" si="29"/>
        <v>-335249.58</v>
      </c>
      <c r="L98" s="896">
        <f t="shared" si="29"/>
        <v>-335249.58</v>
      </c>
      <c r="M98" s="896">
        <f t="shared" si="29"/>
        <v>-335249.58</v>
      </c>
      <c r="N98" s="896">
        <f t="shared" si="29"/>
        <v>-335249.58</v>
      </c>
      <c r="O98" s="896">
        <f t="shared" si="29"/>
        <v>-335249.58</v>
      </c>
      <c r="P98" s="896">
        <f t="shared" si="29"/>
        <v>-335249.58</v>
      </c>
      <c r="Q98" s="897">
        <f t="shared" si="29"/>
        <v>-335249.58</v>
      </c>
      <c r="R98" s="896">
        <f t="shared" si="29"/>
        <v>-335249.58</v>
      </c>
      <c r="S98" s="896">
        <f t="shared" si="29"/>
        <v>-335249.58</v>
      </c>
      <c r="T98" s="896">
        <f t="shared" si="29"/>
        <v>-335249.58</v>
      </c>
      <c r="U98" s="896">
        <f t="shared" si="29"/>
        <v>-335249.58</v>
      </c>
      <c r="V98" s="896">
        <f t="shared" si="29"/>
        <v>-335249.58</v>
      </c>
      <c r="W98" s="896">
        <f t="shared" si="29"/>
        <v>-335249.58</v>
      </c>
      <c r="X98" s="896">
        <f t="shared" si="29"/>
        <v>-335249.58</v>
      </c>
      <c r="Y98" s="896">
        <f t="shared" si="29"/>
        <v>-335249.58</v>
      </c>
      <c r="Z98" s="896">
        <f t="shared" si="29"/>
        <v>-335249.58</v>
      </c>
      <c r="AA98" s="896">
        <f t="shared" si="29"/>
        <v>-335249.58</v>
      </c>
      <c r="AB98" s="828"/>
      <c r="AC98" s="749"/>
    </row>
    <row r="99" spans="1:29" s="802" customFormat="1" outlineLevel="1" x14ac:dyDescent="0.45">
      <c r="A99" s="789"/>
      <c r="B99" s="789"/>
      <c r="C99" s="895" t="str">
        <f>+C90</f>
        <v>Needs Inflation rate</v>
      </c>
      <c r="D99" s="792"/>
      <c r="E99" s="792"/>
      <c r="F99" s="792"/>
      <c r="G99" s="875"/>
      <c r="H99" s="901">
        <f>+H74</f>
        <v>0</v>
      </c>
      <c r="I99" s="901">
        <f ca="1">+I74</f>
        <v>0.02</v>
      </c>
      <c r="J99" s="901">
        <f t="shared" ref="J99:AA99" ca="1" si="30">+J74</f>
        <v>0.02</v>
      </c>
      <c r="K99" s="901">
        <f t="shared" ca="1" si="30"/>
        <v>0.02</v>
      </c>
      <c r="L99" s="901">
        <f t="shared" ca="1" si="30"/>
        <v>0.02</v>
      </c>
      <c r="M99" s="901">
        <f t="shared" ca="1" si="30"/>
        <v>0.02</v>
      </c>
      <c r="N99" s="901">
        <f t="shared" ca="1" si="30"/>
        <v>0.02</v>
      </c>
      <c r="O99" s="901">
        <f t="shared" ca="1" si="30"/>
        <v>0.02</v>
      </c>
      <c r="P99" s="901">
        <f t="shared" ca="1" si="30"/>
        <v>0.02</v>
      </c>
      <c r="Q99" s="902">
        <f t="shared" ca="1" si="30"/>
        <v>0.02</v>
      </c>
      <c r="R99" s="901">
        <f t="shared" ca="1" si="30"/>
        <v>0.02</v>
      </c>
      <c r="S99" s="901">
        <f t="shared" ca="1" si="30"/>
        <v>0.02</v>
      </c>
      <c r="T99" s="901">
        <f t="shared" ca="1" si="30"/>
        <v>0.02</v>
      </c>
      <c r="U99" s="901">
        <f t="shared" ca="1" si="30"/>
        <v>0.02</v>
      </c>
      <c r="V99" s="901">
        <f t="shared" ca="1" si="30"/>
        <v>0.02</v>
      </c>
      <c r="W99" s="901">
        <f t="shared" ca="1" si="30"/>
        <v>0.02</v>
      </c>
      <c r="X99" s="901">
        <f t="shared" ca="1" si="30"/>
        <v>0.02</v>
      </c>
      <c r="Y99" s="901">
        <f t="shared" ca="1" si="30"/>
        <v>0.02</v>
      </c>
      <c r="Z99" s="901">
        <f t="shared" ca="1" si="30"/>
        <v>0.02</v>
      </c>
      <c r="AA99" s="901">
        <f t="shared" ca="1" si="30"/>
        <v>0.02</v>
      </c>
      <c r="AB99" s="828"/>
      <c r="AC99" s="749"/>
    </row>
    <row r="100" spans="1:29" s="802" customFormat="1" outlineLevel="1" x14ac:dyDescent="0.45">
      <c r="A100" s="789"/>
      <c r="B100" s="789"/>
      <c r="C100" s="895" t="str">
        <f>+C91</f>
        <v>Calculated cumulative inflation</v>
      </c>
      <c r="D100" s="792"/>
      <c r="E100" s="903" t="s">
        <v>368</v>
      </c>
      <c r="F100" s="792"/>
      <c r="G100" s="792"/>
      <c r="H100" s="901">
        <f>+H75</f>
        <v>0</v>
      </c>
      <c r="I100" s="901">
        <f ca="1">+I75</f>
        <v>2.0000000000000018E-2</v>
      </c>
      <c r="J100" s="901">
        <f t="shared" ref="J100:AA100" ca="1" si="31">+J75</f>
        <v>4.0399999999999991E-2</v>
      </c>
      <c r="K100" s="901">
        <f t="shared" ca="1" si="31"/>
        <v>6.1207999999999929E-2</v>
      </c>
      <c r="L100" s="901">
        <f t="shared" ca="1" si="31"/>
        <v>8.2432159999999977E-2</v>
      </c>
      <c r="M100" s="901">
        <f t="shared" ca="1" si="31"/>
        <v>0.10408080320000002</v>
      </c>
      <c r="N100" s="901">
        <f t="shared" ca="1" si="31"/>
        <v>0.12616241926400007</v>
      </c>
      <c r="O100" s="901">
        <f t="shared" ca="1" si="31"/>
        <v>0.14868566764928004</v>
      </c>
      <c r="P100" s="901">
        <f t="shared" ca="1" si="31"/>
        <v>0.17165938100226574</v>
      </c>
      <c r="Q100" s="902">
        <f t="shared" ca="1" si="31"/>
        <v>0.19509256862231106</v>
      </c>
      <c r="R100" s="901">
        <f t="shared" ca="1" si="31"/>
        <v>0.21899441999475733</v>
      </c>
      <c r="S100" s="901">
        <f t="shared" ca="1" si="31"/>
        <v>0.24337430839465246</v>
      </c>
      <c r="T100" s="901">
        <f t="shared" ca="1" si="31"/>
        <v>0.26824179456254549</v>
      </c>
      <c r="U100" s="901">
        <f t="shared" ca="1" si="31"/>
        <v>0.29360663045379631</v>
      </c>
      <c r="V100" s="901">
        <f t="shared" ca="1" si="31"/>
        <v>0.31947876306287237</v>
      </c>
      <c r="W100" s="901">
        <f t="shared" ca="1" si="31"/>
        <v>0.34586833832412989</v>
      </c>
      <c r="X100" s="901">
        <f t="shared" ca="1" si="31"/>
        <v>0.37278570509061248</v>
      </c>
      <c r="Y100" s="901">
        <f t="shared" ca="1" si="31"/>
        <v>0.40024141919242484</v>
      </c>
      <c r="Z100" s="901">
        <f t="shared" ca="1" si="31"/>
        <v>0.42824624757627339</v>
      </c>
      <c r="AA100" s="901">
        <f t="shared" ca="1" si="31"/>
        <v>0.45681117252779879</v>
      </c>
      <c r="AB100" s="828"/>
      <c r="AC100" s="749"/>
    </row>
    <row r="101" spans="1:29" s="802" customFormat="1" outlineLevel="1" x14ac:dyDescent="0.45">
      <c r="A101" s="789"/>
      <c r="B101" s="789"/>
      <c r="C101" s="895" t="str">
        <f>+C92</f>
        <v>Inflation in Needs Amount</v>
      </c>
      <c r="D101" s="1182" t="s">
        <v>369</v>
      </c>
      <c r="E101" s="1182"/>
      <c r="F101" s="1182"/>
      <c r="G101" s="904" t="s">
        <v>370</v>
      </c>
      <c r="H101" s="905">
        <f>+H98*H100</f>
        <v>0</v>
      </c>
      <c r="I101" s="905">
        <f t="shared" ref="I101:AA101" ca="1" si="32">+I98*I100</f>
        <v>-6704.9916000000067</v>
      </c>
      <c r="J101" s="905">
        <f t="shared" ca="1" si="32"/>
        <v>-13544.083031999999</v>
      </c>
      <c r="K101" s="905">
        <f t="shared" ca="1" si="32"/>
        <v>-20519.956292639978</v>
      </c>
      <c r="L101" s="905">
        <f t="shared" ca="1" si="32"/>
        <v>-27635.347018492794</v>
      </c>
      <c r="M101" s="905">
        <f t="shared" ca="1" si="32"/>
        <v>-34893.045558862665</v>
      </c>
      <c r="N101" s="905">
        <f t="shared" ca="1" si="32"/>
        <v>-42295.898070039933</v>
      </c>
      <c r="O101" s="905">
        <f t="shared" ca="1" si="32"/>
        <v>-49846.807631440723</v>
      </c>
      <c r="P101" s="905">
        <f t="shared" ca="1" si="32"/>
        <v>-57548.735384069572</v>
      </c>
      <c r="Q101" s="906">
        <f t="shared" ca="1" si="32"/>
        <v>-65404.701691750961</v>
      </c>
      <c r="R101" s="905">
        <f t="shared" ca="1" si="32"/>
        <v>-73417.787325586003</v>
      </c>
      <c r="S101" s="905">
        <f t="shared" ca="1" si="32"/>
        <v>-81591.134672097716</v>
      </c>
      <c r="T101" s="905">
        <f t="shared" ca="1" si="32"/>
        <v>-89927.948965539661</v>
      </c>
      <c r="U101" s="905">
        <f t="shared" ca="1" si="32"/>
        <v>-98431.499544850434</v>
      </c>
      <c r="V101" s="905">
        <f t="shared" ca="1" si="32"/>
        <v>-107105.12113574748</v>
      </c>
      <c r="W101" s="905">
        <f t="shared" ca="1" si="32"/>
        <v>-115952.21515846245</v>
      </c>
      <c r="X101" s="905">
        <f t="shared" ca="1" si="32"/>
        <v>-124976.2510616317</v>
      </c>
      <c r="Y101" s="905">
        <f t="shared" ca="1" si="32"/>
        <v>-134180.76768286436</v>
      </c>
      <c r="Z101" s="905">
        <f t="shared" ca="1" si="32"/>
        <v>-143569.37463652168</v>
      </c>
      <c r="AA101" s="905">
        <f t="shared" ca="1" si="32"/>
        <v>-153145.75372925209</v>
      </c>
      <c r="AB101" s="828"/>
      <c r="AC101" s="749"/>
    </row>
    <row r="102" spans="1:29" ht="15" outlineLevel="1" x14ac:dyDescent="0.55000000000000004">
      <c r="A102" s="750"/>
      <c r="B102" s="827"/>
      <c r="C102" s="908" t="s">
        <v>376</v>
      </c>
      <c r="D102" s="1180">
        <f ca="1">+'Trial Deposits Engine'!G105</f>
        <v>-2417092.7118217242</v>
      </c>
      <c r="E102" s="1180"/>
      <c r="F102" s="1180"/>
      <c r="G102" s="909">
        <f ca="1">+D102/(20*'Trial Deposits Analysis'!M10)</f>
        <v>-265.03209559448732</v>
      </c>
      <c r="H102" s="910">
        <f>+H98+H101</f>
        <v>-335249.58</v>
      </c>
      <c r="I102" s="910">
        <f t="shared" ref="I102:AA102" ca="1" si="33">+I98+I101</f>
        <v>-341954.57160000002</v>
      </c>
      <c r="J102" s="910">
        <f t="shared" ca="1" si="33"/>
        <v>-348793.66303200001</v>
      </c>
      <c r="K102" s="910">
        <f t="shared" ca="1" si="33"/>
        <v>-355769.53629263997</v>
      </c>
      <c r="L102" s="910">
        <f t="shared" ca="1" si="33"/>
        <v>-362884.92701849283</v>
      </c>
      <c r="M102" s="910">
        <f t="shared" ca="1" si="33"/>
        <v>-370142.6255588627</v>
      </c>
      <c r="N102" s="910">
        <f t="shared" ca="1" si="33"/>
        <v>-377545.47807003994</v>
      </c>
      <c r="O102" s="910">
        <f t="shared" ca="1" si="33"/>
        <v>-385096.38763144077</v>
      </c>
      <c r="P102" s="910">
        <f t="shared" ca="1" si="33"/>
        <v>-392798.31538406957</v>
      </c>
      <c r="Q102" s="910">
        <f t="shared" ca="1" si="33"/>
        <v>-400654.28169175098</v>
      </c>
      <c r="R102" s="910">
        <f t="shared" ca="1" si="33"/>
        <v>-408667.36732558603</v>
      </c>
      <c r="S102" s="910">
        <f t="shared" ca="1" si="33"/>
        <v>-416840.7146720977</v>
      </c>
      <c r="T102" s="910">
        <f t="shared" ca="1" si="33"/>
        <v>-425177.52896553965</v>
      </c>
      <c r="U102" s="910">
        <f t="shared" ca="1" si="33"/>
        <v>-433681.07954485045</v>
      </c>
      <c r="V102" s="910">
        <f t="shared" ca="1" si="33"/>
        <v>-442354.70113574748</v>
      </c>
      <c r="W102" s="910">
        <f t="shared" ca="1" si="33"/>
        <v>-451201.79515846248</v>
      </c>
      <c r="X102" s="910">
        <f t="shared" ca="1" si="33"/>
        <v>-460225.83106163173</v>
      </c>
      <c r="Y102" s="910">
        <f t="shared" ca="1" si="33"/>
        <v>-469430.34768286441</v>
      </c>
      <c r="Z102" s="910">
        <f t="shared" ca="1" si="33"/>
        <v>-478818.9546365217</v>
      </c>
      <c r="AA102" s="910">
        <f t="shared" ca="1" si="33"/>
        <v>-488395.3337292521</v>
      </c>
      <c r="AB102" s="920">
        <f ca="1">SUM(H102:AA102)</f>
        <v>-8145683.0201918501</v>
      </c>
      <c r="AC102" s="749"/>
    </row>
    <row r="103" spans="1:29" outlineLevel="1" x14ac:dyDescent="0.45">
      <c r="A103" s="750"/>
      <c r="B103" s="827"/>
      <c r="C103" s="913" t="s">
        <v>372</v>
      </c>
      <c r="D103" s="87"/>
      <c r="E103" s="87"/>
      <c r="F103" s="914"/>
      <c r="G103" s="69"/>
      <c r="H103" s="858">
        <f ca="1">+H79+H102</f>
        <v>389880.67</v>
      </c>
      <c r="I103" s="858">
        <f t="shared" ref="I103:AA103" ca="1" si="34">+I79+I102</f>
        <v>649033.70089999994</v>
      </c>
      <c r="J103" s="858">
        <f t="shared" ca="1" si="34"/>
        <v>575743.86795550003</v>
      </c>
      <c r="K103" s="858">
        <f t="shared" ca="1" si="34"/>
        <v>563842.0691476725</v>
      </c>
      <c r="L103" s="858">
        <f t="shared" ca="1" si="34"/>
        <v>330859.55262118427</v>
      </c>
      <c r="M103" s="858">
        <f t="shared" ca="1" si="34"/>
        <v>140532.73179552471</v>
      </c>
      <c r="N103" s="858">
        <f t="shared" ca="1" si="34"/>
        <v>348.59477518073982</v>
      </c>
      <c r="O103" s="858">
        <f t="shared" ca="1" si="34"/>
        <v>16406.335739586095</v>
      </c>
      <c r="P103" s="858">
        <f t="shared" ca="1" si="34"/>
        <v>88183.621659313096</v>
      </c>
      <c r="Q103" s="858">
        <f t="shared" ca="1" si="34"/>
        <v>33119.333885508764</v>
      </c>
      <c r="R103" s="858">
        <f t="shared" ca="1" si="34"/>
        <v>-519370.63824687665</v>
      </c>
      <c r="S103" s="858">
        <f t="shared" ca="1" si="34"/>
        <v>-1027823.9869402418</v>
      </c>
      <c r="T103" s="858">
        <f t="shared" ca="1" si="34"/>
        <v>-1442733.4896074743</v>
      </c>
      <c r="U103" s="858">
        <f t="shared" ca="1" si="34"/>
        <v>-1399760.5795280514</v>
      </c>
      <c r="V103" s="858">
        <f t="shared" ca="1" si="34"/>
        <v>-1783566.8834470399</v>
      </c>
      <c r="W103" s="858">
        <f t="shared" ca="1" si="34"/>
        <v>-2121263.7224444086</v>
      </c>
      <c r="X103" s="858">
        <f t="shared" ca="1" si="34"/>
        <v>-2417092.7118217242</v>
      </c>
      <c r="Y103" s="858">
        <f t="shared" ca="1" si="34"/>
        <v>-2379812.9799865861</v>
      </c>
      <c r="Z103" s="858">
        <f t="shared" ca="1" si="34"/>
        <v>-2196599.9663147456</v>
      </c>
      <c r="AA103" s="858">
        <f t="shared" ca="1" si="34"/>
        <v>-1990912.8279694677</v>
      </c>
      <c r="AB103" s="894"/>
      <c r="AC103" s="749"/>
    </row>
    <row r="104" spans="1:29" outlineLevel="1" x14ac:dyDescent="0.45">
      <c r="A104" s="750"/>
      <c r="B104" s="827"/>
      <c r="C104" s="913"/>
      <c r="D104" s="87"/>
      <c r="E104" s="87"/>
      <c r="F104" s="881" t="s">
        <v>377</v>
      </c>
      <c r="G104" s="921">
        <f ca="1">+MIN(H103:Q103)</f>
        <v>348.59477518073982</v>
      </c>
      <c r="H104" s="881" t="s">
        <v>378</v>
      </c>
      <c r="I104" s="922">
        <f ca="1">+MATCH(G104,H103:Q103,0)</f>
        <v>7</v>
      </c>
      <c r="J104" s="858"/>
      <c r="K104" s="858"/>
      <c r="L104" s="858"/>
      <c r="M104" s="858"/>
      <c r="N104" s="858"/>
      <c r="O104" s="858"/>
      <c r="P104" s="858"/>
      <c r="Q104" s="858"/>
      <c r="R104" s="858">
        <f ca="1">+R103</f>
        <v>-519370.63824687665</v>
      </c>
      <c r="S104" s="858">
        <f ca="1">R104++S62+S69+S102</f>
        <v>-620971.20426582778</v>
      </c>
      <c r="T104" s="858"/>
      <c r="U104" s="858"/>
      <c r="V104" s="858"/>
      <c r="W104" s="858"/>
      <c r="X104" s="858"/>
      <c r="Y104" s="858"/>
      <c r="Z104" s="858"/>
      <c r="AA104" s="858"/>
      <c r="AB104" s="894"/>
      <c r="AC104" s="749"/>
    </row>
    <row r="105" spans="1:29" ht="15" outlineLevel="1" x14ac:dyDescent="0.55000000000000004">
      <c r="A105" s="750"/>
      <c r="B105" s="827"/>
      <c r="C105" s="913"/>
      <c r="D105" s="87"/>
      <c r="E105" s="87"/>
      <c r="F105" s="881" t="s">
        <v>379</v>
      </c>
      <c r="G105" s="921">
        <f ca="1">+MIN(R103:AA103)</f>
        <v>-2417092.7118217242</v>
      </c>
      <c r="H105" s="921">
        <f ca="1">+MIN(R103:Z103)</f>
        <v>-2417092.7118217242</v>
      </c>
      <c r="I105" s="922">
        <f ca="1">+MATCH(G105,R103:AA103,0)</f>
        <v>7</v>
      </c>
      <c r="J105" s="910"/>
      <c r="K105" s="910"/>
      <c r="L105" s="910"/>
      <c r="M105" s="910"/>
      <c r="N105" s="910"/>
      <c r="O105" s="910"/>
      <c r="P105" s="910"/>
      <c r="Q105" s="923"/>
      <c r="R105" s="910"/>
      <c r="S105" s="910"/>
      <c r="T105" s="910"/>
      <c r="U105" s="910"/>
      <c r="V105" s="910"/>
      <c r="W105" s="910"/>
      <c r="X105" s="910"/>
      <c r="Y105" s="910"/>
      <c r="Z105" s="910"/>
      <c r="AA105" s="910"/>
      <c r="AB105" s="894"/>
      <c r="AC105" s="749"/>
    </row>
    <row r="106" spans="1:29" ht="15" outlineLevel="1" x14ac:dyDescent="0.55000000000000004">
      <c r="A106" s="750"/>
      <c r="B106" s="827"/>
      <c r="C106" s="924" t="s">
        <v>380</v>
      </c>
      <c r="D106" s="884" t="str">
        <f ca="1">+IF(F106&gt;0,"FAIL","PASS")</f>
        <v>PASS</v>
      </c>
      <c r="E106" s="87"/>
      <c r="F106" s="925">
        <f ca="1">COUNTIF((H107:Q107),"Not OK")</f>
        <v>0</v>
      </c>
      <c r="G106" s="925" t="s">
        <v>381</v>
      </c>
      <c r="H106" s="910"/>
      <c r="I106" s="910"/>
      <c r="J106" s="910"/>
      <c r="K106" s="910"/>
      <c r="L106" s="910"/>
      <c r="M106" s="910"/>
      <c r="N106" s="910"/>
      <c r="O106" s="910"/>
      <c r="P106" s="910"/>
      <c r="Q106" s="910"/>
      <c r="R106" s="910"/>
      <c r="S106" s="910"/>
      <c r="T106" s="910"/>
      <c r="U106" s="910"/>
      <c r="V106" s="910"/>
      <c r="W106" s="910"/>
      <c r="X106" s="910"/>
      <c r="Y106" s="910"/>
      <c r="Z106" s="910"/>
      <c r="AA106" s="910"/>
      <c r="AB106" s="894"/>
      <c r="AC106" s="749"/>
    </row>
    <row r="107" spans="1:29" ht="19.5" customHeight="1" x14ac:dyDescent="0.45">
      <c r="A107" s="750"/>
      <c r="B107" s="827"/>
      <c r="C107" s="924" t="s">
        <v>382</v>
      </c>
      <c r="D107" s="884" t="str">
        <f ca="1">+IF(F107&gt;0,"FAIL","PASS")</f>
        <v>FAIL</v>
      </c>
      <c r="E107" s="87"/>
      <c r="F107" s="925">
        <f ca="1">COUNTIF((R107:AA107),"Not OK")</f>
        <v>10</v>
      </c>
      <c r="G107" s="925" t="s">
        <v>381</v>
      </c>
      <c r="H107" s="926" t="str">
        <f ca="1">+IF(H79&gt;=0,"OK","Not OK")</f>
        <v>OK</v>
      </c>
      <c r="I107" s="926" t="str">
        <f ca="1">+IF(I79&gt;=0,"OK","Not OK")</f>
        <v>OK</v>
      </c>
      <c r="J107" s="915" t="str">
        <f t="shared" ref="J107:AA107" ca="1" si="35">+IF(J103&gt;=0,"OK","Not OK")</f>
        <v>OK</v>
      </c>
      <c r="K107" s="915" t="str">
        <f t="shared" ca="1" si="35"/>
        <v>OK</v>
      </c>
      <c r="L107" s="915" t="str">
        <f t="shared" ca="1" si="35"/>
        <v>OK</v>
      </c>
      <c r="M107" s="915" t="str">
        <f t="shared" ca="1" si="35"/>
        <v>OK</v>
      </c>
      <c r="N107" s="915" t="str">
        <f t="shared" ca="1" si="35"/>
        <v>OK</v>
      </c>
      <c r="O107" s="915" t="str">
        <f t="shared" ca="1" si="35"/>
        <v>OK</v>
      </c>
      <c r="P107" s="915" t="str">
        <f t="shared" ca="1" si="35"/>
        <v>OK</v>
      </c>
      <c r="Q107" s="915" t="str">
        <f t="shared" ca="1" si="35"/>
        <v>OK</v>
      </c>
      <c r="R107" s="915" t="str">
        <f t="shared" ca="1" si="35"/>
        <v>Not OK</v>
      </c>
      <c r="S107" s="915" t="str">
        <f t="shared" ca="1" si="35"/>
        <v>Not OK</v>
      </c>
      <c r="T107" s="915" t="str">
        <f t="shared" ca="1" si="35"/>
        <v>Not OK</v>
      </c>
      <c r="U107" s="915" t="str">
        <f t="shared" ca="1" si="35"/>
        <v>Not OK</v>
      </c>
      <c r="V107" s="915" t="str">
        <f t="shared" ca="1" si="35"/>
        <v>Not OK</v>
      </c>
      <c r="W107" s="915" t="str">
        <f t="shared" ca="1" si="35"/>
        <v>Not OK</v>
      </c>
      <c r="X107" s="915" t="str">
        <f t="shared" ca="1" si="35"/>
        <v>Not OK</v>
      </c>
      <c r="Y107" s="915" t="str">
        <f t="shared" ca="1" si="35"/>
        <v>Not OK</v>
      </c>
      <c r="Z107" s="915" t="str">
        <f t="shared" ca="1" si="35"/>
        <v>Not OK</v>
      </c>
      <c r="AA107" s="915" t="str">
        <f t="shared" ca="1" si="35"/>
        <v>Not OK</v>
      </c>
      <c r="AB107" s="894"/>
      <c r="AC107" s="749"/>
    </row>
    <row r="108" spans="1:29" ht="23.25" customHeight="1" x14ac:dyDescent="0.45">
      <c r="A108" s="750"/>
      <c r="B108" s="827"/>
      <c r="C108" s="1184" t="s">
        <v>383</v>
      </c>
      <c r="E108" s="87"/>
      <c r="F108" s="87"/>
      <c r="G108" s="917"/>
      <c r="H108" s="915" t="s">
        <v>373</v>
      </c>
      <c r="I108" s="915" t="s">
        <v>373</v>
      </c>
      <c r="J108" s="915" t="s">
        <v>373</v>
      </c>
      <c r="K108" s="915" t="s">
        <v>373</v>
      </c>
      <c r="L108" s="915" t="s">
        <v>373</v>
      </c>
      <c r="M108" s="915" t="s">
        <v>373</v>
      </c>
      <c r="N108" s="915" t="s">
        <v>373</v>
      </c>
      <c r="O108" s="915" t="s">
        <v>373</v>
      </c>
      <c r="P108" s="915" t="s">
        <v>373</v>
      </c>
      <c r="Q108" s="916" t="s">
        <v>373</v>
      </c>
      <c r="R108" s="94" t="str">
        <f ca="1">+IF(AND(R107="Not OK",R120="OK"),"Mitigated below","Not Mitigated")</f>
        <v>Mitigated below</v>
      </c>
      <c r="S108" s="94" t="str">
        <f t="shared" ref="S108:AA108" ca="1" si="36">+IF(AND(S107="Not OK",S120="OK"),"Mitigated below","Not Mitigated")</f>
        <v>Mitigated below</v>
      </c>
      <c r="T108" s="94" t="str">
        <f ca="1">+IF(AND(T107="Not OK",T120="OK"),"Mitigated below","Not Mitigated")</f>
        <v>Mitigated below</v>
      </c>
      <c r="U108" s="94" t="str">
        <f t="shared" ca="1" si="36"/>
        <v>Mitigated below</v>
      </c>
      <c r="V108" s="94" t="str">
        <f t="shared" ca="1" si="36"/>
        <v>Mitigated below</v>
      </c>
      <c r="W108" s="94" t="str">
        <f t="shared" ca="1" si="36"/>
        <v>Mitigated below</v>
      </c>
      <c r="X108" s="94" t="str">
        <f t="shared" ca="1" si="36"/>
        <v>Mitigated below</v>
      </c>
      <c r="Y108" s="94" t="str">
        <f t="shared" ca="1" si="36"/>
        <v>Mitigated below</v>
      </c>
      <c r="Z108" s="94" t="str">
        <f t="shared" ca="1" si="36"/>
        <v>Mitigated below</v>
      </c>
      <c r="AA108" s="94" t="str">
        <f t="shared" ca="1" si="36"/>
        <v>Mitigated below</v>
      </c>
      <c r="AB108" s="828"/>
      <c r="AC108" s="749"/>
    </row>
    <row r="109" spans="1:29" ht="18.75" customHeight="1" x14ac:dyDescent="0.45">
      <c r="A109" s="750"/>
      <c r="B109" s="827"/>
      <c r="C109" s="1185"/>
      <c r="D109" s="884" t="str">
        <f ca="1">+IF(AND(D107="FAIL",D120="PASS"),"PASS",IF(AND(D107="PASS",OR(D120="FAIL",D120="yes")),"N/A","FAIL"))</f>
        <v>PASS</v>
      </c>
      <c r="E109" s="87"/>
      <c r="F109" s="87"/>
      <c r="G109" s="917"/>
      <c r="H109" s="87"/>
      <c r="I109" s="87"/>
      <c r="J109" s="87"/>
      <c r="K109" s="87"/>
      <c r="L109" s="87"/>
      <c r="M109" s="87"/>
      <c r="N109" s="87"/>
      <c r="O109" s="87"/>
      <c r="P109" s="87"/>
      <c r="Q109" s="839"/>
      <c r="R109" s="94"/>
      <c r="S109" s="94"/>
      <c r="T109" s="94"/>
      <c r="U109" s="94"/>
      <c r="V109" s="94"/>
      <c r="W109" s="94"/>
      <c r="X109" s="94"/>
      <c r="Y109" s="94"/>
      <c r="Z109" s="94"/>
      <c r="AA109" s="94"/>
      <c r="AB109" s="828"/>
      <c r="AC109" s="749"/>
    </row>
    <row r="110" spans="1:29" ht="15" customHeight="1" x14ac:dyDescent="0.45">
      <c r="A110" s="750"/>
      <c r="B110" s="827"/>
      <c r="C110" s="927"/>
      <c r="D110" s="69"/>
      <c r="E110" s="87"/>
      <c r="F110" s="87"/>
      <c r="G110" s="917"/>
      <c r="H110" s="87"/>
      <c r="I110" s="87"/>
      <c r="J110" s="87"/>
      <c r="K110" s="87"/>
      <c r="L110" s="87"/>
      <c r="M110" s="87"/>
      <c r="N110" s="87"/>
      <c r="O110" s="87"/>
      <c r="P110" s="87"/>
      <c r="Q110" s="839"/>
      <c r="R110" s="94"/>
      <c r="S110" s="94"/>
      <c r="T110" s="94"/>
      <c r="U110" s="94"/>
      <c r="V110" s="94"/>
      <c r="W110" s="94"/>
      <c r="X110" s="94"/>
      <c r="Y110" s="94"/>
      <c r="Z110" s="94"/>
      <c r="AA110" s="94"/>
      <c r="AB110" s="828"/>
      <c r="AC110" s="749"/>
    </row>
    <row r="111" spans="1:29" x14ac:dyDescent="0.45">
      <c r="A111" s="750"/>
      <c r="B111" s="827"/>
      <c r="C111" s="928" t="s">
        <v>384</v>
      </c>
      <c r="D111" s="837"/>
      <c r="E111" s="837"/>
      <c r="F111" s="837"/>
      <c r="G111" s="837"/>
      <c r="H111" s="858"/>
      <c r="I111" s="858"/>
      <c r="J111" s="858"/>
      <c r="K111" s="858"/>
      <c r="L111" s="858"/>
      <c r="M111" s="858"/>
      <c r="N111" s="858"/>
      <c r="O111" s="858"/>
      <c r="P111" s="858"/>
      <c r="Q111" s="859"/>
      <c r="R111" s="858"/>
      <c r="S111" s="858"/>
      <c r="T111" s="858"/>
      <c r="U111" s="858"/>
      <c r="V111" s="858"/>
      <c r="W111" s="858"/>
      <c r="X111" s="858"/>
      <c r="Y111" s="858"/>
      <c r="Z111" s="858"/>
      <c r="AA111" s="858"/>
      <c r="AB111" s="894"/>
      <c r="AC111" s="749"/>
    </row>
    <row r="112" spans="1:29" outlineLevel="1" x14ac:dyDescent="0.45">
      <c r="A112" s="750"/>
      <c r="B112" s="827"/>
      <c r="C112" s="929" t="s">
        <v>385</v>
      </c>
      <c r="D112" s="837"/>
      <c r="E112" s="837"/>
      <c r="F112" s="930" t="s">
        <v>386</v>
      </c>
      <c r="G112" s="931">
        <f>+'Project Info Entry'!$C$16</f>
        <v>0.5</v>
      </c>
      <c r="H112" s="858">
        <f>+P14</f>
        <v>20000000</v>
      </c>
      <c r="I112" s="858">
        <f t="shared" ref="I112:AA112" si="37">+H112</f>
        <v>20000000</v>
      </c>
      <c r="J112" s="858">
        <f t="shared" si="37"/>
        <v>20000000</v>
      </c>
      <c r="K112" s="858">
        <f t="shared" si="37"/>
        <v>20000000</v>
      </c>
      <c r="L112" s="858">
        <f t="shared" si="37"/>
        <v>20000000</v>
      </c>
      <c r="M112" s="858">
        <f t="shared" si="37"/>
        <v>20000000</v>
      </c>
      <c r="N112" s="858">
        <f t="shared" si="37"/>
        <v>20000000</v>
      </c>
      <c r="O112" s="858">
        <f t="shared" si="37"/>
        <v>20000000</v>
      </c>
      <c r="P112" s="858">
        <f t="shared" si="37"/>
        <v>20000000</v>
      </c>
      <c r="Q112" s="859">
        <f t="shared" si="37"/>
        <v>20000000</v>
      </c>
      <c r="R112" s="858">
        <f t="shared" si="37"/>
        <v>20000000</v>
      </c>
      <c r="S112" s="858">
        <f t="shared" si="37"/>
        <v>20000000</v>
      </c>
      <c r="T112" s="858">
        <f t="shared" si="37"/>
        <v>20000000</v>
      </c>
      <c r="U112" s="858">
        <f t="shared" si="37"/>
        <v>20000000</v>
      </c>
      <c r="V112" s="858">
        <f t="shared" si="37"/>
        <v>20000000</v>
      </c>
      <c r="W112" s="858">
        <f t="shared" si="37"/>
        <v>20000000</v>
      </c>
      <c r="X112" s="858">
        <f t="shared" si="37"/>
        <v>20000000</v>
      </c>
      <c r="Y112" s="858">
        <f t="shared" si="37"/>
        <v>20000000</v>
      </c>
      <c r="Z112" s="858">
        <f t="shared" si="37"/>
        <v>20000000</v>
      </c>
      <c r="AA112" s="858">
        <f t="shared" si="37"/>
        <v>20000000</v>
      </c>
      <c r="AB112" s="894"/>
      <c r="AC112" s="749"/>
    </row>
    <row r="113" spans="1:34" outlineLevel="1" x14ac:dyDescent="0.45">
      <c r="A113" s="750"/>
      <c r="B113" s="827"/>
      <c r="C113" s="929" t="s">
        <v>387</v>
      </c>
      <c r="D113" s="837"/>
      <c r="E113" s="837"/>
      <c r="F113" s="837"/>
      <c r="G113" s="837"/>
      <c r="H113" s="932">
        <f t="shared" ref="H113:AA113" si="38">+DAYS360($P$18,H58)/30</f>
        <v>12</v>
      </c>
      <c r="I113" s="932">
        <f t="shared" si="38"/>
        <v>24</v>
      </c>
      <c r="J113" s="932">
        <f t="shared" si="38"/>
        <v>36</v>
      </c>
      <c r="K113" s="932">
        <f t="shared" si="38"/>
        <v>48</v>
      </c>
      <c r="L113" s="932">
        <f t="shared" si="38"/>
        <v>60</v>
      </c>
      <c r="M113" s="932">
        <f t="shared" si="38"/>
        <v>72</v>
      </c>
      <c r="N113" s="932">
        <f t="shared" si="38"/>
        <v>84</v>
      </c>
      <c r="O113" s="932">
        <f t="shared" si="38"/>
        <v>96</v>
      </c>
      <c r="P113" s="932">
        <f t="shared" si="38"/>
        <v>108</v>
      </c>
      <c r="Q113" s="933">
        <f t="shared" si="38"/>
        <v>120</v>
      </c>
      <c r="R113" s="932">
        <f t="shared" si="38"/>
        <v>132</v>
      </c>
      <c r="S113" s="932">
        <f t="shared" si="38"/>
        <v>144</v>
      </c>
      <c r="T113" s="932">
        <f t="shared" si="38"/>
        <v>156</v>
      </c>
      <c r="U113" s="932">
        <f t="shared" si="38"/>
        <v>168</v>
      </c>
      <c r="V113" s="932">
        <f t="shared" si="38"/>
        <v>180</v>
      </c>
      <c r="W113" s="932">
        <f t="shared" si="38"/>
        <v>192</v>
      </c>
      <c r="X113" s="932">
        <f t="shared" si="38"/>
        <v>204</v>
      </c>
      <c r="Y113" s="932">
        <f t="shared" si="38"/>
        <v>216</v>
      </c>
      <c r="Z113" s="932">
        <f t="shared" si="38"/>
        <v>228</v>
      </c>
      <c r="AA113" s="932">
        <f t="shared" si="38"/>
        <v>240</v>
      </c>
      <c r="AB113" s="920">
        <f>SUM(H113:AA113)</f>
        <v>2520</v>
      </c>
      <c r="AC113" s="749"/>
    </row>
    <row r="114" spans="1:34" outlineLevel="1" x14ac:dyDescent="0.45">
      <c r="A114" s="750"/>
      <c r="B114" s="827"/>
      <c r="C114" s="929" t="s">
        <v>388</v>
      </c>
      <c r="D114" s="837"/>
      <c r="E114" s="934" t="s">
        <v>389</v>
      </c>
      <c r="F114" s="837"/>
      <c r="G114" s="837"/>
      <c r="H114" s="858">
        <f t="shared" ref="H114:AA114" si="39">+H112+H116</f>
        <v>19637880.911571089</v>
      </c>
      <c r="I114" s="858">
        <f t="shared" si="39"/>
        <v>19266604.390151612</v>
      </c>
      <c r="J114" s="858">
        <f t="shared" si="39"/>
        <v>18885938.858391318</v>
      </c>
      <c r="K114" s="858">
        <f t="shared" si="39"/>
        <v>18495646.882706083</v>
      </c>
      <c r="L114" s="858">
        <f t="shared" si="39"/>
        <v>18095485.025182806</v>
      </c>
      <c r="M114" s="858">
        <f t="shared" si="39"/>
        <v>17685203.691739202</v>
      </c>
      <c r="N114" s="858">
        <f t="shared" si="39"/>
        <v>17264546.97644376</v>
      </c>
      <c r="O114" s="858">
        <f t="shared" si="39"/>
        <v>16833252.50189884</v>
      </c>
      <c r="P114" s="858">
        <f t="shared" si="39"/>
        <v>16391051.255587259</v>
      </c>
      <c r="Q114" s="859">
        <f t="shared" si="39"/>
        <v>15937667.422080372</v>
      </c>
      <c r="R114" s="858">
        <f t="shared" si="39"/>
        <v>15472818.211002925</v>
      </c>
      <c r="S114" s="858">
        <f t="shared" si="39"/>
        <v>14996213.680647433</v>
      </c>
      <c r="T114" s="858">
        <f t="shared" si="39"/>
        <v>14507556.557128005</v>
      </c>
      <c r="U114" s="858">
        <f t="shared" si="39"/>
        <v>14006542.048960878</v>
      </c>
      <c r="V114" s="858">
        <f t="shared" si="39"/>
        <v>13492857.656955963</v>
      </c>
      <c r="W114" s="858">
        <f t="shared" si="39"/>
        <v>12966182.979300845</v>
      </c>
      <c r="X114" s="858">
        <f t="shared" si="39"/>
        <v>12426189.511715658</v>
      </c>
      <c r="Y114" s="858">
        <f t="shared" si="39"/>
        <v>11872540.442554187</v>
      </c>
      <c r="Z114" s="858">
        <f t="shared" si="39"/>
        <v>11304890.442723388</v>
      </c>
      <c r="AA114" s="858">
        <f t="shared" si="39"/>
        <v>10722885.450290304</v>
      </c>
      <c r="AB114" s="920"/>
      <c r="AC114" s="749"/>
    </row>
    <row r="115" spans="1:34" outlineLevel="1" x14ac:dyDescent="0.45">
      <c r="A115" s="750"/>
      <c r="B115" s="827"/>
      <c r="C115" s="929" t="s">
        <v>390</v>
      </c>
      <c r="D115" s="1181" t="s">
        <v>369</v>
      </c>
      <c r="E115" s="1181"/>
      <c r="F115" s="1181"/>
      <c r="G115" s="935" t="s">
        <v>370</v>
      </c>
      <c r="H115" s="858"/>
      <c r="I115" s="858"/>
      <c r="J115" s="858"/>
      <c r="K115" s="858"/>
      <c r="L115" s="858"/>
      <c r="M115" s="858"/>
      <c r="N115" s="858"/>
      <c r="O115" s="858"/>
      <c r="P115" s="858"/>
      <c r="Q115" s="859"/>
      <c r="R115" s="858"/>
      <c r="S115" s="858"/>
      <c r="T115" s="858"/>
      <c r="U115" s="858"/>
      <c r="V115" s="858"/>
      <c r="W115" s="858"/>
      <c r="X115" s="858"/>
      <c r="Y115" s="858"/>
      <c r="Z115" s="858"/>
      <c r="AA115" s="858"/>
      <c r="AB115" s="894"/>
      <c r="AC115" s="749"/>
    </row>
    <row r="116" spans="1:34" outlineLevel="1" x14ac:dyDescent="0.45">
      <c r="A116" s="750"/>
      <c r="B116" s="827"/>
      <c r="C116" s="929" t="s">
        <v>391</v>
      </c>
      <c r="D116" s="1180">
        <f ca="1">+'Trial Deposits Engine'!G119</f>
        <v>1303488.2318285233</v>
      </c>
      <c r="E116" s="1180"/>
      <c r="F116" s="1180"/>
      <c r="G116" s="909">
        <f ca="1">+'Trial Deposits Engine'!D116/(20*'Trial Deposits Analysis'!M10)</f>
        <v>142.92634120926792</v>
      </c>
      <c r="H116" s="858">
        <f>IF(H113=0,0,+CUMPRINC($P$16/12,$P$20*12,$P$14,1,H113,0))</f>
        <v>-362119.08842891193</v>
      </c>
      <c r="I116" s="858">
        <f>+CUMPRINC($P$16/12,$P$20*12,$P$14,1,I113,0)</f>
        <v>-733395.60984838603</v>
      </c>
      <c r="J116" s="858">
        <f t="shared" ref="J116:AA116" si="40">+CUMPRINC($P$16/12,$P$20*12,$P$14,1,J113,0)</f>
        <v>-1114061.1416086818</v>
      </c>
      <c r="K116" s="858">
        <f t="shared" si="40"/>
        <v>-1504353.1172939183</v>
      </c>
      <c r="L116" s="858">
        <f t="shared" si="40"/>
        <v>-1904514.974817194</v>
      </c>
      <c r="M116" s="858">
        <f t="shared" si="40"/>
        <v>-2314796.3082607999</v>
      </c>
      <c r="N116" s="858">
        <f t="shared" si="40"/>
        <v>-2735453.0235562408</v>
      </c>
      <c r="O116" s="858">
        <f t="shared" si="40"/>
        <v>-3166747.4981011609</v>
      </c>
      <c r="P116" s="858">
        <f t="shared" si="40"/>
        <v>-3608948.7444127412</v>
      </c>
      <c r="Q116" s="859">
        <f t="shared" si="40"/>
        <v>-4062332.5779196289</v>
      </c>
      <c r="R116" s="858">
        <f t="shared" si="40"/>
        <v>-4527181.7889970746</v>
      </c>
      <c r="S116" s="858">
        <f t="shared" si="40"/>
        <v>-5003786.3193525672</v>
      </c>
      <c r="T116" s="858">
        <f t="shared" si="40"/>
        <v>-5492443.4428719953</v>
      </c>
      <c r="U116" s="858">
        <f t="shared" si="40"/>
        <v>-5993457.9510391224</v>
      </c>
      <c r="V116" s="858">
        <f t="shared" si="40"/>
        <v>-6507142.343044037</v>
      </c>
      <c r="W116" s="858">
        <f t="shared" si="40"/>
        <v>-7033817.0206991546</v>
      </c>
      <c r="X116" s="858">
        <f t="shared" si="40"/>
        <v>-7573810.4882843411</v>
      </c>
      <c r="Y116" s="858">
        <f t="shared" si="40"/>
        <v>-8127459.5574458139</v>
      </c>
      <c r="Z116" s="858">
        <f t="shared" si="40"/>
        <v>-8695109.5572766121</v>
      </c>
      <c r="AA116" s="858">
        <f t="shared" si="40"/>
        <v>-9277114.5497096963</v>
      </c>
      <c r="AB116" s="894"/>
      <c r="AC116" s="749"/>
    </row>
    <row r="117" spans="1:34" outlineLevel="1" x14ac:dyDescent="0.45">
      <c r="A117" s="750"/>
      <c r="B117" s="936"/>
      <c r="C117" s="929" t="s">
        <v>392</v>
      </c>
      <c r="D117" s="837"/>
      <c r="E117" s="837"/>
      <c r="F117" s="837"/>
      <c r="G117" s="837"/>
      <c r="H117" s="858">
        <f>-+H116*$G$112</f>
        <v>181059.54421445596</v>
      </c>
      <c r="I117" s="858">
        <f>-+I116*$G$112</f>
        <v>366697.80492419301</v>
      </c>
      <c r="J117" s="858">
        <f t="shared" ref="J117:AA117" si="41">-+J116*$G$112</f>
        <v>557030.57080434088</v>
      </c>
      <c r="K117" s="858">
        <f t="shared" si="41"/>
        <v>752176.55864695914</v>
      </c>
      <c r="L117" s="858">
        <f t="shared" si="41"/>
        <v>952257.48740859702</v>
      </c>
      <c r="M117" s="858">
        <f t="shared" si="41"/>
        <v>1157398.1541303999</v>
      </c>
      <c r="N117" s="858">
        <f t="shared" si="41"/>
        <v>1367726.5117781204</v>
      </c>
      <c r="O117" s="858">
        <f t="shared" si="41"/>
        <v>1583373.7490505804</v>
      </c>
      <c r="P117" s="858">
        <f t="shared" si="41"/>
        <v>1804474.3722063706</v>
      </c>
      <c r="Q117" s="858">
        <f t="shared" si="41"/>
        <v>2031166.2889598145</v>
      </c>
      <c r="R117" s="858">
        <f t="shared" si="41"/>
        <v>2263590.8944985373</v>
      </c>
      <c r="S117" s="858">
        <f t="shared" si="41"/>
        <v>2501893.1596762836</v>
      </c>
      <c r="T117" s="858">
        <f t="shared" si="41"/>
        <v>2746221.7214359976</v>
      </c>
      <c r="U117" s="858">
        <f t="shared" si="41"/>
        <v>2996728.9755195612</v>
      </c>
      <c r="V117" s="858">
        <f t="shared" si="41"/>
        <v>3253571.1715220185</v>
      </c>
      <c r="W117" s="858">
        <f t="shared" si="41"/>
        <v>3516908.5103495773</v>
      </c>
      <c r="X117" s="858">
        <f t="shared" si="41"/>
        <v>3786905.2441421705</v>
      </c>
      <c r="Y117" s="858">
        <f t="shared" si="41"/>
        <v>4063729.778722907</v>
      </c>
      <c r="Z117" s="858">
        <f t="shared" si="41"/>
        <v>4347554.7786383061</v>
      </c>
      <c r="AA117" s="858">
        <f t="shared" si="41"/>
        <v>4638557.2748548482</v>
      </c>
      <c r="AB117" s="894"/>
      <c r="AC117" s="749"/>
    </row>
    <row r="118" spans="1:34" outlineLevel="1" x14ac:dyDescent="0.45">
      <c r="A118" s="750"/>
      <c r="B118" s="827"/>
      <c r="C118" s="913" t="s">
        <v>393</v>
      </c>
      <c r="D118" s="87"/>
      <c r="E118" s="87"/>
      <c r="F118" s="914"/>
      <c r="G118" s="69"/>
      <c r="H118" s="858"/>
      <c r="I118" s="858"/>
      <c r="J118" s="858"/>
      <c r="K118" s="858"/>
      <c r="L118" s="858"/>
      <c r="M118" s="858"/>
      <c r="N118" s="858"/>
      <c r="O118" s="858"/>
      <c r="P118" s="858"/>
      <c r="Q118" s="859"/>
      <c r="R118" s="858">
        <f t="shared" ref="R118:AA118" ca="1" si="42">+R117-(-R103)</f>
        <v>1744220.2562516606</v>
      </c>
      <c r="S118" s="858">
        <f t="shared" ca="1" si="42"/>
        <v>1474069.1727360417</v>
      </c>
      <c r="T118" s="858">
        <f t="shared" ca="1" si="42"/>
        <v>1303488.2318285233</v>
      </c>
      <c r="U118" s="858">
        <f t="shared" ca="1" si="42"/>
        <v>1596968.3959915098</v>
      </c>
      <c r="V118" s="858">
        <f t="shared" ca="1" si="42"/>
        <v>1470004.2880749786</v>
      </c>
      <c r="W118" s="858">
        <f t="shared" ca="1" si="42"/>
        <v>1395644.7879051687</v>
      </c>
      <c r="X118" s="858">
        <f t="shared" ca="1" si="42"/>
        <v>1369812.5323204463</v>
      </c>
      <c r="Y118" s="858">
        <f t="shared" ca="1" si="42"/>
        <v>1683916.7987363208</v>
      </c>
      <c r="Z118" s="858">
        <f t="shared" ca="1" si="42"/>
        <v>2150954.8123235605</v>
      </c>
      <c r="AA118" s="858">
        <f t="shared" ca="1" si="42"/>
        <v>2647644.4468853804</v>
      </c>
      <c r="AB118" s="894"/>
      <c r="AC118" s="749"/>
    </row>
    <row r="119" spans="1:34" outlineLevel="1" x14ac:dyDescent="0.45">
      <c r="A119" s="750"/>
      <c r="B119" s="827"/>
      <c r="C119" s="913"/>
      <c r="D119" s="87"/>
      <c r="E119" s="87"/>
      <c r="F119" s="881" t="s">
        <v>379</v>
      </c>
      <c r="G119" s="921">
        <f ca="1">+MIN(R118:AA118)</f>
        <v>1303488.2318285233</v>
      </c>
      <c r="H119" s="858"/>
      <c r="I119" s="858"/>
      <c r="J119" s="858"/>
      <c r="K119" s="858"/>
      <c r="L119" s="858"/>
      <c r="M119" s="858"/>
      <c r="N119" s="858"/>
      <c r="O119" s="858"/>
      <c r="P119" s="858"/>
      <c r="Q119" s="859"/>
      <c r="R119" s="858"/>
      <c r="S119" s="858"/>
      <c r="T119" s="858"/>
      <c r="U119" s="858"/>
      <c r="V119" s="858"/>
      <c r="W119" s="858"/>
      <c r="X119" s="858"/>
      <c r="Y119" s="858"/>
      <c r="Z119" s="858"/>
      <c r="AA119" s="858"/>
      <c r="AB119" s="894"/>
      <c r="AC119" s="749"/>
    </row>
    <row r="120" spans="1:34" ht="18.75" customHeight="1" x14ac:dyDescent="0.45">
      <c r="A120" s="750"/>
      <c r="B120" s="827"/>
      <c r="C120" s="924" t="s">
        <v>394</v>
      </c>
      <c r="D120" s="884" t="str">
        <f ca="1">+IF(F120&gt;0,"FAIL","PASS")</f>
        <v>PASS</v>
      </c>
      <c r="E120" s="87"/>
      <c r="F120" s="925">
        <f ca="1">COUNTIF((R120:AA120),"Not OK")</f>
        <v>0</v>
      </c>
      <c r="G120" s="925" t="s">
        <v>381</v>
      </c>
      <c r="H120" s="915" t="s">
        <v>373</v>
      </c>
      <c r="I120" s="915" t="s">
        <v>373</v>
      </c>
      <c r="J120" s="915" t="s">
        <v>373</v>
      </c>
      <c r="K120" s="915" t="s">
        <v>373</v>
      </c>
      <c r="L120" s="915" t="s">
        <v>373</v>
      </c>
      <c r="M120" s="915" t="s">
        <v>373</v>
      </c>
      <c r="N120" s="915" t="s">
        <v>373</v>
      </c>
      <c r="O120" s="915" t="s">
        <v>373</v>
      </c>
      <c r="P120" s="915" t="s">
        <v>373</v>
      </c>
      <c r="Q120" s="916" t="s">
        <v>373</v>
      </c>
      <c r="R120" s="915" t="str">
        <f t="shared" ref="R120:AA120" ca="1" si="43">+IF(R118&gt;0,"OK","Not OK")</f>
        <v>OK</v>
      </c>
      <c r="S120" s="915" t="str">
        <f t="shared" ca="1" si="43"/>
        <v>OK</v>
      </c>
      <c r="T120" s="915" t="str">
        <f t="shared" ca="1" si="43"/>
        <v>OK</v>
      </c>
      <c r="U120" s="915" t="str">
        <f t="shared" ca="1" si="43"/>
        <v>OK</v>
      </c>
      <c r="V120" s="915" t="str">
        <f t="shared" ca="1" si="43"/>
        <v>OK</v>
      </c>
      <c r="W120" s="915" t="str">
        <f t="shared" ca="1" si="43"/>
        <v>OK</v>
      </c>
      <c r="X120" s="915" t="str">
        <f t="shared" ca="1" si="43"/>
        <v>OK</v>
      </c>
      <c r="Y120" s="915" t="str">
        <f t="shared" ca="1" si="43"/>
        <v>OK</v>
      </c>
      <c r="Z120" s="915" t="str">
        <f t="shared" ca="1" si="43"/>
        <v>OK</v>
      </c>
      <c r="AA120" s="915" t="str">
        <f t="shared" ca="1" si="43"/>
        <v>OK</v>
      </c>
      <c r="AB120" s="894"/>
      <c r="AC120" s="749"/>
    </row>
    <row r="121" spans="1:34" x14ac:dyDescent="0.45">
      <c r="A121" s="750"/>
      <c r="B121" s="827"/>
      <c r="C121" s="937" t="s">
        <v>395</v>
      </c>
      <c r="D121" s="837"/>
      <c r="E121" s="837"/>
      <c r="F121" s="837"/>
      <c r="G121" s="917">
        <f>+MIN(R90:AA90)</f>
        <v>0</v>
      </c>
      <c r="H121" s="938"/>
      <c r="I121" s="938"/>
      <c r="J121" s="938"/>
      <c r="K121" s="938"/>
      <c r="L121" s="938"/>
      <c r="M121" s="938"/>
      <c r="N121" s="938"/>
      <c r="O121" s="938"/>
      <c r="P121" s="938"/>
      <c r="Q121" s="939" t="str">
        <f>+C103</f>
        <v>Margin exceeding Minimum Balance</v>
      </c>
      <c r="R121" s="940">
        <f t="shared" ref="R121:AA121" ca="1" si="44">+R103</f>
        <v>-519370.63824687665</v>
      </c>
      <c r="S121" s="940">
        <f t="shared" ca="1" si="44"/>
        <v>-1027823.9869402418</v>
      </c>
      <c r="T121" s="940">
        <f t="shared" ca="1" si="44"/>
        <v>-1442733.4896074743</v>
      </c>
      <c r="U121" s="940">
        <f t="shared" ca="1" si="44"/>
        <v>-1399760.5795280514</v>
      </c>
      <c r="V121" s="940">
        <f t="shared" ca="1" si="44"/>
        <v>-1783566.8834470399</v>
      </c>
      <c r="W121" s="940">
        <f t="shared" ca="1" si="44"/>
        <v>-2121263.7224444086</v>
      </c>
      <c r="X121" s="940">
        <f t="shared" ca="1" si="44"/>
        <v>-2417092.7118217242</v>
      </c>
      <c r="Y121" s="940">
        <f t="shared" ca="1" si="44"/>
        <v>-2379812.9799865861</v>
      </c>
      <c r="Z121" s="940">
        <f t="shared" ca="1" si="44"/>
        <v>-2196599.9663147456</v>
      </c>
      <c r="AA121" s="940">
        <f t="shared" ca="1" si="44"/>
        <v>-1990912.8279694677</v>
      </c>
      <c r="AB121" s="894"/>
      <c r="AC121" s="749"/>
    </row>
    <row r="122" spans="1:34" x14ac:dyDescent="0.45">
      <c r="A122" s="750"/>
      <c r="B122" s="827"/>
      <c r="C122" s="929"/>
      <c r="D122" s="837"/>
      <c r="E122" s="837"/>
      <c r="F122" s="837"/>
      <c r="G122" s="941"/>
      <c r="H122" s="938"/>
      <c r="I122" s="938"/>
      <c r="J122" s="938"/>
      <c r="K122" s="938"/>
      <c r="L122" s="938"/>
      <c r="M122" s="938"/>
      <c r="N122" s="938"/>
      <c r="O122" s="938"/>
      <c r="P122" s="938"/>
      <c r="Q122" s="939" t="str">
        <f>+C116</f>
        <v>Cumulative Paid (formula check)</v>
      </c>
      <c r="R122" s="940">
        <f t="shared" ref="R122:AA122" si="45">+R116</f>
        <v>-4527181.7889970746</v>
      </c>
      <c r="S122" s="940">
        <f t="shared" si="45"/>
        <v>-5003786.3193525672</v>
      </c>
      <c r="T122" s="940">
        <f t="shared" si="45"/>
        <v>-5492443.4428719953</v>
      </c>
      <c r="U122" s="940">
        <f t="shared" si="45"/>
        <v>-5993457.9510391224</v>
      </c>
      <c r="V122" s="940">
        <f t="shared" si="45"/>
        <v>-6507142.343044037</v>
      </c>
      <c r="W122" s="940">
        <f t="shared" si="45"/>
        <v>-7033817.0206991546</v>
      </c>
      <c r="X122" s="940">
        <f t="shared" si="45"/>
        <v>-7573810.4882843411</v>
      </c>
      <c r="Y122" s="940">
        <f t="shared" si="45"/>
        <v>-8127459.5574458139</v>
      </c>
      <c r="Z122" s="940">
        <f t="shared" si="45"/>
        <v>-8695109.5572766121</v>
      </c>
      <c r="AA122" s="940">
        <f t="shared" si="45"/>
        <v>-9277114.5497096963</v>
      </c>
      <c r="AB122" s="894"/>
      <c r="AC122" s="749"/>
    </row>
    <row r="123" spans="1:34" x14ac:dyDescent="0.45">
      <c r="A123" s="750"/>
      <c r="B123" s="827"/>
      <c r="C123" s="836" t="s">
        <v>54</v>
      </c>
      <c r="D123" s="837"/>
      <c r="E123" s="837"/>
      <c r="F123" s="837"/>
      <c r="G123" s="837"/>
      <c r="H123" s="837"/>
      <c r="I123" s="837"/>
      <c r="J123" s="837"/>
      <c r="K123" s="837"/>
      <c r="L123" s="837"/>
      <c r="M123" s="837"/>
      <c r="N123" s="837"/>
      <c r="O123" s="837"/>
      <c r="P123" s="837"/>
      <c r="Q123" s="939" t="s">
        <v>396</v>
      </c>
      <c r="R123" s="942">
        <f t="shared" ref="R123:AA123" ca="1" si="46">+R121/R122</f>
        <v>0.11472272651148277</v>
      </c>
      <c r="S123" s="942">
        <f t="shared" ca="1" si="46"/>
        <v>0.20540924838557664</v>
      </c>
      <c r="T123" s="942">
        <f t="shared" ca="1" si="46"/>
        <v>0.26267607570540041</v>
      </c>
      <c r="U123" s="942">
        <f t="shared" ca="1" si="46"/>
        <v>0.23354807708050515</v>
      </c>
      <c r="V123" s="942">
        <f t="shared" ca="1" si="46"/>
        <v>0.27409372492882772</v>
      </c>
      <c r="W123" s="942">
        <f t="shared" ca="1" si="46"/>
        <v>0.30158073720171313</v>
      </c>
      <c r="X123" s="942">
        <f t="shared" ca="1" si="46"/>
        <v>0.31913826145513402</v>
      </c>
      <c r="Y123" s="942">
        <f t="shared" ca="1" si="46"/>
        <v>0.29281142073556882</v>
      </c>
      <c r="Z123" s="942">
        <f t="shared" ca="1" si="46"/>
        <v>0.25262476014192292</v>
      </c>
      <c r="AA123" s="942">
        <f t="shared" ca="1" si="46"/>
        <v>0.21460474776952801</v>
      </c>
      <c r="AB123" s="894"/>
      <c r="AC123" s="749"/>
    </row>
    <row r="124" spans="1:34" x14ac:dyDescent="0.45">
      <c r="A124" s="750"/>
      <c r="B124" s="827"/>
      <c r="C124" s="836" t="s">
        <v>55</v>
      </c>
      <c r="D124" s="837"/>
      <c r="E124" s="837"/>
      <c r="F124" s="837"/>
      <c r="G124" s="837"/>
      <c r="H124" s="837"/>
      <c r="I124" s="837"/>
      <c r="J124" s="837"/>
      <c r="K124" s="837"/>
      <c r="L124" s="837"/>
      <c r="M124" s="837"/>
      <c r="N124" s="837"/>
      <c r="O124" s="837"/>
      <c r="P124" s="837"/>
      <c r="Q124" s="943"/>
      <c r="R124" s="837"/>
      <c r="S124" s="837"/>
      <c r="T124" s="837"/>
      <c r="U124" s="837"/>
      <c r="V124" s="837"/>
      <c r="W124" s="837"/>
      <c r="X124" s="837"/>
      <c r="Y124" s="837"/>
      <c r="Z124" s="837"/>
      <c r="AA124" s="837"/>
      <c r="AB124" s="894"/>
      <c r="AC124" s="749"/>
    </row>
    <row r="125" spans="1:34" x14ac:dyDescent="0.45">
      <c r="A125" s="750"/>
      <c r="B125" s="827"/>
      <c r="C125" s="836" t="s">
        <v>52</v>
      </c>
      <c r="D125" s="837"/>
      <c r="E125" s="837"/>
      <c r="F125" s="837"/>
      <c r="G125" s="837"/>
      <c r="H125" s="837"/>
      <c r="I125" s="837"/>
      <c r="J125" s="837"/>
      <c r="K125" s="837"/>
      <c r="L125" s="837"/>
      <c r="M125" s="837"/>
      <c r="N125" s="837"/>
      <c r="O125" s="837"/>
      <c r="P125" s="837"/>
      <c r="Q125" s="943"/>
      <c r="R125" s="837"/>
      <c r="S125" s="837"/>
      <c r="T125" s="837"/>
      <c r="U125" s="837"/>
      <c r="V125" s="837"/>
      <c r="W125" s="837"/>
      <c r="X125" s="837"/>
      <c r="Y125" s="837"/>
      <c r="Z125" s="837"/>
      <c r="AA125" s="837"/>
      <c r="AB125" s="894"/>
      <c r="AC125" s="749"/>
    </row>
    <row r="126" spans="1:34" x14ac:dyDescent="0.45">
      <c r="A126" s="750"/>
      <c r="B126" s="827"/>
      <c r="C126" s="836" t="s">
        <v>53</v>
      </c>
      <c r="D126" s="837"/>
      <c r="E126" s="837"/>
      <c r="F126" s="837"/>
      <c r="G126" s="837"/>
      <c r="H126" s="837"/>
      <c r="I126" s="837"/>
      <c r="J126" s="837"/>
      <c r="K126" s="837"/>
      <c r="L126" s="837"/>
      <c r="M126" s="837"/>
      <c r="N126" s="837"/>
      <c r="O126" s="837"/>
      <c r="P126" s="837"/>
      <c r="Q126" s="943"/>
      <c r="R126" s="837"/>
      <c r="S126" s="837"/>
      <c r="T126" s="837"/>
      <c r="U126" s="837"/>
      <c r="V126" s="837"/>
      <c r="W126" s="837"/>
      <c r="X126" s="837"/>
      <c r="Y126" s="837"/>
      <c r="Z126" s="837"/>
      <c r="AA126" s="837"/>
      <c r="AB126" s="894"/>
      <c r="AC126" s="749"/>
    </row>
    <row r="127" spans="1:34" x14ac:dyDescent="0.45">
      <c r="A127" s="944"/>
      <c r="B127" s="945"/>
      <c r="C127" s="946"/>
      <c r="D127" s="946"/>
      <c r="E127" s="946"/>
      <c r="F127" s="946"/>
      <c r="G127" s="946"/>
      <c r="H127" s="946"/>
      <c r="I127" s="946"/>
      <c r="J127" s="946"/>
      <c r="K127" s="946"/>
      <c r="L127" s="946"/>
      <c r="M127" s="946"/>
      <c r="N127" s="946"/>
      <c r="O127" s="946"/>
      <c r="P127" s="946"/>
      <c r="Q127" s="947"/>
      <c r="R127" s="946"/>
      <c r="S127" s="946"/>
      <c r="T127" s="946"/>
      <c r="U127" s="946"/>
      <c r="V127" s="946"/>
      <c r="W127" s="946"/>
      <c r="X127" s="946"/>
      <c r="Y127" s="946"/>
      <c r="Z127" s="946"/>
      <c r="AA127" s="946"/>
      <c r="AB127" s="948"/>
      <c r="AC127" s="749"/>
    </row>
    <row r="128" spans="1:34" x14ac:dyDescent="0.45">
      <c r="A128" s="749"/>
      <c r="B128" s="749"/>
      <c r="C128" s="749"/>
      <c r="D128" s="749"/>
      <c r="E128" s="749"/>
      <c r="F128" s="749"/>
      <c r="G128" s="749"/>
      <c r="H128" s="749"/>
      <c r="I128" s="749"/>
      <c r="J128" s="749"/>
      <c r="K128" s="749"/>
      <c r="L128" s="749"/>
      <c r="M128" s="749"/>
      <c r="N128" s="749"/>
      <c r="O128" s="749"/>
      <c r="P128" s="749"/>
      <c r="Q128" s="749"/>
      <c r="R128" s="749"/>
      <c r="S128" s="749"/>
      <c r="T128" s="749"/>
      <c r="U128" s="749"/>
      <c r="V128" s="749"/>
      <c r="W128" s="749"/>
      <c r="X128" s="749"/>
      <c r="Y128" s="749"/>
      <c r="Z128" s="749"/>
      <c r="AA128" s="749"/>
      <c r="AB128" s="749"/>
      <c r="AC128" s="749"/>
      <c r="AD128" s="749"/>
      <c r="AE128" s="749"/>
      <c r="AF128" s="749"/>
      <c r="AG128" s="749"/>
      <c r="AH128" s="749"/>
    </row>
    <row r="129" spans="1:34" x14ac:dyDescent="0.45">
      <c r="A129" s="749"/>
      <c r="B129" s="749"/>
      <c r="C129" s="749"/>
      <c r="D129" s="749"/>
      <c r="E129" s="749"/>
      <c r="F129" s="749"/>
      <c r="G129" s="749"/>
      <c r="H129" s="749"/>
      <c r="I129" s="749"/>
      <c r="J129" s="749"/>
      <c r="K129" s="749"/>
      <c r="L129" s="749"/>
      <c r="M129" s="749"/>
      <c r="N129" s="749"/>
      <c r="O129" s="749"/>
      <c r="P129" s="749"/>
      <c r="Q129" s="749"/>
      <c r="R129" s="749"/>
      <c r="S129" s="749"/>
      <c r="T129" s="749"/>
      <c r="U129" s="749"/>
      <c r="V129" s="749"/>
      <c r="W129" s="749"/>
      <c r="X129" s="749"/>
      <c r="Y129" s="749"/>
      <c r="Z129" s="749"/>
      <c r="AA129" s="749"/>
      <c r="AB129" s="749"/>
      <c r="AC129" s="749"/>
      <c r="AD129" s="749"/>
      <c r="AE129" s="749"/>
      <c r="AF129" s="749"/>
      <c r="AG129" s="749"/>
      <c r="AH129" s="749"/>
    </row>
    <row r="130" spans="1:34" x14ac:dyDescent="0.45">
      <c r="A130" s="749"/>
      <c r="B130" s="749"/>
      <c r="C130" s="749"/>
      <c r="D130" s="749"/>
      <c r="E130" s="749"/>
      <c r="F130" s="749"/>
      <c r="G130" s="749"/>
      <c r="H130" s="749"/>
      <c r="I130" s="749"/>
      <c r="J130" s="749"/>
      <c r="K130" s="749"/>
      <c r="L130" s="749"/>
      <c r="M130" s="749"/>
      <c r="N130" s="749"/>
      <c r="O130" s="749"/>
      <c r="P130" s="749"/>
      <c r="Q130" s="749"/>
      <c r="R130" s="749"/>
      <c r="S130" s="749"/>
      <c r="T130" s="749"/>
      <c r="U130" s="749"/>
      <c r="V130" s="749"/>
      <c r="W130" s="749"/>
      <c r="X130" s="749"/>
      <c r="Y130" s="749"/>
      <c r="Z130" s="749"/>
      <c r="AA130" s="749"/>
      <c r="AB130" s="749"/>
      <c r="AC130" s="749"/>
      <c r="AD130" s="749"/>
      <c r="AE130" s="749"/>
      <c r="AF130" s="749"/>
      <c r="AG130" s="749"/>
      <c r="AH130" s="749"/>
    </row>
    <row r="131" spans="1:34" x14ac:dyDescent="0.45">
      <c r="A131" s="749"/>
      <c r="B131" s="749"/>
      <c r="C131" s="749"/>
      <c r="D131" s="749"/>
      <c r="E131" s="749"/>
      <c r="F131" s="749"/>
      <c r="G131" s="749"/>
      <c r="H131" s="749"/>
      <c r="I131" s="749"/>
      <c r="J131" s="749"/>
      <c r="K131" s="749"/>
      <c r="L131" s="749"/>
      <c r="M131" s="749"/>
      <c r="N131" s="749"/>
      <c r="O131" s="749"/>
      <c r="P131" s="749"/>
      <c r="Q131" s="749"/>
      <c r="R131" s="749"/>
      <c r="S131" s="749"/>
      <c r="T131" s="749"/>
      <c r="U131" s="749"/>
      <c r="V131" s="749"/>
      <c r="W131" s="749"/>
      <c r="X131" s="749"/>
      <c r="Y131" s="749"/>
      <c r="Z131" s="749"/>
      <c r="AA131" s="749"/>
      <c r="AB131" s="749"/>
      <c r="AC131" s="749"/>
      <c r="AD131" s="749"/>
      <c r="AE131" s="749"/>
      <c r="AF131" s="749"/>
      <c r="AG131" s="749"/>
      <c r="AH131" s="749"/>
    </row>
    <row r="132" spans="1:34" x14ac:dyDescent="0.45">
      <c r="A132" s="749"/>
      <c r="B132" s="749"/>
      <c r="C132" s="749"/>
      <c r="D132" s="749"/>
      <c r="E132" s="749"/>
      <c r="F132" s="749"/>
      <c r="G132" s="749"/>
      <c r="H132" s="749"/>
      <c r="I132" s="749"/>
      <c r="J132" s="749"/>
      <c r="K132" s="749"/>
      <c r="L132" s="749"/>
      <c r="M132" s="749"/>
      <c r="N132" s="749"/>
      <c r="O132" s="749"/>
      <c r="P132" s="749"/>
      <c r="Q132" s="749"/>
      <c r="R132" s="749"/>
      <c r="S132" s="749"/>
      <c r="T132" s="749"/>
      <c r="U132" s="749"/>
      <c r="V132" s="749"/>
      <c r="W132" s="749"/>
      <c r="X132" s="749"/>
      <c r="Y132" s="749"/>
      <c r="Z132" s="749"/>
      <c r="AA132" s="749"/>
      <c r="AB132" s="749"/>
      <c r="AC132" s="749"/>
      <c r="AD132" s="749"/>
      <c r="AE132" s="749"/>
      <c r="AF132" s="749"/>
      <c r="AG132" s="749"/>
      <c r="AH132" s="749"/>
    </row>
    <row r="133" spans="1:34" x14ac:dyDescent="0.45">
      <c r="A133" s="749"/>
      <c r="B133" s="749"/>
      <c r="C133" s="749"/>
      <c r="D133" s="749"/>
      <c r="E133" s="749"/>
      <c r="F133" s="749"/>
      <c r="G133" s="749"/>
      <c r="H133" s="749"/>
      <c r="I133" s="749"/>
      <c r="J133" s="749"/>
      <c r="K133" s="749"/>
      <c r="L133" s="749"/>
      <c r="M133" s="749"/>
      <c r="N133" s="749"/>
      <c r="O133" s="749"/>
      <c r="P133" s="749"/>
      <c r="Q133" s="749"/>
      <c r="R133" s="749"/>
      <c r="S133" s="749"/>
      <c r="T133" s="749"/>
      <c r="U133" s="749"/>
      <c r="V133" s="749"/>
      <c r="W133" s="749"/>
      <c r="X133" s="749"/>
      <c r="Y133" s="749"/>
      <c r="Z133" s="749"/>
      <c r="AA133" s="749"/>
      <c r="AB133" s="749"/>
      <c r="AC133" s="749"/>
      <c r="AD133" s="749"/>
      <c r="AE133" s="749"/>
      <c r="AF133" s="749"/>
      <c r="AG133" s="749"/>
      <c r="AH133" s="749"/>
    </row>
    <row r="134" spans="1:34" x14ac:dyDescent="0.45">
      <c r="A134" s="749"/>
      <c r="B134" s="749"/>
      <c r="C134" s="749"/>
      <c r="D134" s="749"/>
      <c r="E134" s="749"/>
      <c r="F134" s="749"/>
      <c r="G134" s="749"/>
      <c r="H134" s="749"/>
      <c r="I134" s="749"/>
      <c r="J134" s="749"/>
      <c r="K134" s="749"/>
      <c r="L134" s="749"/>
      <c r="M134" s="749"/>
      <c r="N134" s="749"/>
      <c r="O134" s="749"/>
      <c r="P134" s="749"/>
      <c r="Q134" s="749"/>
      <c r="R134" s="749"/>
      <c r="S134" s="749"/>
      <c r="T134" s="749"/>
      <c r="U134" s="749"/>
      <c r="V134" s="749"/>
      <c r="W134" s="749"/>
      <c r="X134" s="749"/>
      <c r="Y134" s="749"/>
      <c r="Z134" s="749"/>
      <c r="AA134" s="749"/>
      <c r="AB134" s="749"/>
      <c r="AC134" s="749"/>
      <c r="AD134" s="749"/>
      <c r="AE134" s="749"/>
      <c r="AF134" s="749"/>
      <c r="AG134" s="749"/>
      <c r="AH134" s="749"/>
    </row>
    <row r="135" spans="1:34" x14ac:dyDescent="0.45">
      <c r="A135" s="749"/>
      <c r="B135" s="749"/>
      <c r="C135" s="749"/>
      <c r="D135" s="749"/>
      <c r="E135" s="749"/>
      <c r="F135" s="749"/>
      <c r="G135" s="749"/>
      <c r="H135" s="749"/>
      <c r="I135" s="749"/>
      <c r="J135" s="749"/>
      <c r="K135" s="749"/>
      <c r="L135" s="749"/>
      <c r="M135" s="749"/>
      <c r="N135" s="749"/>
      <c r="O135" s="749"/>
      <c r="P135" s="749"/>
      <c r="Q135" s="749"/>
      <c r="R135" s="749"/>
      <c r="S135" s="749"/>
      <c r="T135" s="749"/>
      <c r="U135" s="749"/>
      <c r="V135" s="749"/>
      <c r="W135" s="749"/>
      <c r="X135" s="749"/>
      <c r="Y135" s="749"/>
      <c r="Z135" s="749"/>
      <c r="AA135" s="749"/>
      <c r="AB135" s="749"/>
      <c r="AC135" s="749"/>
      <c r="AD135" s="749"/>
      <c r="AE135" s="749"/>
      <c r="AF135" s="749"/>
      <c r="AG135" s="749"/>
      <c r="AH135" s="749"/>
    </row>
    <row r="136" spans="1:34" x14ac:dyDescent="0.45">
      <c r="A136" s="749"/>
      <c r="B136" s="749"/>
      <c r="C136" s="749"/>
      <c r="D136" s="749"/>
      <c r="E136" s="749"/>
      <c r="F136" s="749"/>
      <c r="G136" s="749"/>
      <c r="H136" s="749"/>
      <c r="I136" s="749"/>
      <c r="J136" s="749"/>
      <c r="K136" s="749"/>
      <c r="L136" s="749"/>
      <c r="M136" s="749"/>
      <c r="N136" s="749"/>
      <c r="O136" s="749"/>
      <c r="P136" s="749"/>
      <c r="Q136" s="749"/>
      <c r="R136" s="749"/>
      <c r="S136" s="749"/>
      <c r="T136" s="749"/>
      <c r="U136" s="749"/>
      <c r="V136" s="749"/>
      <c r="W136" s="749"/>
      <c r="X136" s="749"/>
      <c r="Y136" s="749"/>
      <c r="Z136" s="749"/>
      <c r="AA136" s="749"/>
      <c r="AB136" s="749"/>
      <c r="AC136" s="749"/>
      <c r="AD136" s="749"/>
      <c r="AE136" s="749"/>
      <c r="AF136" s="749"/>
      <c r="AG136" s="749"/>
      <c r="AH136" s="749"/>
    </row>
    <row r="137" spans="1:34" x14ac:dyDescent="0.45">
      <c r="A137" s="749"/>
      <c r="B137" s="749"/>
      <c r="C137" s="749"/>
      <c r="D137" s="749"/>
      <c r="E137" s="749"/>
      <c r="F137" s="749"/>
      <c r="G137" s="749"/>
      <c r="H137" s="749"/>
      <c r="I137" s="749"/>
      <c r="J137" s="749"/>
      <c r="K137" s="749"/>
      <c r="L137" s="749"/>
      <c r="M137" s="749"/>
      <c r="N137" s="749"/>
      <c r="O137" s="749"/>
      <c r="P137" s="749"/>
      <c r="Q137" s="749"/>
      <c r="R137" s="749"/>
      <c r="S137" s="749"/>
      <c r="T137" s="749"/>
      <c r="U137" s="749"/>
      <c r="V137" s="749"/>
      <c r="W137" s="749"/>
      <c r="X137" s="749"/>
      <c r="Y137" s="749"/>
      <c r="Z137" s="749"/>
      <c r="AA137" s="749"/>
      <c r="AB137" s="749"/>
      <c r="AC137" s="749"/>
      <c r="AD137" s="749"/>
      <c r="AE137" s="749"/>
      <c r="AF137" s="749"/>
      <c r="AG137" s="749"/>
      <c r="AH137" s="749"/>
    </row>
    <row r="138" spans="1:34" x14ac:dyDescent="0.45">
      <c r="A138" s="749"/>
      <c r="B138" s="749"/>
      <c r="C138" s="749"/>
      <c r="D138" s="749"/>
      <c r="E138" s="749"/>
      <c r="F138" s="749"/>
      <c r="G138" s="749"/>
      <c r="H138" s="749"/>
      <c r="I138" s="749"/>
      <c r="J138" s="749"/>
      <c r="K138" s="749"/>
      <c r="L138" s="749"/>
      <c r="M138" s="749"/>
      <c r="N138" s="749"/>
      <c r="O138" s="749"/>
      <c r="P138" s="749"/>
      <c r="Q138" s="749"/>
      <c r="R138" s="749"/>
      <c r="S138" s="749"/>
      <c r="T138" s="749"/>
      <c r="U138" s="749"/>
      <c r="V138" s="749"/>
      <c r="W138" s="749"/>
      <c r="X138" s="749"/>
      <c r="Y138" s="749"/>
      <c r="Z138" s="749"/>
      <c r="AA138" s="749"/>
      <c r="AB138" s="749"/>
      <c r="AC138" s="749"/>
      <c r="AD138" s="749"/>
      <c r="AE138" s="749"/>
      <c r="AF138" s="749"/>
      <c r="AG138" s="749"/>
      <c r="AH138" s="749"/>
    </row>
    <row r="139" spans="1:34" x14ac:dyDescent="0.45">
      <c r="A139" s="749"/>
      <c r="B139" s="749"/>
      <c r="C139" s="749"/>
      <c r="D139" s="749"/>
      <c r="E139" s="749"/>
      <c r="F139" s="749"/>
      <c r="G139" s="749"/>
      <c r="H139" s="749"/>
      <c r="I139" s="749"/>
      <c r="J139" s="749"/>
      <c r="K139" s="749"/>
      <c r="L139" s="749"/>
      <c r="M139" s="749"/>
      <c r="N139" s="749"/>
      <c r="O139" s="749"/>
      <c r="P139" s="749"/>
      <c r="Q139" s="749"/>
      <c r="R139" s="749"/>
      <c r="S139" s="749"/>
      <c r="T139" s="749"/>
      <c r="U139" s="749"/>
      <c r="V139" s="749"/>
      <c r="W139" s="749"/>
      <c r="X139" s="749"/>
      <c r="Y139" s="749"/>
      <c r="Z139" s="749"/>
      <c r="AA139" s="749"/>
      <c r="AB139" s="749"/>
      <c r="AC139" s="749"/>
      <c r="AD139" s="749"/>
      <c r="AE139" s="749"/>
      <c r="AF139" s="749"/>
      <c r="AG139" s="749"/>
      <c r="AH139" s="749"/>
    </row>
    <row r="140" spans="1:34" x14ac:dyDescent="0.45">
      <c r="A140" s="749"/>
      <c r="B140" s="749"/>
      <c r="C140" s="749"/>
      <c r="D140" s="749"/>
      <c r="E140" s="749"/>
      <c r="F140" s="749"/>
      <c r="G140" s="749"/>
      <c r="H140" s="749"/>
      <c r="I140" s="749"/>
      <c r="J140" s="749"/>
      <c r="K140" s="749"/>
      <c r="L140" s="749"/>
      <c r="M140" s="749"/>
      <c r="N140" s="749"/>
      <c r="O140" s="749"/>
      <c r="P140" s="749"/>
      <c r="Q140" s="749"/>
      <c r="R140" s="749"/>
      <c r="S140" s="749"/>
      <c r="T140" s="749"/>
      <c r="U140" s="749"/>
      <c r="V140" s="749"/>
      <c r="W140" s="749"/>
      <c r="X140" s="749"/>
      <c r="Y140" s="749"/>
      <c r="Z140" s="749"/>
      <c r="AA140" s="749"/>
      <c r="AB140" s="749"/>
      <c r="AC140" s="749"/>
      <c r="AD140" s="749"/>
      <c r="AE140" s="749"/>
      <c r="AF140" s="749"/>
      <c r="AG140" s="749"/>
      <c r="AH140" s="749"/>
    </row>
    <row r="141" spans="1:34" x14ac:dyDescent="0.45">
      <c r="A141" s="749"/>
      <c r="B141" s="749"/>
      <c r="C141" s="749"/>
      <c r="D141" s="749"/>
      <c r="E141" s="749"/>
      <c r="F141" s="749"/>
      <c r="G141" s="749"/>
      <c r="H141" s="749"/>
      <c r="I141" s="749"/>
      <c r="J141" s="749"/>
      <c r="K141" s="749"/>
      <c r="L141" s="749"/>
      <c r="M141" s="749"/>
      <c r="N141" s="749"/>
      <c r="O141" s="749"/>
      <c r="P141" s="749"/>
      <c r="Q141" s="749"/>
      <c r="R141" s="749"/>
      <c r="S141" s="749"/>
      <c r="T141" s="749"/>
      <c r="U141" s="749"/>
      <c r="V141" s="749"/>
      <c r="W141" s="749"/>
      <c r="X141" s="749"/>
      <c r="Y141" s="749"/>
      <c r="Z141" s="749"/>
      <c r="AA141" s="749"/>
      <c r="AB141" s="749"/>
      <c r="AC141" s="749"/>
      <c r="AD141" s="749"/>
      <c r="AE141" s="749"/>
      <c r="AF141" s="749"/>
      <c r="AG141" s="749"/>
      <c r="AH141" s="749"/>
    </row>
    <row r="142" spans="1:34" x14ac:dyDescent="0.45">
      <c r="A142" s="749"/>
      <c r="B142" s="749"/>
      <c r="C142" s="749"/>
      <c r="D142" s="749"/>
      <c r="E142" s="749"/>
      <c r="F142" s="749"/>
      <c r="G142" s="749"/>
      <c r="H142" s="749"/>
      <c r="I142" s="749"/>
      <c r="J142" s="749"/>
      <c r="K142" s="749"/>
      <c r="L142" s="749"/>
      <c r="M142" s="749"/>
      <c r="N142" s="749"/>
      <c r="O142" s="749"/>
      <c r="P142" s="749"/>
      <c r="Q142" s="749"/>
      <c r="R142" s="749"/>
      <c r="S142" s="749"/>
      <c r="T142" s="749"/>
      <c r="U142" s="749"/>
      <c r="V142" s="749"/>
      <c r="W142" s="749"/>
      <c r="X142" s="749"/>
      <c r="Y142" s="749"/>
      <c r="Z142" s="749"/>
      <c r="AA142" s="749"/>
      <c r="AB142" s="749"/>
      <c r="AC142" s="749"/>
      <c r="AD142" s="749"/>
      <c r="AE142" s="749"/>
      <c r="AF142" s="749"/>
      <c r="AG142" s="749"/>
      <c r="AH142" s="749"/>
    </row>
    <row r="143" spans="1:34" x14ac:dyDescent="0.45">
      <c r="A143" s="749"/>
      <c r="B143" s="749"/>
      <c r="C143" s="749"/>
      <c r="D143" s="749"/>
      <c r="E143" s="749"/>
      <c r="F143" s="749"/>
      <c r="G143" s="749"/>
      <c r="H143" s="749"/>
      <c r="I143" s="749"/>
      <c r="J143" s="749"/>
      <c r="K143" s="749"/>
      <c r="L143" s="749"/>
      <c r="M143" s="749"/>
      <c r="N143" s="749"/>
      <c r="O143" s="749"/>
      <c r="P143" s="749"/>
      <c r="Q143" s="749"/>
      <c r="R143" s="749"/>
      <c r="S143" s="749"/>
      <c r="T143" s="749"/>
      <c r="U143" s="749"/>
      <c r="V143" s="749"/>
      <c r="W143" s="749"/>
      <c r="X143" s="749"/>
      <c r="Y143" s="749"/>
      <c r="Z143" s="749"/>
      <c r="AA143" s="749"/>
      <c r="AB143" s="749"/>
      <c r="AC143" s="749"/>
      <c r="AD143" s="749"/>
      <c r="AE143" s="749"/>
      <c r="AF143" s="749"/>
      <c r="AG143" s="749"/>
      <c r="AH143" s="749"/>
    </row>
    <row r="144" spans="1:34" x14ac:dyDescent="0.45">
      <c r="A144" s="749"/>
      <c r="B144" s="749"/>
      <c r="C144" s="749"/>
      <c r="D144" s="749"/>
      <c r="E144" s="749"/>
      <c r="F144" s="749"/>
      <c r="G144" s="749"/>
      <c r="H144" s="749"/>
      <c r="I144" s="749"/>
      <c r="J144" s="749"/>
      <c r="K144" s="749"/>
      <c r="L144" s="749"/>
      <c r="M144" s="749"/>
      <c r="N144" s="749"/>
      <c r="O144" s="749"/>
      <c r="P144" s="749"/>
      <c r="Q144" s="749"/>
      <c r="R144" s="749"/>
      <c r="S144" s="749"/>
      <c r="T144" s="749"/>
      <c r="U144" s="749"/>
      <c r="V144" s="749"/>
      <c r="W144" s="749"/>
      <c r="X144" s="749"/>
      <c r="Y144" s="749"/>
      <c r="Z144" s="749"/>
      <c r="AA144" s="749"/>
      <c r="AB144" s="749"/>
      <c r="AC144" s="749"/>
      <c r="AD144" s="749"/>
      <c r="AE144" s="749"/>
      <c r="AF144" s="749"/>
      <c r="AG144" s="749"/>
      <c r="AH144" s="749"/>
    </row>
    <row r="145" spans="1:34" x14ac:dyDescent="0.45">
      <c r="A145" s="749"/>
      <c r="B145" s="749"/>
      <c r="C145" s="749"/>
      <c r="D145" s="749"/>
      <c r="E145" s="749"/>
      <c r="F145" s="749"/>
      <c r="G145" s="749"/>
      <c r="H145" s="749"/>
      <c r="I145" s="749"/>
      <c r="J145" s="749"/>
      <c r="K145" s="749"/>
      <c r="L145" s="749"/>
      <c r="M145" s="749"/>
      <c r="N145" s="749"/>
      <c r="O145" s="749"/>
      <c r="P145" s="749"/>
      <c r="Q145" s="749"/>
      <c r="R145" s="749"/>
      <c r="S145" s="749"/>
      <c r="T145" s="749"/>
      <c r="U145" s="749"/>
      <c r="V145" s="749"/>
      <c r="W145" s="749"/>
      <c r="X145" s="749"/>
      <c r="Y145" s="749"/>
      <c r="Z145" s="749"/>
      <c r="AA145" s="749"/>
      <c r="AB145" s="749"/>
      <c r="AC145" s="749"/>
      <c r="AD145" s="749"/>
      <c r="AE145" s="749"/>
      <c r="AF145" s="749"/>
      <c r="AG145" s="749"/>
      <c r="AH145" s="749"/>
    </row>
    <row r="146" spans="1:34" x14ac:dyDescent="0.45">
      <c r="A146" s="749"/>
      <c r="B146" s="749"/>
      <c r="C146" s="749"/>
      <c r="D146" s="749"/>
      <c r="E146" s="749"/>
      <c r="F146" s="749"/>
      <c r="G146" s="749"/>
      <c r="H146" s="749"/>
      <c r="I146" s="749"/>
      <c r="J146" s="749"/>
      <c r="K146" s="749"/>
      <c r="L146" s="749"/>
      <c r="M146" s="749"/>
      <c r="N146" s="749"/>
      <c r="O146" s="749"/>
      <c r="P146" s="749"/>
      <c r="Q146" s="749"/>
      <c r="R146" s="749"/>
      <c r="S146" s="749"/>
      <c r="T146" s="749"/>
      <c r="U146" s="749"/>
      <c r="V146" s="749"/>
      <c r="W146" s="749"/>
      <c r="X146" s="749"/>
      <c r="Y146" s="749"/>
      <c r="Z146" s="749"/>
      <c r="AA146" s="749"/>
      <c r="AB146" s="749"/>
      <c r="AC146" s="749"/>
      <c r="AD146" s="749"/>
      <c r="AE146" s="749"/>
      <c r="AF146" s="749"/>
      <c r="AG146" s="749"/>
      <c r="AH146" s="749"/>
    </row>
    <row r="147" spans="1:34" x14ac:dyDescent="0.45">
      <c r="A147" s="749"/>
      <c r="B147" s="749"/>
      <c r="C147" s="749"/>
      <c r="D147" s="749"/>
      <c r="E147" s="749"/>
      <c r="F147" s="749"/>
      <c r="G147" s="749"/>
      <c r="H147" s="749"/>
      <c r="I147" s="749"/>
      <c r="J147" s="749"/>
      <c r="K147" s="749"/>
      <c r="L147" s="749"/>
      <c r="M147" s="749"/>
      <c r="N147" s="749"/>
      <c r="O147" s="749"/>
      <c r="P147" s="749"/>
      <c r="Q147" s="749"/>
      <c r="R147" s="749"/>
      <c r="S147" s="749"/>
      <c r="T147" s="749"/>
      <c r="U147" s="749"/>
      <c r="V147" s="749"/>
      <c r="W147" s="749"/>
      <c r="X147" s="749"/>
      <c r="Y147" s="749"/>
      <c r="Z147" s="749"/>
      <c r="AA147" s="749"/>
      <c r="AB147" s="749"/>
      <c r="AC147" s="749"/>
      <c r="AD147" s="749"/>
      <c r="AE147" s="749"/>
      <c r="AF147" s="749"/>
      <c r="AG147" s="749"/>
      <c r="AH147" s="749"/>
    </row>
    <row r="148" spans="1:34" x14ac:dyDescent="0.45">
      <c r="A148" s="749"/>
      <c r="B148" s="749"/>
      <c r="C148" s="749"/>
      <c r="D148" s="749"/>
      <c r="E148" s="749"/>
      <c r="F148" s="749"/>
      <c r="G148" s="749"/>
      <c r="H148" s="749"/>
      <c r="I148" s="749"/>
      <c r="J148" s="749"/>
      <c r="K148" s="749"/>
      <c r="L148" s="749"/>
      <c r="M148" s="749"/>
      <c r="N148" s="749"/>
      <c r="O148" s="749"/>
      <c r="P148" s="749"/>
      <c r="Q148" s="749"/>
      <c r="R148" s="749"/>
      <c r="S148" s="749"/>
      <c r="T148" s="749"/>
      <c r="U148" s="749"/>
      <c r="V148" s="749"/>
      <c r="W148" s="749"/>
      <c r="X148" s="749"/>
      <c r="Y148" s="749"/>
      <c r="Z148" s="749"/>
      <c r="AA148" s="749"/>
      <c r="AB148" s="749"/>
      <c r="AC148" s="749"/>
      <c r="AD148" s="749"/>
      <c r="AE148" s="749"/>
      <c r="AF148" s="749"/>
      <c r="AG148" s="749"/>
      <c r="AH148" s="749"/>
    </row>
    <row r="149" spans="1:34" x14ac:dyDescent="0.45">
      <c r="A149" s="749"/>
      <c r="B149" s="749"/>
      <c r="C149" s="749"/>
      <c r="D149" s="749"/>
      <c r="E149" s="749"/>
      <c r="F149" s="749"/>
      <c r="G149" s="749"/>
      <c r="H149" s="749"/>
      <c r="I149" s="749"/>
      <c r="J149" s="749"/>
      <c r="K149" s="749"/>
      <c r="L149" s="749"/>
      <c r="M149" s="749"/>
      <c r="N149" s="749"/>
      <c r="O149" s="749"/>
      <c r="P149" s="749"/>
      <c r="Q149" s="749"/>
      <c r="R149" s="749"/>
      <c r="S149" s="749"/>
      <c r="T149" s="749"/>
      <c r="U149" s="749"/>
      <c r="V149" s="749"/>
      <c r="W149" s="749"/>
      <c r="X149" s="749"/>
      <c r="Y149" s="749"/>
      <c r="Z149" s="749"/>
      <c r="AA149" s="749"/>
      <c r="AB149" s="749"/>
      <c r="AC149" s="749"/>
      <c r="AD149" s="749"/>
      <c r="AE149" s="749"/>
      <c r="AF149" s="749"/>
      <c r="AG149" s="749"/>
      <c r="AH149" s="749"/>
    </row>
    <row r="150" spans="1:34" x14ac:dyDescent="0.45">
      <c r="A150" s="749"/>
      <c r="B150" s="749"/>
      <c r="C150" s="749"/>
      <c r="D150" s="749"/>
      <c r="E150" s="749"/>
      <c r="F150" s="749"/>
      <c r="G150" s="749"/>
      <c r="H150" s="749"/>
      <c r="I150" s="749"/>
      <c r="J150" s="749"/>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row>
    <row r="151" spans="1:34" x14ac:dyDescent="0.45">
      <c r="A151" s="749"/>
      <c r="B151" s="749"/>
      <c r="C151" s="749"/>
      <c r="D151" s="749"/>
      <c r="E151" s="749"/>
      <c r="F151" s="749"/>
      <c r="G151" s="749"/>
      <c r="H151" s="749"/>
      <c r="I151" s="749"/>
      <c r="J151" s="749"/>
      <c r="K151" s="749"/>
      <c r="L151" s="749"/>
      <c r="M151" s="749"/>
      <c r="N151" s="749"/>
      <c r="O151" s="749"/>
      <c r="P151" s="749"/>
      <c r="Q151" s="749"/>
      <c r="R151" s="749"/>
      <c r="S151" s="749"/>
      <c r="T151" s="749"/>
      <c r="U151" s="749"/>
      <c r="V151" s="749"/>
      <c r="W151" s="749"/>
      <c r="X151" s="749"/>
      <c r="Y151" s="749"/>
      <c r="Z151" s="749"/>
      <c r="AA151" s="749"/>
      <c r="AB151" s="749"/>
      <c r="AC151" s="749"/>
      <c r="AD151" s="749"/>
      <c r="AE151" s="749"/>
      <c r="AF151" s="749"/>
      <c r="AG151" s="749"/>
      <c r="AH151" s="749"/>
    </row>
    <row r="152" spans="1:34" x14ac:dyDescent="0.45">
      <c r="A152" s="749"/>
      <c r="B152" s="749"/>
      <c r="C152" s="749"/>
      <c r="D152" s="749"/>
      <c r="E152" s="749"/>
      <c r="F152" s="749"/>
      <c r="G152" s="749"/>
      <c r="H152" s="749"/>
      <c r="I152" s="749"/>
      <c r="J152" s="749"/>
      <c r="K152" s="749"/>
      <c r="L152" s="749"/>
      <c r="M152" s="749"/>
      <c r="N152" s="749"/>
      <c r="O152" s="749"/>
      <c r="P152" s="749"/>
      <c r="Q152" s="749"/>
      <c r="R152" s="749"/>
      <c r="S152" s="749"/>
      <c r="T152" s="749"/>
      <c r="U152" s="749"/>
      <c r="V152" s="749"/>
      <c r="W152" s="749"/>
      <c r="X152" s="749"/>
      <c r="Y152" s="749"/>
      <c r="Z152" s="749"/>
      <c r="AA152" s="749"/>
      <c r="AB152" s="749"/>
      <c r="AC152" s="749"/>
      <c r="AD152" s="749"/>
      <c r="AE152" s="749"/>
      <c r="AF152" s="749"/>
      <c r="AG152" s="749"/>
      <c r="AH152" s="749"/>
    </row>
    <row r="153" spans="1:34" x14ac:dyDescent="0.45">
      <c r="A153" s="749"/>
      <c r="B153" s="749"/>
      <c r="C153" s="749"/>
      <c r="D153" s="749"/>
      <c r="E153" s="749"/>
      <c r="F153" s="749"/>
      <c r="G153" s="749"/>
      <c r="H153" s="749"/>
      <c r="I153" s="749"/>
      <c r="J153" s="749"/>
      <c r="K153" s="749"/>
      <c r="L153" s="749"/>
      <c r="M153" s="749"/>
      <c r="N153" s="749"/>
      <c r="O153" s="749"/>
      <c r="P153" s="749"/>
      <c r="Q153" s="749"/>
      <c r="R153" s="749"/>
      <c r="S153" s="749"/>
      <c r="T153" s="749"/>
      <c r="U153" s="749"/>
      <c r="V153" s="749"/>
      <c r="W153" s="749"/>
      <c r="X153" s="749"/>
      <c r="Y153" s="749"/>
      <c r="Z153" s="749"/>
      <c r="AA153" s="749"/>
      <c r="AB153" s="749"/>
      <c r="AC153" s="749"/>
      <c r="AD153" s="749"/>
      <c r="AE153" s="749"/>
      <c r="AF153" s="749"/>
      <c r="AG153" s="749"/>
      <c r="AH153" s="749"/>
    </row>
    <row r="154" spans="1:34" x14ac:dyDescent="0.45">
      <c r="A154" s="749"/>
      <c r="B154" s="749"/>
      <c r="C154" s="749"/>
      <c r="D154" s="749"/>
      <c r="E154" s="749"/>
      <c r="F154" s="749"/>
      <c r="G154" s="749"/>
      <c r="H154" s="749"/>
      <c r="I154" s="749"/>
      <c r="J154" s="749"/>
      <c r="K154" s="749"/>
      <c r="L154" s="749"/>
      <c r="M154" s="749"/>
      <c r="N154" s="749"/>
      <c r="O154" s="749"/>
      <c r="P154" s="749"/>
      <c r="Q154" s="749"/>
      <c r="R154" s="749"/>
      <c r="S154" s="749"/>
      <c r="T154" s="749"/>
      <c r="U154" s="749"/>
      <c r="V154" s="749"/>
      <c r="W154" s="749"/>
      <c r="X154" s="749"/>
      <c r="Y154" s="749"/>
      <c r="Z154" s="749"/>
      <c r="AA154" s="749"/>
      <c r="AB154" s="749"/>
      <c r="AC154" s="749"/>
      <c r="AD154" s="749"/>
      <c r="AE154" s="749"/>
      <c r="AF154" s="749"/>
      <c r="AG154" s="749"/>
      <c r="AH154" s="749"/>
    </row>
    <row r="155" spans="1:34" x14ac:dyDescent="0.45">
      <c r="A155" s="749"/>
      <c r="B155" s="749"/>
      <c r="C155" s="749"/>
      <c r="D155" s="749"/>
      <c r="E155" s="749"/>
      <c r="F155" s="749"/>
      <c r="G155" s="749"/>
      <c r="H155" s="749"/>
      <c r="I155" s="749"/>
      <c r="J155" s="749"/>
      <c r="K155" s="749"/>
      <c r="L155" s="749"/>
      <c r="M155" s="749"/>
      <c r="N155" s="749"/>
      <c r="O155" s="749"/>
      <c r="P155" s="749"/>
      <c r="Q155" s="749"/>
      <c r="R155" s="749"/>
      <c r="S155" s="749"/>
      <c r="T155" s="749"/>
      <c r="U155" s="749"/>
      <c r="V155" s="749"/>
      <c r="W155" s="749"/>
      <c r="X155" s="749"/>
      <c r="Y155" s="749"/>
      <c r="Z155" s="749"/>
      <c r="AA155" s="749"/>
      <c r="AB155" s="749"/>
      <c r="AC155" s="749"/>
      <c r="AD155" s="749"/>
      <c r="AE155" s="749"/>
      <c r="AF155" s="749"/>
      <c r="AG155" s="749"/>
      <c r="AH155" s="749"/>
    </row>
    <row r="156" spans="1:34" x14ac:dyDescent="0.45">
      <c r="A156" s="749"/>
      <c r="B156" s="749"/>
      <c r="C156" s="749"/>
      <c r="D156" s="749"/>
      <c r="E156" s="749"/>
      <c r="F156" s="749"/>
      <c r="G156" s="749"/>
      <c r="H156" s="749"/>
      <c r="I156" s="749"/>
      <c r="J156" s="749"/>
      <c r="K156" s="749"/>
      <c r="L156" s="749"/>
      <c r="M156" s="749"/>
      <c r="N156" s="749"/>
      <c r="O156" s="749"/>
      <c r="P156" s="749"/>
      <c r="Q156" s="749"/>
      <c r="R156" s="749"/>
      <c r="S156" s="749"/>
      <c r="T156" s="749"/>
      <c r="U156" s="749"/>
      <c r="V156" s="749"/>
      <c r="W156" s="749"/>
      <c r="X156" s="749"/>
      <c r="Y156" s="749"/>
      <c r="Z156" s="749"/>
      <c r="AA156" s="749"/>
      <c r="AB156" s="749"/>
      <c r="AC156" s="749"/>
      <c r="AD156" s="749"/>
      <c r="AE156" s="749"/>
      <c r="AF156" s="749"/>
      <c r="AG156" s="749"/>
      <c r="AH156" s="749"/>
    </row>
    <row r="157" spans="1:34" x14ac:dyDescent="0.45">
      <c r="A157" s="749"/>
      <c r="B157" s="749"/>
      <c r="C157" s="749"/>
      <c r="D157" s="749"/>
      <c r="E157" s="749"/>
      <c r="F157" s="749"/>
      <c r="G157" s="749"/>
      <c r="H157" s="749"/>
      <c r="I157" s="749"/>
      <c r="J157" s="749"/>
      <c r="K157" s="749"/>
      <c r="L157" s="749"/>
      <c r="M157" s="749"/>
      <c r="N157" s="749"/>
      <c r="O157" s="749"/>
      <c r="P157" s="749"/>
      <c r="Q157" s="749"/>
      <c r="R157" s="749"/>
      <c r="S157" s="749"/>
      <c r="T157" s="749"/>
      <c r="U157" s="749"/>
      <c r="V157" s="749"/>
      <c r="W157" s="749"/>
      <c r="X157" s="749"/>
      <c r="Y157" s="749"/>
      <c r="Z157" s="749"/>
      <c r="AA157" s="749"/>
      <c r="AB157" s="749"/>
      <c r="AC157" s="749"/>
      <c r="AD157" s="749"/>
      <c r="AE157" s="749"/>
      <c r="AF157" s="749"/>
      <c r="AG157" s="749"/>
      <c r="AH157" s="749"/>
    </row>
    <row r="158" spans="1:34" x14ac:dyDescent="0.45">
      <c r="A158" s="749"/>
      <c r="B158" s="749"/>
      <c r="C158" s="749"/>
      <c r="D158" s="749"/>
      <c r="E158" s="749"/>
      <c r="F158" s="749"/>
      <c r="G158" s="749"/>
      <c r="H158" s="749"/>
      <c r="I158" s="749"/>
      <c r="J158" s="749"/>
      <c r="K158" s="749"/>
      <c r="L158" s="749"/>
      <c r="M158" s="749"/>
      <c r="N158" s="749"/>
      <c r="O158" s="749"/>
      <c r="P158" s="749"/>
      <c r="Q158" s="749"/>
      <c r="R158" s="749"/>
      <c r="S158" s="749"/>
      <c r="T158" s="749"/>
      <c r="U158" s="749"/>
      <c r="V158" s="749"/>
      <c r="W158" s="749"/>
      <c r="X158" s="749"/>
      <c r="Y158" s="749"/>
      <c r="Z158" s="749"/>
      <c r="AA158" s="749"/>
      <c r="AB158" s="749"/>
      <c r="AC158" s="749"/>
      <c r="AD158" s="749"/>
      <c r="AE158" s="749"/>
      <c r="AF158" s="749"/>
      <c r="AG158" s="749"/>
      <c r="AH158" s="749"/>
    </row>
    <row r="159" spans="1:34" x14ac:dyDescent="0.45">
      <c r="A159" s="749"/>
      <c r="B159" s="749"/>
      <c r="C159" s="749"/>
      <c r="D159" s="749"/>
      <c r="E159" s="749"/>
      <c r="F159" s="749"/>
      <c r="G159" s="749"/>
      <c r="H159" s="749"/>
      <c r="I159" s="749"/>
      <c r="J159" s="749"/>
      <c r="K159" s="749"/>
      <c r="L159" s="749"/>
      <c r="M159" s="749"/>
      <c r="N159" s="749"/>
      <c r="O159" s="749"/>
      <c r="P159" s="749"/>
      <c r="Q159" s="749"/>
      <c r="R159" s="749"/>
      <c r="S159" s="749"/>
      <c r="T159" s="749"/>
      <c r="U159" s="749"/>
      <c r="V159" s="749"/>
      <c r="W159" s="749"/>
      <c r="X159" s="749"/>
      <c r="Y159" s="749"/>
      <c r="Z159" s="749"/>
      <c r="AA159" s="749"/>
      <c r="AB159" s="749"/>
      <c r="AC159" s="749"/>
      <c r="AD159" s="749"/>
      <c r="AE159" s="749"/>
      <c r="AF159" s="749"/>
      <c r="AG159" s="749"/>
      <c r="AH159" s="749"/>
    </row>
    <row r="160" spans="1:34" x14ac:dyDescent="0.45">
      <c r="A160" s="749"/>
      <c r="B160" s="749"/>
      <c r="C160" s="749"/>
      <c r="D160" s="749"/>
      <c r="E160" s="749"/>
      <c r="F160" s="749"/>
      <c r="G160" s="749"/>
      <c r="H160" s="749"/>
      <c r="I160" s="749"/>
      <c r="J160" s="749"/>
      <c r="K160" s="749"/>
      <c r="L160" s="749"/>
      <c r="M160" s="749"/>
      <c r="N160" s="749"/>
      <c r="O160" s="749"/>
      <c r="P160" s="749"/>
      <c r="Q160" s="749"/>
      <c r="R160" s="749"/>
      <c r="S160" s="749"/>
      <c r="T160" s="749"/>
      <c r="U160" s="749"/>
      <c r="V160" s="749"/>
      <c r="W160" s="749"/>
      <c r="X160" s="749"/>
      <c r="Y160" s="749"/>
      <c r="Z160" s="749"/>
      <c r="AA160" s="749"/>
      <c r="AB160" s="749"/>
      <c r="AC160" s="749"/>
      <c r="AD160" s="749"/>
      <c r="AE160" s="749"/>
      <c r="AF160" s="749"/>
      <c r="AG160" s="749"/>
      <c r="AH160" s="749"/>
    </row>
    <row r="161" spans="1:34" x14ac:dyDescent="0.45">
      <c r="A161" s="749"/>
      <c r="B161" s="749"/>
      <c r="C161" s="749"/>
      <c r="D161" s="749"/>
      <c r="E161" s="749"/>
      <c r="F161" s="749"/>
      <c r="G161" s="749"/>
      <c r="H161" s="749"/>
      <c r="I161" s="749"/>
      <c r="J161" s="749"/>
      <c r="K161" s="749"/>
      <c r="L161" s="749"/>
      <c r="M161" s="749"/>
      <c r="N161" s="749"/>
      <c r="O161" s="749"/>
      <c r="P161" s="749"/>
      <c r="Q161" s="749"/>
      <c r="R161" s="749"/>
      <c r="S161" s="749"/>
      <c r="T161" s="749"/>
      <c r="U161" s="749"/>
      <c r="V161" s="749"/>
      <c r="W161" s="749"/>
      <c r="X161" s="749"/>
      <c r="Y161" s="749"/>
      <c r="Z161" s="749"/>
      <c r="AA161" s="749"/>
      <c r="AB161" s="749"/>
      <c r="AC161" s="749"/>
      <c r="AD161" s="749"/>
      <c r="AE161" s="749"/>
      <c r="AF161" s="749"/>
      <c r="AG161" s="749"/>
      <c r="AH161" s="749"/>
    </row>
    <row r="162" spans="1:34" x14ac:dyDescent="0.45">
      <c r="A162" s="749"/>
      <c r="B162" s="749"/>
      <c r="C162" s="749"/>
      <c r="D162" s="749"/>
      <c r="E162" s="749"/>
      <c r="F162" s="749"/>
      <c r="G162" s="749"/>
      <c r="H162" s="749"/>
      <c r="I162" s="749"/>
      <c r="J162" s="749"/>
      <c r="K162" s="749"/>
      <c r="L162" s="749"/>
      <c r="M162" s="749"/>
      <c r="N162" s="749"/>
      <c r="O162" s="749"/>
      <c r="P162" s="749"/>
      <c r="Q162" s="749"/>
      <c r="R162" s="749"/>
      <c r="S162" s="749"/>
      <c r="T162" s="749"/>
      <c r="U162" s="749"/>
      <c r="V162" s="749"/>
      <c r="W162" s="749"/>
      <c r="X162" s="749"/>
      <c r="Y162" s="749"/>
      <c r="Z162" s="749"/>
      <c r="AA162" s="749"/>
      <c r="AB162" s="749"/>
      <c r="AC162" s="749"/>
      <c r="AD162" s="749"/>
      <c r="AE162" s="749"/>
      <c r="AF162" s="749"/>
      <c r="AG162" s="749"/>
      <c r="AH162" s="749"/>
    </row>
    <row r="163" spans="1:34" x14ac:dyDescent="0.45">
      <c r="A163" s="749"/>
      <c r="B163" s="749"/>
      <c r="C163" s="749"/>
      <c r="D163" s="749"/>
      <c r="E163" s="749"/>
      <c r="F163" s="749"/>
      <c r="G163" s="749"/>
      <c r="H163" s="749"/>
      <c r="I163" s="749"/>
      <c r="J163" s="749"/>
      <c r="K163" s="749"/>
      <c r="L163" s="749"/>
      <c r="M163" s="749"/>
      <c r="N163" s="749"/>
      <c r="O163" s="749"/>
      <c r="P163" s="749"/>
      <c r="Q163" s="749"/>
      <c r="R163" s="749"/>
      <c r="S163" s="749"/>
      <c r="T163" s="749"/>
      <c r="U163" s="749"/>
      <c r="V163" s="749"/>
      <c r="W163" s="749"/>
      <c r="X163" s="749"/>
      <c r="Y163" s="749"/>
      <c r="Z163" s="749"/>
      <c r="AA163" s="749"/>
      <c r="AB163" s="749"/>
      <c r="AC163" s="749"/>
      <c r="AD163" s="749"/>
      <c r="AE163" s="749"/>
      <c r="AF163" s="749"/>
      <c r="AG163" s="749"/>
      <c r="AH163" s="749"/>
    </row>
    <row r="164" spans="1:34" x14ac:dyDescent="0.45">
      <c r="A164" s="749"/>
      <c r="B164" s="749"/>
      <c r="C164" s="749"/>
      <c r="D164" s="749"/>
      <c r="E164" s="749"/>
      <c r="F164" s="749"/>
      <c r="G164" s="749"/>
      <c r="H164" s="749"/>
      <c r="I164" s="749"/>
      <c r="J164" s="749"/>
      <c r="K164" s="749"/>
      <c r="L164" s="749"/>
      <c r="M164" s="749"/>
      <c r="N164" s="749"/>
      <c r="O164" s="749"/>
      <c r="P164" s="749"/>
      <c r="Q164" s="749"/>
      <c r="R164" s="749"/>
      <c r="S164" s="749"/>
      <c r="T164" s="749"/>
      <c r="U164" s="749"/>
      <c r="V164" s="749"/>
      <c r="W164" s="749"/>
      <c r="X164" s="749"/>
      <c r="Y164" s="749"/>
      <c r="Z164" s="749"/>
      <c r="AA164" s="749"/>
      <c r="AB164" s="749"/>
      <c r="AC164" s="749"/>
      <c r="AD164" s="749"/>
      <c r="AE164" s="749"/>
      <c r="AF164" s="749"/>
      <c r="AG164" s="749"/>
      <c r="AH164" s="749"/>
    </row>
    <row r="165" spans="1:34" x14ac:dyDescent="0.45">
      <c r="A165" s="749"/>
      <c r="B165" s="749"/>
      <c r="C165" s="749"/>
      <c r="D165" s="749"/>
      <c r="E165" s="749"/>
      <c r="F165" s="749"/>
      <c r="G165" s="749"/>
      <c r="H165" s="749"/>
      <c r="I165" s="749"/>
      <c r="J165" s="749"/>
      <c r="K165" s="749"/>
      <c r="L165" s="749"/>
      <c r="M165" s="749"/>
      <c r="N165" s="749"/>
      <c r="O165" s="749"/>
      <c r="P165" s="749"/>
      <c r="Q165" s="749"/>
      <c r="R165" s="749"/>
      <c r="S165" s="749"/>
      <c r="T165" s="749"/>
      <c r="U165" s="749"/>
      <c r="V165" s="749"/>
      <c r="W165" s="749"/>
      <c r="X165" s="749"/>
      <c r="Y165" s="749"/>
      <c r="Z165" s="749"/>
      <c r="AA165" s="749"/>
      <c r="AB165" s="749"/>
      <c r="AC165" s="749"/>
      <c r="AD165" s="749"/>
      <c r="AE165" s="749"/>
      <c r="AF165" s="749"/>
      <c r="AG165" s="749"/>
      <c r="AH165" s="749"/>
    </row>
    <row r="166" spans="1:34" x14ac:dyDescent="0.45">
      <c r="A166" s="749"/>
      <c r="B166" s="749"/>
      <c r="C166" s="749"/>
      <c r="D166" s="749"/>
      <c r="E166" s="749"/>
      <c r="F166" s="749"/>
      <c r="G166" s="749"/>
      <c r="H166" s="749"/>
      <c r="I166" s="749"/>
      <c r="J166" s="749"/>
      <c r="K166" s="749"/>
      <c r="L166" s="749"/>
      <c r="M166" s="749"/>
      <c r="N166" s="749"/>
      <c r="O166" s="749"/>
      <c r="P166" s="749"/>
      <c r="Q166" s="749"/>
      <c r="R166" s="749"/>
      <c r="S166" s="749"/>
      <c r="T166" s="749"/>
      <c r="U166" s="749"/>
      <c r="V166" s="749"/>
      <c r="W166" s="749"/>
      <c r="X166" s="749"/>
      <c r="Y166" s="749"/>
      <c r="Z166" s="749"/>
      <c r="AA166" s="749"/>
      <c r="AB166" s="749"/>
      <c r="AC166" s="749"/>
      <c r="AD166" s="749"/>
      <c r="AE166" s="749"/>
      <c r="AF166" s="749"/>
      <c r="AG166" s="749"/>
      <c r="AH166" s="749"/>
    </row>
    <row r="167" spans="1:34" x14ac:dyDescent="0.45">
      <c r="A167" s="749"/>
      <c r="B167" s="749"/>
      <c r="C167" s="749"/>
      <c r="D167" s="749"/>
      <c r="E167" s="749"/>
      <c r="F167" s="749"/>
      <c r="G167" s="749"/>
      <c r="H167" s="749"/>
      <c r="I167" s="749"/>
      <c r="J167" s="749"/>
      <c r="K167" s="749"/>
      <c r="L167" s="749"/>
      <c r="M167" s="749"/>
      <c r="N167" s="749"/>
      <c r="O167" s="749"/>
      <c r="P167" s="749"/>
      <c r="Q167" s="749"/>
      <c r="R167" s="749"/>
      <c r="S167" s="749"/>
      <c r="T167" s="749"/>
      <c r="U167" s="749"/>
      <c r="V167" s="749"/>
      <c r="W167" s="749"/>
      <c r="X167" s="749"/>
      <c r="Y167" s="749"/>
      <c r="Z167" s="749"/>
      <c r="AA167" s="749"/>
      <c r="AB167" s="749"/>
      <c r="AC167" s="749"/>
      <c r="AD167" s="749"/>
      <c r="AE167" s="749"/>
      <c r="AF167" s="749"/>
      <c r="AG167" s="749"/>
      <c r="AH167" s="749"/>
    </row>
    <row r="168" spans="1:34" x14ac:dyDescent="0.45">
      <c r="A168" s="749"/>
      <c r="B168" s="749"/>
      <c r="C168" s="749"/>
      <c r="D168" s="749"/>
      <c r="E168" s="749"/>
      <c r="F168" s="749"/>
      <c r="G168" s="749"/>
      <c r="H168" s="749"/>
      <c r="I168" s="749"/>
      <c r="J168" s="749"/>
      <c r="K168" s="749"/>
      <c r="L168" s="749"/>
      <c r="M168" s="749"/>
      <c r="N168" s="749"/>
      <c r="O168" s="749"/>
      <c r="P168" s="749"/>
      <c r="Q168" s="749"/>
      <c r="R168" s="749"/>
      <c r="S168" s="749"/>
      <c r="T168" s="749"/>
      <c r="U168" s="749"/>
      <c r="V168" s="749"/>
      <c r="W168" s="749"/>
      <c r="X168" s="749"/>
      <c r="Y168" s="749"/>
      <c r="Z168" s="749"/>
      <c r="AA168" s="749"/>
      <c r="AB168" s="749"/>
      <c r="AC168" s="749"/>
      <c r="AD168" s="749"/>
      <c r="AE168" s="749"/>
      <c r="AF168" s="749"/>
      <c r="AG168" s="749"/>
      <c r="AH168" s="749"/>
    </row>
    <row r="169" spans="1:34" x14ac:dyDescent="0.45">
      <c r="A169" s="749"/>
      <c r="B169" s="749"/>
      <c r="C169" s="749"/>
      <c r="D169" s="749"/>
      <c r="E169" s="749"/>
      <c r="F169" s="749"/>
      <c r="G169" s="749"/>
      <c r="H169" s="749"/>
      <c r="I169" s="749"/>
      <c r="J169" s="749"/>
      <c r="K169" s="749"/>
      <c r="L169" s="749"/>
      <c r="M169" s="749"/>
      <c r="N169" s="749"/>
      <c r="O169" s="749"/>
      <c r="P169" s="749"/>
      <c r="Q169" s="749"/>
      <c r="R169" s="749"/>
      <c r="S169" s="749"/>
      <c r="T169" s="749"/>
      <c r="U169" s="749"/>
      <c r="V169" s="749"/>
      <c r="W169" s="749"/>
      <c r="X169" s="749"/>
      <c r="Y169" s="749"/>
      <c r="Z169" s="749"/>
      <c r="AA169" s="749"/>
      <c r="AB169" s="749"/>
      <c r="AC169" s="749"/>
      <c r="AD169" s="749"/>
      <c r="AE169" s="749"/>
      <c r="AF169" s="749"/>
      <c r="AG169" s="749"/>
      <c r="AH169" s="749"/>
    </row>
    <row r="170" spans="1:34" x14ac:dyDescent="0.45">
      <c r="A170" s="749"/>
      <c r="B170" s="749"/>
      <c r="C170" s="749"/>
      <c r="D170" s="749"/>
      <c r="E170" s="749"/>
      <c r="F170" s="749"/>
      <c r="G170" s="749"/>
      <c r="H170" s="749"/>
      <c r="I170" s="749"/>
      <c r="J170" s="749"/>
      <c r="K170" s="749"/>
      <c r="L170" s="749"/>
      <c r="M170" s="749"/>
      <c r="N170" s="749"/>
      <c r="O170" s="749"/>
      <c r="P170" s="749"/>
      <c r="Q170" s="749"/>
      <c r="R170" s="749"/>
      <c r="S170" s="749"/>
      <c r="T170" s="749"/>
      <c r="U170" s="749"/>
      <c r="V170" s="749"/>
      <c r="W170" s="749"/>
      <c r="X170" s="749"/>
      <c r="Y170" s="749"/>
      <c r="Z170" s="749"/>
      <c r="AA170" s="749"/>
      <c r="AB170" s="749"/>
      <c r="AC170" s="749"/>
      <c r="AD170" s="749"/>
      <c r="AE170" s="749"/>
      <c r="AF170" s="749"/>
      <c r="AG170" s="749"/>
      <c r="AH170" s="749"/>
    </row>
    <row r="171" spans="1:34" x14ac:dyDescent="0.45">
      <c r="A171" s="749"/>
      <c r="B171" s="749"/>
      <c r="C171" s="749"/>
      <c r="D171" s="749"/>
      <c r="E171" s="749"/>
      <c r="F171" s="749"/>
      <c r="G171" s="749"/>
      <c r="H171" s="749"/>
      <c r="I171" s="749"/>
      <c r="J171" s="749"/>
      <c r="K171" s="749"/>
      <c r="L171" s="749"/>
      <c r="M171" s="749"/>
      <c r="N171" s="749"/>
      <c r="O171" s="749"/>
      <c r="P171" s="749"/>
      <c r="Q171" s="749"/>
      <c r="R171" s="749"/>
      <c r="S171" s="749"/>
      <c r="T171" s="749"/>
      <c r="U171" s="749"/>
      <c r="V171" s="749"/>
      <c r="W171" s="749"/>
      <c r="X171" s="749"/>
      <c r="Y171" s="749"/>
      <c r="Z171" s="749"/>
      <c r="AA171" s="749"/>
      <c r="AB171" s="749"/>
      <c r="AC171" s="749"/>
      <c r="AD171" s="749"/>
      <c r="AE171" s="749"/>
      <c r="AF171" s="749"/>
      <c r="AG171" s="749"/>
      <c r="AH171" s="749"/>
    </row>
    <row r="172" spans="1:34" x14ac:dyDescent="0.45">
      <c r="A172" s="749"/>
      <c r="B172" s="749"/>
      <c r="C172" s="749"/>
      <c r="D172" s="749"/>
      <c r="E172" s="749"/>
      <c r="F172" s="749"/>
      <c r="G172" s="749"/>
      <c r="H172" s="749"/>
      <c r="I172" s="749"/>
      <c r="J172" s="749"/>
      <c r="K172" s="749"/>
      <c r="L172" s="749"/>
      <c r="M172" s="749"/>
      <c r="N172" s="749"/>
      <c r="O172" s="749"/>
      <c r="P172" s="749"/>
      <c r="Q172" s="749"/>
      <c r="R172" s="749"/>
      <c r="S172" s="749"/>
      <c r="T172" s="749"/>
      <c r="U172" s="749"/>
      <c r="V172" s="749"/>
      <c r="W172" s="749"/>
      <c r="X172" s="749"/>
      <c r="Y172" s="749"/>
      <c r="Z172" s="749"/>
      <c r="AA172" s="749"/>
      <c r="AB172" s="749"/>
      <c r="AC172" s="749"/>
      <c r="AD172" s="749"/>
      <c r="AE172" s="749"/>
      <c r="AF172" s="749"/>
      <c r="AG172" s="749"/>
      <c r="AH172" s="749"/>
    </row>
    <row r="173" spans="1:34" x14ac:dyDescent="0.45">
      <c r="A173" s="749"/>
      <c r="B173" s="749"/>
      <c r="C173" s="749"/>
      <c r="D173" s="749"/>
      <c r="E173" s="749"/>
      <c r="F173" s="749"/>
      <c r="G173" s="749"/>
      <c r="H173" s="749"/>
      <c r="I173" s="749"/>
      <c r="J173" s="749"/>
      <c r="K173" s="749"/>
      <c r="L173" s="749"/>
      <c r="M173" s="749"/>
      <c r="N173" s="749"/>
      <c r="O173" s="749"/>
      <c r="P173" s="749"/>
      <c r="Q173" s="749"/>
      <c r="R173" s="749"/>
      <c r="S173" s="749"/>
      <c r="T173" s="749"/>
      <c r="U173" s="749"/>
      <c r="V173" s="749"/>
      <c r="W173" s="749"/>
      <c r="X173" s="749"/>
      <c r="Y173" s="749"/>
      <c r="Z173" s="749"/>
      <c r="AA173" s="749"/>
      <c r="AB173" s="749"/>
      <c r="AC173" s="749"/>
      <c r="AD173" s="749"/>
      <c r="AE173" s="749"/>
      <c r="AF173" s="749"/>
      <c r="AG173" s="749"/>
      <c r="AH173" s="749"/>
    </row>
    <row r="174" spans="1:34" x14ac:dyDescent="0.45">
      <c r="A174" s="749"/>
      <c r="B174" s="749"/>
      <c r="C174" s="749"/>
      <c r="D174" s="749"/>
      <c r="E174" s="749"/>
      <c r="F174" s="749"/>
      <c r="G174" s="749"/>
      <c r="H174" s="749"/>
      <c r="I174" s="749"/>
      <c r="J174" s="749"/>
      <c r="K174" s="749"/>
      <c r="L174" s="749"/>
      <c r="M174" s="749"/>
      <c r="N174" s="749"/>
      <c r="O174" s="749"/>
      <c r="P174" s="749"/>
      <c r="Q174" s="749"/>
      <c r="R174" s="749"/>
      <c r="S174" s="749"/>
      <c r="T174" s="749"/>
      <c r="U174" s="749"/>
      <c r="V174" s="749"/>
      <c r="W174" s="749"/>
      <c r="X174" s="749"/>
      <c r="Y174" s="749"/>
      <c r="Z174" s="749"/>
      <c r="AA174" s="749"/>
      <c r="AB174" s="749"/>
      <c r="AC174" s="749"/>
      <c r="AD174" s="749"/>
      <c r="AE174" s="749"/>
      <c r="AF174" s="749"/>
      <c r="AG174" s="749"/>
      <c r="AH174" s="749"/>
    </row>
    <row r="175" spans="1:34" x14ac:dyDescent="0.45">
      <c r="A175" s="749"/>
      <c r="B175" s="749"/>
      <c r="C175" s="749"/>
      <c r="D175" s="749"/>
      <c r="E175" s="749"/>
      <c r="F175" s="749"/>
      <c r="G175" s="749"/>
      <c r="H175" s="749"/>
      <c r="I175" s="749"/>
      <c r="J175" s="749"/>
      <c r="K175" s="749"/>
      <c r="L175" s="749"/>
      <c r="M175" s="749"/>
      <c r="N175" s="749"/>
      <c r="O175" s="749"/>
      <c r="P175" s="749"/>
      <c r="Q175" s="749"/>
      <c r="R175" s="749"/>
      <c r="S175" s="749"/>
      <c r="T175" s="749"/>
      <c r="U175" s="749"/>
      <c r="V175" s="749"/>
      <c r="W175" s="749"/>
      <c r="X175" s="749"/>
      <c r="Y175" s="749"/>
      <c r="Z175" s="749"/>
      <c r="AA175" s="749"/>
      <c r="AB175" s="749"/>
      <c r="AC175" s="749"/>
      <c r="AD175" s="749"/>
      <c r="AE175" s="749"/>
      <c r="AF175" s="749"/>
      <c r="AG175" s="749"/>
      <c r="AH175" s="749"/>
    </row>
    <row r="176" spans="1:34" x14ac:dyDescent="0.45">
      <c r="A176" s="749"/>
      <c r="B176" s="749"/>
      <c r="C176" s="749"/>
      <c r="D176" s="749"/>
      <c r="E176" s="749"/>
      <c r="F176" s="749"/>
      <c r="G176" s="749"/>
      <c r="H176" s="749"/>
      <c r="I176" s="749"/>
      <c r="J176" s="749"/>
      <c r="K176" s="749"/>
      <c r="L176" s="749"/>
      <c r="M176" s="749"/>
      <c r="N176" s="749"/>
      <c r="O176" s="749"/>
      <c r="P176" s="749"/>
      <c r="Q176" s="749"/>
      <c r="R176" s="749"/>
      <c r="S176" s="749"/>
      <c r="T176" s="749"/>
      <c r="U176" s="749"/>
      <c r="V176" s="749"/>
      <c r="W176" s="749"/>
      <c r="X176" s="749"/>
      <c r="Y176" s="749"/>
      <c r="Z176" s="749"/>
      <c r="AA176" s="749"/>
      <c r="AB176" s="749"/>
      <c r="AC176" s="749"/>
      <c r="AD176" s="749"/>
      <c r="AE176" s="749"/>
      <c r="AF176" s="749"/>
      <c r="AG176" s="749"/>
      <c r="AH176" s="749"/>
    </row>
    <row r="177" spans="1:34" x14ac:dyDescent="0.45">
      <c r="A177" s="749"/>
      <c r="B177" s="749"/>
      <c r="C177" s="749"/>
      <c r="D177" s="749"/>
      <c r="E177" s="749"/>
      <c r="F177" s="749"/>
      <c r="G177" s="749"/>
      <c r="H177" s="749"/>
      <c r="I177" s="749"/>
      <c r="J177" s="749"/>
      <c r="K177" s="749"/>
      <c r="L177" s="749"/>
      <c r="M177" s="749"/>
      <c r="N177" s="749"/>
      <c r="O177" s="749"/>
      <c r="P177" s="749"/>
      <c r="Q177" s="749"/>
      <c r="R177" s="749"/>
      <c r="S177" s="749"/>
      <c r="T177" s="749"/>
      <c r="U177" s="749"/>
      <c r="V177" s="749"/>
      <c r="W177" s="749"/>
      <c r="X177" s="749"/>
      <c r="Y177" s="749"/>
      <c r="Z177" s="749"/>
      <c r="AA177" s="749"/>
      <c r="AB177" s="749"/>
      <c r="AC177" s="749"/>
      <c r="AD177" s="749"/>
      <c r="AE177" s="749"/>
      <c r="AF177" s="749"/>
      <c r="AG177" s="749"/>
      <c r="AH177" s="749"/>
    </row>
    <row r="178" spans="1:34" x14ac:dyDescent="0.45">
      <c r="A178" s="749"/>
      <c r="B178" s="749"/>
      <c r="C178" s="749"/>
      <c r="D178" s="749"/>
      <c r="E178" s="749"/>
      <c r="F178" s="749"/>
      <c r="G178" s="749"/>
      <c r="H178" s="749"/>
      <c r="I178" s="749"/>
      <c r="J178" s="749"/>
      <c r="K178" s="749"/>
      <c r="L178" s="749"/>
      <c r="M178" s="749"/>
      <c r="N178" s="749"/>
      <c r="O178" s="749"/>
      <c r="P178" s="749"/>
      <c r="Q178" s="749"/>
      <c r="R178" s="749"/>
      <c r="S178" s="749"/>
      <c r="T178" s="749"/>
      <c r="U178" s="749"/>
      <c r="V178" s="749"/>
      <c r="W178" s="749"/>
      <c r="X178" s="749"/>
      <c r="Y178" s="749"/>
      <c r="Z178" s="749"/>
      <c r="AA178" s="749"/>
      <c r="AB178" s="749"/>
      <c r="AC178" s="749"/>
      <c r="AD178" s="749"/>
      <c r="AE178" s="749"/>
      <c r="AF178" s="749"/>
      <c r="AG178" s="749"/>
      <c r="AH178" s="749"/>
    </row>
    <row r="179" spans="1:34" x14ac:dyDescent="0.45">
      <c r="A179" s="749"/>
      <c r="B179" s="749"/>
      <c r="C179" s="749"/>
      <c r="D179" s="749"/>
      <c r="E179" s="749"/>
      <c r="F179" s="749"/>
      <c r="G179" s="749"/>
      <c r="H179" s="749"/>
      <c r="I179" s="749"/>
      <c r="J179" s="749"/>
      <c r="K179" s="749"/>
      <c r="L179" s="749"/>
      <c r="M179" s="749"/>
      <c r="N179" s="749"/>
      <c r="O179" s="749"/>
      <c r="P179" s="749"/>
      <c r="Q179" s="749"/>
      <c r="R179" s="749"/>
      <c r="S179" s="749"/>
      <c r="T179" s="749"/>
      <c r="U179" s="749"/>
      <c r="V179" s="749"/>
      <c r="W179" s="749"/>
      <c r="X179" s="749"/>
      <c r="Y179" s="749"/>
      <c r="Z179" s="749"/>
      <c r="AA179" s="749"/>
      <c r="AB179" s="749"/>
      <c r="AC179" s="749"/>
      <c r="AD179" s="749"/>
      <c r="AE179" s="749"/>
      <c r="AF179" s="749"/>
      <c r="AG179" s="749"/>
      <c r="AH179" s="749"/>
    </row>
    <row r="180" spans="1:34" x14ac:dyDescent="0.45">
      <c r="A180" s="749"/>
      <c r="B180" s="749"/>
      <c r="C180" s="749"/>
      <c r="D180" s="749"/>
      <c r="E180" s="749"/>
      <c r="F180" s="749"/>
      <c r="G180" s="749"/>
      <c r="H180" s="749"/>
      <c r="I180" s="749"/>
      <c r="J180" s="749"/>
      <c r="K180" s="749"/>
      <c r="L180" s="749"/>
      <c r="M180" s="749"/>
      <c r="N180" s="749"/>
      <c r="O180" s="749"/>
      <c r="P180" s="749"/>
      <c r="Q180" s="749"/>
      <c r="R180" s="749"/>
      <c r="S180" s="749"/>
      <c r="T180" s="749"/>
      <c r="U180" s="749"/>
      <c r="V180" s="749"/>
      <c r="W180" s="749"/>
      <c r="X180" s="749"/>
      <c r="Y180" s="749"/>
      <c r="Z180" s="749"/>
      <c r="AA180" s="749"/>
      <c r="AB180" s="749"/>
      <c r="AC180" s="749"/>
      <c r="AD180" s="749"/>
      <c r="AE180" s="749"/>
      <c r="AF180" s="749"/>
      <c r="AG180" s="749"/>
      <c r="AH180" s="749"/>
    </row>
    <row r="181" spans="1:34" x14ac:dyDescent="0.45">
      <c r="A181" s="749"/>
      <c r="B181" s="749"/>
      <c r="C181" s="749"/>
      <c r="D181" s="749"/>
      <c r="E181" s="749"/>
      <c r="F181" s="749"/>
      <c r="G181" s="749"/>
      <c r="H181" s="749"/>
      <c r="I181" s="749"/>
      <c r="J181" s="749"/>
      <c r="K181" s="749"/>
      <c r="L181" s="749"/>
      <c r="M181" s="749"/>
      <c r="N181" s="749"/>
      <c r="O181" s="749"/>
      <c r="P181" s="749"/>
      <c r="Q181" s="749"/>
      <c r="R181" s="749"/>
      <c r="S181" s="749"/>
      <c r="T181" s="749"/>
      <c r="U181" s="749"/>
      <c r="V181" s="749"/>
      <c r="W181" s="749"/>
      <c r="X181" s="749"/>
      <c r="Y181" s="749"/>
      <c r="Z181" s="749"/>
      <c r="AA181" s="749"/>
      <c r="AB181" s="749"/>
      <c r="AC181" s="749"/>
      <c r="AD181" s="749"/>
      <c r="AE181" s="749"/>
      <c r="AF181" s="749"/>
      <c r="AG181" s="749"/>
      <c r="AH181" s="749"/>
    </row>
    <row r="182" spans="1:34" x14ac:dyDescent="0.45">
      <c r="A182" s="749"/>
      <c r="B182" s="749"/>
      <c r="C182" s="749"/>
      <c r="D182" s="749"/>
      <c r="E182" s="749"/>
      <c r="F182" s="749"/>
      <c r="G182" s="749"/>
      <c r="H182" s="749"/>
      <c r="I182" s="749"/>
      <c r="J182" s="749"/>
      <c r="K182" s="749"/>
      <c r="L182" s="749"/>
      <c r="M182" s="749"/>
      <c r="N182" s="749"/>
      <c r="O182" s="749"/>
      <c r="P182" s="749"/>
      <c r="Q182" s="749"/>
      <c r="R182" s="749"/>
      <c r="S182" s="749"/>
      <c r="T182" s="749"/>
      <c r="U182" s="749"/>
      <c r="V182" s="749"/>
      <c r="W182" s="749"/>
      <c r="X182" s="749"/>
      <c r="Y182" s="749"/>
      <c r="Z182" s="749"/>
      <c r="AA182" s="749"/>
      <c r="AB182" s="749"/>
      <c r="AC182" s="749"/>
      <c r="AD182" s="749"/>
      <c r="AE182" s="749"/>
      <c r="AF182" s="749"/>
      <c r="AG182" s="749"/>
      <c r="AH182" s="749"/>
    </row>
    <row r="183" spans="1:34" x14ac:dyDescent="0.45">
      <c r="A183" s="749"/>
      <c r="B183" s="749"/>
      <c r="C183" s="749"/>
      <c r="D183" s="749"/>
      <c r="E183" s="749"/>
      <c r="F183" s="749"/>
      <c r="G183" s="749"/>
      <c r="H183" s="749"/>
      <c r="I183" s="749"/>
      <c r="J183" s="749"/>
      <c r="K183" s="749"/>
      <c r="L183" s="749"/>
      <c r="M183" s="749"/>
      <c r="N183" s="749"/>
      <c r="O183" s="749"/>
      <c r="P183" s="749"/>
      <c r="Q183" s="749"/>
      <c r="R183" s="749"/>
      <c r="S183" s="749"/>
      <c r="T183" s="749"/>
      <c r="U183" s="749"/>
      <c r="V183" s="749"/>
      <c r="W183" s="749"/>
      <c r="X183" s="749"/>
      <c r="Y183" s="749"/>
      <c r="Z183" s="749"/>
      <c r="AA183" s="749"/>
      <c r="AB183" s="749"/>
      <c r="AC183" s="749"/>
      <c r="AD183" s="749"/>
      <c r="AE183" s="749"/>
      <c r="AF183" s="749"/>
      <c r="AG183" s="749"/>
      <c r="AH183" s="749"/>
    </row>
    <row r="184" spans="1:34" x14ac:dyDescent="0.45">
      <c r="A184" s="749"/>
      <c r="B184" s="749"/>
      <c r="C184" s="749"/>
      <c r="D184" s="749"/>
      <c r="E184" s="749"/>
      <c r="F184" s="749"/>
      <c r="G184" s="749"/>
      <c r="H184" s="749"/>
      <c r="I184" s="749"/>
      <c r="J184" s="749"/>
      <c r="K184" s="749"/>
      <c r="L184" s="749"/>
      <c r="M184" s="749"/>
      <c r="N184" s="749"/>
      <c r="O184" s="749"/>
      <c r="P184" s="749"/>
      <c r="Q184" s="749"/>
      <c r="R184" s="749"/>
      <c r="S184" s="749"/>
      <c r="T184" s="749"/>
      <c r="U184" s="749"/>
      <c r="V184" s="749"/>
      <c r="W184" s="749"/>
      <c r="X184" s="749"/>
      <c r="Y184" s="749"/>
      <c r="Z184" s="749"/>
      <c r="AA184" s="749"/>
      <c r="AB184" s="749"/>
      <c r="AC184" s="749"/>
      <c r="AD184" s="749"/>
      <c r="AE184" s="749"/>
      <c r="AF184" s="749"/>
      <c r="AG184" s="749"/>
      <c r="AH184" s="749"/>
    </row>
    <row r="185" spans="1:34" x14ac:dyDescent="0.45">
      <c r="A185" s="749"/>
      <c r="B185" s="749"/>
      <c r="C185" s="749"/>
      <c r="D185" s="749"/>
      <c r="E185" s="749"/>
      <c r="F185" s="749"/>
      <c r="G185" s="749"/>
      <c r="H185" s="749"/>
      <c r="I185" s="749"/>
      <c r="J185" s="749"/>
      <c r="K185" s="749"/>
      <c r="L185" s="749"/>
      <c r="M185" s="749"/>
      <c r="N185" s="749"/>
      <c r="O185" s="749"/>
      <c r="P185" s="749"/>
      <c r="Q185" s="749"/>
      <c r="R185" s="749"/>
      <c r="S185" s="749"/>
      <c r="T185" s="749"/>
      <c r="U185" s="749"/>
      <c r="V185" s="749"/>
      <c r="W185" s="749"/>
      <c r="X185" s="749"/>
      <c r="Y185" s="749"/>
      <c r="Z185" s="749"/>
      <c r="AA185" s="749"/>
      <c r="AB185" s="749"/>
      <c r="AC185" s="749"/>
      <c r="AD185" s="749"/>
      <c r="AE185" s="749"/>
      <c r="AF185" s="749"/>
      <c r="AG185" s="749"/>
      <c r="AH185" s="749"/>
    </row>
    <row r="186" spans="1:34" x14ac:dyDescent="0.45">
      <c r="A186" s="749"/>
      <c r="B186" s="749"/>
      <c r="C186" s="749"/>
      <c r="D186" s="749"/>
      <c r="E186" s="749"/>
      <c r="F186" s="749"/>
      <c r="G186" s="749"/>
      <c r="H186" s="749"/>
      <c r="I186" s="749"/>
      <c r="J186" s="749"/>
      <c r="K186" s="749"/>
      <c r="L186" s="749"/>
      <c r="M186" s="749"/>
      <c r="N186" s="749"/>
      <c r="O186" s="749"/>
      <c r="P186" s="749"/>
      <c r="Q186" s="749"/>
      <c r="R186" s="749"/>
      <c r="S186" s="749"/>
      <c r="T186" s="749"/>
      <c r="U186" s="749"/>
      <c r="V186" s="749"/>
      <c r="W186" s="749"/>
      <c r="X186" s="749"/>
      <c r="Y186" s="749"/>
      <c r="Z186" s="749"/>
      <c r="AA186" s="749"/>
      <c r="AB186" s="749"/>
      <c r="AC186" s="749"/>
      <c r="AD186" s="749"/>
      <c r="AE186" s="749"/>
      <c r="AF186" s="749"/>
      <c r="AG186" s="749"/>
      <c r="AH186" s="749"/>
    </row>
    <row r="187" spans="1:34" x14ac:dyDescent="0.45">
      <c r="A187" s="749"/>
      <c r="B187" s="749"/>
      <c r="C187" s="749"/>
      <c r="D187" s="749"/>
      <c r="E187" s="749"/>
      <c r="F187" s="749"/>
      <c r="G187" s="749"/>
      <c r="H187" s="749"/>
      <c r="I187" s="749"/>
      <c r="J187" s="749"/>
      <c r="K187" s="749"/>
      <c r="L187" s="749"/>
      <c r="M187" s="749"/>
      <c r="N187" s="749"/>
      <c r="O187" s="749"/>
      <c r="P187" s="749"/>
      <c r="Q187" s="749"/>
      <c r="R187" s="749"/>
      <c r="S187" s="749"/>
      <c r="T187" s="749"/>
      <c r="U187" s="749"/>
      <c r="V187" s="749"/>
      <c r="W187" s="749"/>
      <c r="X187" s="749"/>
      <c r="Y187" s="749"/>
      <c r="Z187" s="749"/>
      <c r="AA187" s="749"/>
      <c r="AB187" s="749"/>
      <c r="AC187" s="749"/>
      <c r="AD187" s="749"/>
      <c r="AE187" s="749"/>
      <c r="AF187" s="749"/>
      <c r="AG187" s="749"/>
      <c r="AH187" s="749"/>
    </row>
    <row r="188" spans="1:34" x14ac:dyDescent="0.45">
      <c r="A188" s="749"/>
      <c r="B188" s="749"/>
      <c r="C188" s="749"/>
      <c r="D188" s="749"/>
      <c r="E188" s="749"/>
      <c r="F188" s="749"/>
      <c r="G188" s="749"/>
      <c r="H188" s="749"/>
      <c r="I188" s="749"/>
      <c r="J188" s="749"/>
      <c r="K188" s="749"/>
      <c r="L188" s="749"/>
      <c r="M188" s="749"/>
      <c r="N188" s="749"/>
      <c r="O188" s="749"/>
      <c r="P188" s="749"/>
      <c r="Q188" s="749"/>
      <c r="R188" s="749"/>
      <c r="S188" s="749"/>
      <c r="T188" s="749"/>
      <c r="U188" s="749"/>
      <c r="V188" s="749"/>
      <c r="W188" s="749"/>
      <c r="X188" s="749"/>
      <c r="Y188" s="749"/>
      <c r="Z188" s="749"/>
      <c r="AA188" s="749"/>
      <c r="AB188" s="749"/>
      <c r="AC188" s="749"/>
      <c r="AD188" s="749"/>
      <c r="AE188" s="749"/>
      <c r="AF188" s="749"/>
      <c r="AG188" s="749"/>
      <c r="AH188" s="749"/>
    </row>
    <row r="189" spans="1:34" x14ac:dyDescent="0.45">
      <c r="A189" s="749"/>
      <c r="B189" s="749"/>
      <c r="C189" s="749"/>
      <c r="D189" s="749"/>
      <c r="E189" s="749"/>
      <c r="F189" s="749"/>
      <c r="G189" s="749"/>
      <c r="H189" s="749"/>
      <c r="I189" s="749"/>
      <c r="J189" s="749"/>
      <c r="K189" s="749"/>
      <c r="L189" s="749"/>
      <c r="M189" s="749"/>
      <c r="N189" s="749"/>
      <c r="O189" s="749"/>
      <c r="P189" s="749"/>
      <c r="Q189" s="749"/>
      <c r="R189" s="749"/>
      <c r="S189" s="749"/>
      <c r="T189" s="749"/>
      <c r="U189" s="749"/>
      <c r="V189" s="749"/>
      <c r="W189" s="749"/>
      <c r="X189" s="749"/>
      <c r="Y189" s="749"/>
      <c r="Z189" s="749"/>
      <c r="AA189" s="749"/>
      <c r="AB189" s="749"/>
      <c r="AC189" s="749"/>
      <c r="AD189" s="749"/>
      <c r="AE189" s="749"/>
      <c r="AF189" s="749"/>
      <c r="AG189" s="749"/>
      <c r="AH189" s="749"/>
    </row>
    <row r="190" spans="1:34" x14ac:dyDescent="0.45">
      <c r="A190" s="749"/>
      <c r="B190" s="749"/>
      <c r="C190" s="749"/>
      <c r="D190" s="749"/>
      <c r="E190" s="749"/>
      <c r="F190" s="749"/>
      <c r="G190" s="749"/>
      <c r="H190" s="749"/>
      <c r="I190" s="749"/>
      <c r="J190" s="749"/>
      <c r="K190" s="749"/>
      <c r="L190" s="749"/>
      <c r="M190" s="749"/>
      <c r="N190" s="749"/>
      <c r="O190" s="749"/>
      <c r="P190" s="749"/>
      <c r="Q190" s="749"/>
      <c r="R190" s="749"/>
      <c r="S190" s="749"/>
      <c r="T190" s="749"/>
      <c r="U190" s="749"/>
      <c r="V190" s="749"/>
      <c r="W190" s="749"/>
      <c r="X190" s="749"/>
      <c r="Y190" s="749"/>
      <c r="Z190" s="749"/>
      <c r="AA190" s="749"/>
      <c r="AB190" s="749"/>
      <c r="AC190" s="749"/>
      <c r="AD190" s="749"/>
      <c r="AE190" s="749"/>
      <c r="AF190" s="749"/>
      <c r="AG190" s="749"/>
      <c r="AH190" s="749"/>
    </row>
    <row r="191" spans="1:34" x14ac:dyDescent="0.45">
      <c r="A191" s="749"/>
      <c r="B191" s="749"/>
      <c r="C191" s="749"/>
      <c r="D191" s="749"/>
      <c r="E191" s="749"/>
      <c r="F191" s="749"/>
      <c r="G191" s="749"/>
      <c r="H191" s="749"/>
      <c r="I191" s="749"/>
      <c r="J191" s="749"/>
      <c r="K191" s="749"/>
      <c r="L191" s="749"/>
      <c r="M191" s="749"/>
      <c r="N191" s="749"/>
      <c r="O191" s="749"/>
      <c r="P191" s="749"/>
      <c r="Q191" s="749"/>
      <c r="R191" s="749"/>
      <c r="S191" s="749"/>
      <c r="T191" s="749"/>
      <c r="U191" s="749"/>
      <c r="V191" s="749"/>
      <c r="W191" s="749"/>
      <c r="X191" s="749"/>
      <c r="Y191" s="749"/>
      <c r="Z191" s="749"/>
      <c r="AA191" s="749"/>
      <c r="AB191" s="749"/>
      <c r="AC191" s="749"/>
      <c r="AD191" s="749"/>
      <c r="AE191" s="749"/>
      <c r="AF191" s="749"/>
      <c r="AG191" s="749"/>
      <c r="AH191" s="749"/>
    </row>
    <row r="192" spans="1:34" x14ac:dyDescent="0.45">
      <c r="A192" s="749"/>
      <c r="B192" s="749"/>
      <c r="C192" s="749"/>
      <c r="D192" s="749"/>
      <c r="E192" s="749"/>
      <c r="F192" s="749"/>
      <c r="G192" s="749"/>
      <c r="H192" s="749"/>
      <c r="I192" s="749"/>
      <c r="J192" s="749"/>
      <c r="K192" s="749"/>
      <c r="L192" s="749"/>
      <c r="M192" s="749"/>
      <c r="N192" s="749"/>
      <c r="O192" s="749"/>
      <c r="P192" s="749"/>
      <c r="Q192" s="749"/>
      <c r="R192" s="749"/>
      <c r="S192" s="749"/>
      <c r="T192" s="749"/>
      <c r="U192" s="749"/>
      <c r="V192" s="749"/>
      <c r="W192" s="749"/>
      <c r="X192" s="749"/>
      <c r="Y192" s="749"/>
      <c r="Z192" s="749"/>
      <c r="AA192" s="749"/>
      <c r="AB192" s="749"/>
      <c r="AC192" s="749"/>
      <c r="AD192" s="749"/>
      <c r="AE192" s="749"/>
      <c r="AF192" s="749"/>
      <c r="AG192" s="749"/>
      <c r="AH192" s="749"/>
    </row>
    <row r="193" spans="1:34" x14ac:dyDescent="0.45">
      <c r="A193" s="749"/>
      <c r="B193" s="749"/>
      <c r="C193" s="749"/>
      <c r="D193" s="749"/>
      <c r="E193" s="749"/>
      <c r="F193" s="749"/>
      <c r="G193" s="749"/>
      <c r="H193" s="749"/>
      <c r="I193" s="749"/>
      <c r="J193" s="749"/>
      <c r="K193" s="749"/>
      <c r="L193" s="749"/>
      <c r="M193" s="749"/>
      <c r="N193" s="749"/>
      <c r="O193" s="749"/>
      <c r="P193" s="749"/>
      <c r="Q193" s="749"/>
      <c r="R193" s="749"/>
      <c r="S193" s="749"/>
      <c r="T193" s="749"/>
      <c r="U193" s="749"/>
      <c r="V193" s="749"/>
      <c r="W193" s="749"/>
      <c r="X193" s="749"/>
      <c r="Y193" s="749"/>
      <c r="Z193" s="749"/>
      <c r="AA193" s="749"/>
      <c r="AB193" s="749"/>
      <c r="AC193" s="749"/>
      <c r="AD193" s="749"/>
      <c r="AE193" s="749"/>
      <c r="AF193" s="749"/>
      <c r="AG193" s="749"/>
      <c r="AH193" s="749"/>
    </row>
    <row r="194" spans="1:34" x14ac:dyDescent="0.45">
      <c r="A194" s="749"/>
      <c r="B194" s="749"/>
      <c r="C194" s="749"/>
      <c r="D194" s="749"/>
      <c r="E194" s="749"/>
      <c r="F194" s="749"/>
      <c r="G194" s="749"/>
      <c r="H194" s="749"/>
      <c r="I194" s="749"/>
      <c r="J194" s="749"/>
      <c r="K194" s="749"/>
      <c r="L194" s="749"/>
      <c r="M194" s="749"/>
      <c r="N194" s="749"/>
      <c r="O194" s="749"/>
      <c r="P194" s="749"/>
      <c r="Q194" s="749"/>
      <c r="R194" s="749"/>
      <c r="S194" s="749"/>
      <c r="T194" s="749"/>
      <c r="U194" s="749"/>
      <c r="V194" s="749"/>
      <c r="W194" s="749"/>
      <c r="X194" s="749"/>
      <c r="Y194" s="749"/>
      <c r="Z194" s="749"/>
      <c r="AA194" s="749"/>
      <c r="AB194" s="749"/>
      <c r="AC194" s="749"/>
      <c r="AD194" s="749"/>
      <c r="AE194" s="749"/>
      <c r="AF194" s="749"/>
      <c r="AG194" s="749"/>
      <c r="AH194" s="749"/>
    </row>
    <row r="195" spans="1:34" x14ac:dyDescent="0.45">
      <c r="A195" s="749"/>
      <c r="B195" s="749"/>
      <c r="C195" s="749"/>
      <c r="D195" s="749"/>
      <c r="E195" s="749"/>
      <c r="F195" s="749"/>
      <c r="G195" s="749"/>
      <c r="H195" s="749"/>
      <c r="I195" s="749"/>
      <c r="J195" s="749"/>
      <c r="K195" s="749"/>
      <c r="L195" s="749"/>
      <c r="M195" s="749"/>
      <c r="N195" s="749"/>
      <c r="O195" s="749"/>
      <c r="P195" s="749"/>
      <c r="Q195" s="749"/>
      <c r="R195" s="749"/>
      <c r="S195" s="749"/>
      <c r="T195" s="749"/>
      <c r="U195" s="749"/>
      <c r="V195" s="749"/>
      <c r="W195" s="749"/>
      <c r="X195" s="749"/>
      <c r="Y195" s="749"/>
      <c r="Z195" s="749"/>
      <c r="AA195" s="749"/>
      <c r="AB195" s="749"/>
      <c r="AC195" s="749"/>
      <c r="AD195" s="749"/>
      <c r="AE195" s="749"/>
      <c r="AF195" s="749"/>
      <c r="AG195" s="749"/>
      <c r="AH195" s="749"/>
    </row>
    <row r="196" spans="1:34" x14ac:dyDescent="0.45">
      <c r="A196" s="749"/>
      <c r="B196" s="749"/>
      <c r="C196" s="749"/>
      <c r="D196" s="749"/>
      <c r="E196" s="749"/>
      <c r="F196" s="749"/>
      <c r="G196" s="749"/>
      <c r="H196" s="749"/>
      <c r="I196" s="749"/>
      <c r="J196" s="749"/>
      <c r="K196" s="749"/>
      <c r="L196" s="749"/>
      <c r="M196" s="749"/>
      <c r="N196" s="749"/>
      <c r="O196" s="749"/>
      <c r="P196" s="749"/>
      <c r="Q196" s="749"/>
      <c r="R196" s="749"/>
      <c r="S196" s="749"/>
      <c r="T196" s="749"/>
      <c r="U196" s="749"/>
      <c r="V196" s="749"/>
      <c r="W196" s="749"/>
      <c r="X196" s="749"/>
      <c r="Y196" s="749"/>
      <c r="Z196" s="749"/>
      <c r="AA196" s="749"/>
      <c r="AB196" s="749"/>
      <c r="AC196" s="749"/>
      <c r="AD196" s="749"/>
      <c r="AE196" s="749"/>
      <c r="AF196" s="749"/>
      <c r="AG196" s="749"/>
      <c r="AH196" s="749"/>
    </row>
    <row r="197" spans="1:34" x14ac:dyDescent="0.45">
      <c r="A197" s="749"/>
      <c r="B197" s="749"/>
      <c r="C197" s="749"/>
      <c r="D197" s="749"/>
      <c r="E197" s="749"/>
      <c r="F197" s="749"/>
      <c r="G197" s="749"/>
      <c r="H197" s="749"/>
      <c r="I197" s="749"/>
      <c r="J197" s="749"/>
      <c r="K197" s="749"/>
      <c r="L197" s="749"/>
      <c r="M197" s="749"/>
      <c r="N197" s="749"/>
      <c r="O197" s="749"/>
      <c r="P197" s="749"/>
      <c r="Q197" s="749"/>
      <c r="R197" s="749"/>
      <c r="S197" s="749"/>
      <c r="T197" s="749"/>
      <c r="U197" s="749"/>
      <c r="V197" s="749"/>
      <c r="W197" s="749"/>
      <c r="X197" s="749"/>
      <c r="Y197" s="749"/>
      <c r="Z197" s="749"/>
      <c r="AA197" s="749"/>
      <c r="AB197" s="749"/>
      <c r="AC197" s="749"/>
      <c r="AD197" s="749"/>
      <c r="AE197" s="749"/>
      <c r="AF197" s="749"/>
      <c r="AG197" s="749"/>
      <c r="AH197" s="749"/>
    </row>
    <row r="198" spans="1:34" x14ac:dyDescent="0.45">
      <c r="A198" s="749"/>
      <c r="B198" s="749"/>
      <c r="C198" s="749"/>
      <c r="D198" s="749"/>
      <c r="E198" s="749"/>
      <c r="F198" s="749"/>
      <c r="G198" s="749"/>
      <c r="H198" s="749"/>
      <c r="I198" s="749"/>
      <c r="J198" s="749"/>
      <c r="K198" s="749"/>
      <c r="L198" s="749"/>
      <c r="M198" s="749"/>
      <c r="N198" s="749"/>
      <c r="O198" s="749"/>
      <c r="P198" s="749"/>
      <c r="Q198" s="749"/>
      <c r="R198" s="749"/>
      <c r="S198" s="749"/>
      <c r="T198" s="749"/>
      <c r="U198" s="749"/>
      <c r="V198" s="749"/>
      <c r="W198" s="749"/>
      <c r="X198" s="749"/>
      <c r="Y198" s="749"/>
      <c r="Z198" s="749"/>
      <c r="AA198" s="749"/>
      <c r="AB198" s="749"/>
      <c r="AC198" s="749"/>
      <c r="AD198" s="749"/>
      <c r="AE198" s="749"/>
      <c r="AF198" s="749"/>
      <c r="AG198" s="749"/>
      <c r="AH198" s="749"/>
    </row>
    <row r="199" spans="1:34" x14ac:dyDescent="0.45">
      <c r="A199" s="749"/>
      <c r="B199" s="749"/>
      <c r="C199" s="749"/>
      <c r="D199" s="749"/>
      <c r="E199" s="749"/>
      <c r="F199" s="749"/>
      <c r="G199" s="749"/>
      <c r="H199" s="749"/>
      <c r="I199" s="749"/>
      <c r="J199" s="749"/>
      <c r="K199" s="749"/>
      <c r="L199" s="749"/>
      <c r="M199" s="749"/>
      <c r="N199" s="749"/>
      <c r="O199" s="749"/>
      <c r="P199" s="749"/>
      <c r="Q199" s="749"/>
      <c r="R199" s="749"/>
      <c r="S199" s="749"/>
      <c r="T199" s="749"/>
      <c r="U199" s="749"/>
      <c r="V199" s="749"/>
      <c r="W199" s="749"/>
      <c r="X199" s="749"/>
      <c r="Y199" s="749"/>
      <c r="Z199" s="749"/>
      <c r="AA199" s="749"/>
      <c r="AB199" s="749"/>
      <c r="AC199" s="749"/>
      <c r="AD199" s="749"/>
      <c r="AE199" s="749"/>
      <c r="AF199" s="749"/>
      <c r="AG199" s="749"/>
      <c r="AH199" s="749"/>
    </row>
    <row r="200" spans="1:34" x14ac:dyDescent="0.45">
      <c r="A200" s="749"/>
      <c r="B200" s="749"/>
      <c r="C200" s="749"/>
      <c r="D200" s="749"/>
      <c r="E200" s="749"/>
      <c r="F200" s="749"/>
      <c r="G200" s="749"/>
      <c r="H200" s="749"/>
      <c r="I200" s="749"/>
      <c r="J200" s="749"/>
      <c r="K200" s="749"/>
      <c r="L200" s="749"/>
      <c r="M200" s="749"/>
      <c r="N200" s="749"/>
      <c r="O200" s="749"/>
      <c r="P200" s="749"/>
      <c r="Q200" s="749"/>
      <c r="R200" s="749"/>
      <c r="S200" s="749"/>
      <c r="T200" s="749"/>
      <c r="U200" s="749"/>
      <c r="V200" s="749"/>
      <c r="W200" s="749"/>
      <c r="X200" s="749"/>
      <c r="Y200" s="749"/>
      <c r="Z200" s="749"/>
      <c r="AA200" s="749"/>
      <c r="AB200" s="749"/>
      <c r="AC200" s="749"/>
      <c r="AD200" s="749"/>
      <c r="AE200" s="749"/>
      <c r="AF200" s="749"/>
      <c r="AG200" s="749"/>
      <c r="AH200" s="749"/>
    </row>
    <row r="201" spans="1:34" x14ac:dyDescent="0.45">
      <c r="A201" s="749"/>
      <c r="B201" s="749"/>
      <c r="C201" s="749"/>
      <c r="D201" s="749"/>
      <c r="E201" s="749"/>
      <c r="F201" s="749"/>
      <c r="G201" s="749"/>
      <c r="H201" s="749"/>
      <c r="I201" s="749"/>
      <c r="J201" s="749"/>
      <c r="K201" s="749"/>
      <c r="L201" s="749"/>
      <c r="M201" s="749"/>
      <c r="N201" s="749"/>
      <c r="O201" s="749"/>
      <c r="P201" s="749"/>
      <c r="Q201" s="749"/>
      <c r="R201" s="749"/>
      <c r="S201" s="749"/>
      <c r="T201" s="749"/>
      <c r="U201" s="749"/>
      <c r="V201" s="749"/>
      <c r="W201" s="749"/>
      <c r="X201" s="749"/>
      <c r="Y201" s="749"/>
      <c r="Z201" s="749"/>
      <c r="AA201" s="749"/>
      <c r="AB201" s="749"/>
      <c r="AC201" s="749"/>
      <c r="AD201" s="749"/>
      <c r="AE201" s="749"/>
      <c r="AF201" s="749"/>
      <c r="AG201" s="749"/>
      <c r="AH201" s="749"/>
    </row>
    <row r="202" spans="1:34" x14ac:dyDescent="0.45">
      <c r="A202" s="749"/>
      <c r="B202" s="749"/>
      <c r="C202" s="749"/>
      <c r="D202" s="749"/>
      <c r="E202" s="749"/>
      <c r="F202" s="749"/>
      <c r="G202" s="749"/>
      <c r="H202" s="749"/>
      <c r="I202" s="749"/>
      <c r="J202" s="749"/>
      <c r="K202" s="749"/>
      <c r="L202" s="749"/>
      <c r="M202" s="749"/>
      <c r="N202" s="749"/>
      <c r="O202" s="749"/>
      <c r="P202" s="749"/>
      <c r="Q202" s="749"/>
      <c r="R202" s="749"/>
      <c r="S202" s="749"/>
      <c r="T202" s="749"/>
      <c r="U202" s="749"/>
      <c r="V202" s="749"/>
      <c r="W202" s="749"/>
      <c r="X202" s="749"/>
      <c r="Y202" s="749"/>
      <c r="Z202" s="749"/>
      <c r="AA202" s="749"/>
      <c r="AB202" s="749"/>
      <c r="AC202" s="749"/>
      <c r="AD202" s="749"/>
      <c r="AE202" s="749"/>
      <c r="AF202" s="749"/>
      <c r="AG202" s="749"/>
      <c r="AH202" s="749"/>
    </row>
    <row r="203" spans="1:34" x14ac:dyDescent="0.45">
      <c r="A203" s="749"/>
      <c r="B203" s="749"/>
      <c r="C203" s="749"/>
      <c r="D203" s="749"/>
      <c r="E203" s="749"/>
      <c r="F203" s="749"/>
      <c r="G203" s="749"/>
      <c r="H203" s="749"/>
      <c r="I203" s="749"/>
      <c r="J203" s="749"/>
      <c r="K203" s="749"/>
      <c r="L203" s="749"/>
      <c r="M203" s="749"/>
      <c r="N203" s="749"/>
      <c r="O203" s="749"/>
      <c r="P203" s="749"/>
      <c r="Q203" s="749"/>
      <c r="R203" s="749"/>
      <c r="S203" s="749"/>
      <c r="T203" s="749"/>
      <c r="U203" s="749"/>
      <c r="V203" s="749"/>
      <c r="W203" s="749"/>
      <c r="X203" s="749"/>
      <c r="Y203" s="749"/>
      <c r="Z203" s="749"/>
      <c r="AA203" s="749"/>
      <c r="AB203" s="749"/>
      <c r="AC203" s="749"/>
      <c r="AD203" s="749"/>
      <c r="AE203" s="749"/>
      <c r="AF203" s="749"/>
      <c r="AG203" s="749"/>
      <c r="AH203" s="749"/>
    </row>
    <row r="204" spans="1:34" x14ac:dyDescent="0.45">
      <c r="A204" s="749"/>
      <c r="B204" s="749"/>
      <c r="C204" s="749"/>
      <c r="D204" s="749"/>
      <c r="E204" s="749"/>
      <c r="F204" s="749"/>
      <c r="G204" s="749"/>
      <c r="H204" s="749"/>
      <c r="I204" s="749"/>
      <c r="J204" s="749"/>
      <c r="K204" s="749"/>
      <c r="L204" s="749"/>
      <c r="M204" s="749"/>
      <c r="N204" s="749"/>
      <c r="O204" s="749"/>
      <c r="P204" s="749"/>
      <c r="Q204" s="749"/>
      <c r="R204" s="749"/>
      <c r="S204" s="749"/>
      <c r="T204" s="749"/>
      <c r="U204" s="749"/>
      <c r="V204" s="749"/>
      <c r="W204" s="749"/>
      <c r="X204" s="749"/>
      <c r="Y204" s="749"/>
      <c r="Z204" s="749"/>
      <c r="AA204" s="749"/>
      <c r="AB204" s="749"/>
      <c r="AC204" s="749"/>
      <c r="AD204" s="749"/>
      <c r="AE204" s="749"/>
      <c r="AF204" s="749"/>
      <c r="AG204" s="749"/>
      <c r="AH204" s="749"/>
    </row>
    <row r="205" spans="1:34" x14ac:dyDescent="0.45">
      <c r="A205" s="749"/>
      <c r="B205" s="749"/>
      <c r="C205" s="749"/>
      <c r="D205" s="749"/>
      <c r="E205" s="749"/>
      <c r="F205" s="749"/>
      <c r="G205" s="749"/>
      <c r="H205" s="749"/>
      <c r="I205" s="749"/>
      <c r="J205" s="749"/>
      <c r="K205" s="749"/>
      <c r="L205" s="749"/>
      <c r="M205" s="749"/>
      <c r="N205" s="749"/>
      <c r="O205" s="749"/>
      <c r="P205" s="749"/>
      <c r="Q205" s="749"/>
      <c r="R205" s="749"/>
      <c r="S205" s="749"/>
      <c r="T205" s="749"/>
      <c r="U205" s="749"/>
      <c r="V205" s="749"/>
      <c r="W205" s="749"/>
      <c r="X205" s="749"/>
      <c r="Y205" s="749"/>
      <c r="Z205" s="749"/>
      <c r="AA205" s="749"/>
      <c r="AB205" s="749"/>
      <c r="AC205" s="749"/>
      <c r="AD205" s="749"/>
      <c r="AE205" s="749"/>
      <c r="AF205" s="749"/>
      <c r="AG205" s="749"/>
      <c r="AH205" s="749"/>
    </row>
    <row r="206" spans="1:34" x14ac:dyDescent="0.45">
      <c r="A206" s="749"/>
      <c r="B206" s="749"/>
      <c r="C206" s="749"/>
      <c r="D206" s="749"/>
      <c r="E206" s="749"/>
      <c r="F206" s="749"/>
      <c r="G206" s="749"/>
      <c r="H206" s="749"/>
      <c r="I206" s="749"/>
      <c r="J206" s="749"/>
      <c r="K206" s="749"/>
      <c r="L206" s="749"/>
      <c r="M206" s="749"/>
      <c r="N206" s="749"/>
      <c r="O206" s="749"/>
      <c r="P206" s="749"/>
      <c r="Q206" s="749"/>
      <c r="R206" s="749"/>
      <c r="S206" s="749"/>
      <c r="T206" s="749"/>
      <c r="U206" s="749"/>
      <c r="V206" s="749"/>
      <c r="W206" s="749"/>
      <c r="X206" s="749"/>
      <c r="Y206" s="749"/>
      <c r="Z206" s="749"/>
      <c r="AA206" s="749"/>
      <c r="AB206" s="749"/>
      <c r="AC206" s="749"/>
      <c r="AD206" s="749"/>
      <c r="AE206" s="749"/>
      <c r="AF206" s="749"/>
      <c r="AG206" s="749"/>
      <c r="AH206" s="749"/>
    </row>
    <row r="207" spans="1:34" x14ac:dyDescent="0.45">
      <c r="A207" s="949"/>
      <c r="B207" s="950"/>
      <c r="C207" s="950"/>
      <c r="D207" s="950"/>
      <c r="E207" s="950"/>
      <c r="F207" s="950"/>
      <c r="G207" s="950"/>
      <c r="H207" s="950"/>
      <c r="I207" s="950"/>
      <c r="J207" s="950"/>
      <c r="K207" s="950"/>
      <c r="L207" s="950"/>
      <c r="M207" s="950"/>
      <c r="N207" s="950"/>
      <c r="O207" s="950"/>
      <c r="P207" s="950"/>
      <c r="Q207" s="950"/>
      <c r="R207" s="950"/>
      <c r="S207" s="950"/>
      <c r="T207" s="950"/>
      <c r="U207" s="950"/>
      <c r="V207" s="950"/>
      <c r="W207" s="950"/>
      <c r="X207" s="950"/>
      <c r="Y207" s="950"/>
      <c r="Z207" s="950"/>
      <c r="AA207" s="950"/>
      <c r="AB207" s="950"/>
      <c r="AC207" s="951"/>
    </row>
    <row r="208" spans="1:34" x14ac:dyDescent="0.45">
      <c r="A208" s="952"/>
      <c r="B208" s="195"/>
      <c r="C208" s="195" t="s">
        <v>397</v>
      </c>
      <c r="D208" s="195"/>
      <c r="E208" s="195"/>
      <c r="F208" s="195"/>
      <c r="G208" s="195" t="str">
        <f>+C57</f>
        <v>Year of Deposit or Withdraw</v>
      </c>
      <c r="H208" s="953">
        <f t="shared" ref="H208:AA208" si="47">+H57</f>
        <v>1</v>
      </c>
      <c r="I208" s="953">
        <f t="shared" si="47"/>
        <v>2</v>
      </c>
      <c r="J208" s="953">
        <f t="shared" si="47"/>
        <v>3</v>
      </c>
      <c r="K208" s="953">
        <f t="shared" si="47"/>
        <v>4</v>
      </c>
      <c r="L208" s="953">
        <f t="shared" si="47"/>
        <v>5</v>
      </c>
      <c r="M208" s="953">
        <f t="shared" si="47"/>
        <v>6</v>
      </c>
      <c r="N208" s="953">
        <f t="shared" si="47"/>
        <v>7</v>
      </c>
      <c r="O208" s="953">
        <f t="shared" si="47"/>
        <v>8</v>
      </c>
      <c r="P208" s="953">
        <f t="shared" si="47"/>
        <v>9</v>
      </c>
      <c r="Q208" s="953">
        <f t="shared" si="47"/>
        <v>10</v>
      </c>
      <c r="R208" s="953">
        <f t="shared" si="47"/>
        <v>11</v>
      </c>
      <c r="S208" s="953">
        <f t="shared" si="47"/>
        <v>12</v>
      </c>
      <c r="T208" s="953">
        <f t="shared" si="47"/>
        <v>13</v>
      </c>
      <c r="U208" s="953">
        <f t="shared" si="47"/>
        <v>14</v>
      </c>
      <c r="V208" s="953">
        <f t="shared" si="47"/>
        <v>15</v>
      </c>
      <c r="W208" s="953">
        <f t="shared" si="47"/>
        <v>16</v>
      </c>
      <c r="X208" s="953">
        <f t="shared" si="47"/>
        <v>17</v>
      </c>
      <c r="Y208" s="953">
        <f t="shared" si="47"/>
        <v>18</v>
      </c>
      <c r="Z208" s="953">
        <f t="shared" si="47"/>
        <v>19</v>
      </c>
      <c r="AA208" s="953">
        <f t="shared" si="47"/>
        <v>20</v>
      </c>
      <c r="AB208" s="195"/>
      <c r="AC208" s="954"/>
    </row>
    <row r="209" spans="1:29" x14ac:dyDescent="0.45">
      <c r="A209" s="952"/>
      <c r="B209" s="195"/>
      <c r="C209" s="195" t="s">
        <v>397</v>
      </c>
      <c r="D209" s="195"/>
      <c r="E209" s="195"/>
      <c r="F209" s="195"/>
      <c r="G209" s="195" t="str">
        <f>+C62</f>
        <v>Interest Income on RfR balance</v>
      </c>
      <c r="H209" s="955">
        <f t="shared" ref="H209:AA209" ca="1" si="48">+H62</f>
        <v>4669.25</v>
      </c>
      <c r="I209" s="955">
        <f t="shared" ca="1" si="48"/>
        <v>7251.3024999999998</v>
      </c>
      <c r="J209" s="955">
        <f t="shared" ca="1" si="48"/>
        <v>14864.824087499999</v>
      </c>
      <c r="K209" s="955">
        <f t="shared" ca="1" si="48"/>
        <v>13868.0629648125</v>
      </c>
      <c r="L209" s="955">
        <f t="shared" ca="1" si="48"/>
        <v>13794.174081604688</v>
      </c>
      <c r="M209" s="955">
        <f t="shared" ca="1" si="48"/>
        <v>10406.167194595157</v>
      </c>
      <c r="N209" s="955">
        <f t="shared" ca="1" si="48"/>
        <v>7660.1303603158112</v>
      </c>
      <c r="O209" s="955">
        <f t="shared" ca="1" si="48"/>
        <v>5668.4110926783096</v>
      </c>
      <c r="P209" s="955">
        <f t="shared" ca="1" si="48"/>
        <v>6022.5408505654032</v>
      </c>
      <c r="Q209" s="955">
        <f t="shared" ca="1" si="48"/>
        <v>7214.7290556507396</v>
      </c>
      <c r="R209" s="955">
        <f t="shared" ca="1" si="48"/>
        <v>6506.6042336588962</v>
      </c>
      <c r="S209" s="955">
        <f t="shared" ca="1" si="48"/>
        <v>0</v>
      </c>
      <c r="T209" s="955">
        <f t="shared" ca="1" si="48"/>
        <v>0</v>
      </c>
      <c r="U209" s="955">
        <f t="shared" ca="1" si="48"/>
        <v>0</v>
      </c>
      <c r="V209" s="955">
        <f t="shared" ca="1" si="48"/>
        <v>0</v>
      </c>
      <c r="W209" s="955">
        <f t="shared" ca="1" si="48"/>
        <v>0</v>
      </c>
      <c r="X209" s="955">
        <f t="shared" ca="1" si="48"/>
        <v>0</v>
      </c>
      <c r="Y209" s="955">
        <f t="shared" ca="1" si="48"/>
        <v>0</v>
      </c>
      <c r="Z209" s="955">
        <f t="shared" ca="1" si="48"/>
        <v>0</v>
      </c>
      <c r="AA209" s="955">
        <f t="shared" ca="1" si="48"/>
        <v>0</v>
      </c>
      <c r="AB209" s="195"/>
      <c r="AC209" s="954"/>
    </row>
    <row r="210" spans="1:29" x14ac:dyDescent="0.45">
      <c r="A210" s="952"/>
      <c r="B210" s="195"/>
      <c r="C210" s="195" t="s">
        <v>397</v>
      </c>
      <c r="D210" s="195"/>
      <c r="E210" s="195"/>
      <c r="F210" s="195"/>
      <c r="G210" s="195" t="str">
        <f>+C65</f>
        <v>Base Annual RfR Deposit</v>
      </c>
      <c r="H210" s="955">
        <f t="shared" ref="H210:AA210" si="49">+H65</f>
        <v>253536</v>
      </c>
      <c r="I210" s="955">
        <f t="shared" si="49"/>
        <v>253536</v>
      </c>
      <c r="J210" s="955">
        <f t="shared" si="49"/>
        <v>253536</v>
      </c>
      <c r="K210" s="955">
        <f t="shared" si="49"/>
        <v>253536</v>
      </c>
      <c r="L210" s="955">
        <f t="shared" si="49"/>
        <v>253536</v>
      </c>
      <c r="M210" s="955">
        <f t="shared" si="49"/>
        <v>253536</v>
      </c>
      <c r="N210" s="955">
        <f t="shared" si="49"/>
        <v>253536</v>
      </c>
      <c r="O210" s="955">
        <f t="shared" si="49"/>
        <v>253536</v>
      </c>
      <c r="P210" s="955">
        <f t="shared" si="49"/>
        <v>253536</v>
      </c>
      <c r="Q210" s="955">
        <f t="shared" si="49"/>
        <v>253536</v>
      </c>
      <c r="R210" s="955">
        <f t="shared" si="49"/>
        <v>253536</v>
      </c>
      <c r="S210" s="955">
        <f t="shared" si="49"/>
        <v>253536</v>
      </c>
      <c r="T210" s="955">
        <f t="shared" si="49"/>
        <v>253536</v>
      </c>
      <c r="U210" s="955">
        <f t="shared" si="49"/>
        <v>253536</v>
      </c>
      <c r="V210" s="955">
        <f t="shared" si="49"/>
        <v>253536</v>
      </c>
      <c r="W210" s="955">
        <f t="shared" si="49"/>
        <v>253536</v>
      </c>
      <c r="X210" s="955">
        <f t="shared" si="49"/>
        <v>253536</v>
      </c>
      <c r="Y210" s="955">
        <f t="shared" si="49"/>
        <v>253536</v>
      </c>
      <c r="Z210" s="955">
        <f t="shared" si="49"/>
        <v>253536</v>
      </c>
      <c r="AA210" s="955">
        <f t="shared" si="49"/>
        <v>253536</v>
      </c>
      <c r="AB210" s="195"/>
      <c r="AC210" s="954"/>
    </row>
    <row r="211" spans="1:29" x14ac:dyDescent="0.45">
      <c r="A211" s="952"/>
      <c r="B211" s="195"/>
      <c r="C211" s="195" t="s">
        <v>397</v>
      </c>
      <c r="D211" s="195"/>
      <c r="E211" s="195"/>
      <c r="F211" s="195"/>
      <c r="G211" s="195" t="str">
        <f>+C68</f>
        <v>Inflationary Increase in Annual Deposit</v>
      </c>
      <c r="H211" s="955">
        <f t="shared" ref="H211:AA211" si="50">+H68</f>
        <v>0</v>
      </c>
      <c r="I211" s="955">
        <f t="shared" ca="1" si="50"/>
        <v>5070.7200000000048</v>
      </c>
      <c r="J211" s="955">
        <f t="shared" ca="1" si="50"/>
        <v>10242.854399999998</v>
      </c>
      <c r="K211" s="955">
        <f t="shared" ca="1" si="50"/>
        <v>15518.431487999982</v>
      </c>
      <c r="L211" s="955">
        <f t="shared" ca="1" si="50"/>
        <v>20899.520117759996</v>
      </c>
      <c r="M211" s="955">
        <f t="shared" ca="1" si="50"/>
        <v>26388.230520115205</v>
      </c>
      <c r="N211" s="955">
        <f t="shared" ca="1" si="50"/>
        <v>31986.715130517521</v>
      </c>
      <c r="O211" s="955">
        <f t="shared" ca="1" si="50"/>
        <v>37697.169433127863</v>
      </c>
      <c r="P211" s="955">
        <f t="shared" ca="1" si="50"/>
        <v>43521.832821790449</v>
      </c>
      <c r="Q211" s="955">
        <f t="shared" ca="1" si="50"/>
        <v>49462.989478226256</v>
      </c>
      <c r="R211" s="955">
        <f t="shared" ca="1" si="50"/>
        <v>55522.969267790795</v>
      </c>
      <c r="S211" s="955">
        <f t="shared" ca="1" si="50"/>
        <v>61704.148653146607</v>
      </c>
      <c r="T211" s="955">
        <f t="shared" ca="1" si="50"/>
        <v>68008.951626209528</v>
      </c>
      <c r="U211" s="955">
        <f t="shared" ca="1" si="50"/>
        <v>74439.850658733703</v>
      </c>
      <c r="V211" s="955">
        <f t="shared" ca="1" si="50"/>
        <v>80999.367671908403</v>
      </c>
      <c r="W211" s="955">
        <f t="shared" ca="1" si="50"/>
        <v>87690.075025346596</v>
      </c>
      <c r="X211" s="955">
        <f t="shared" ca="1" si="50"/>
        <v>94514.596525853529</v>
      </c>
      <c r="Y211" s="955">
        <f t="shared" ca="1" si="50"/>
        <v>101475.60845637062</v>
      </c>
      <c r="Z211" s="955">
        <f t="shared" ca="1" si="50"/>
        <v>108575.84062549805</v>
      </c>
      <c r="AA211" s="955">
        <f t="shared" ca="1" si="50"/>
        <v>115818.077438008</v>
      </c>
      <c r="AB211" s="195"/>
      <c r="AC211" s="954"/>
    </row>
    <row r="212" spans="1:29" x14ac:dyDescent="0.45">
      <c r="A212" s="952"/>
      <c r="B212" s="195"/>
      <c r="C212" s="195" t="s">
        <v>397</v>
      </c>
      <c r="D212" s="195"/>
      <c r="E212" s="195"/>
      <c r="F212" s="195"/>
      <c r="G212" s="195" t="str">
        <f>+C83</f>
        <v>Note: Highest Annual Withdrawal to equalize Sources and Needs graphs scales</v>
      </c>
      <c r="H212" s="955">
        <f t="shared" ref="H212:AB212" si="51">+H83</f>
        <v>0</v>
      </c>
      <c r="I212" s="955">
        <f t="shared" si="51"/>
        <v>0</v>
      </c>
      <c r="J212" s="955">
        <f t="shared" si="51"/>
        <v>0</v>
      </c>
      <c r="K212" s="955">
        <f t="shared" si="51"/>
        <v>0</v>
      </c>
      <c r="L212" s="955">
        <f t="shared" si="51"/>
        <v>0</v>
      </c>
      <c r="M212" s="955">
        <f t="shared" si="51"/>
        <v>0</v>
      </c>
      <c r="N212" s="955">
        <f t="shared" si="51"/>
        <v>0</v>
      </c>
      <c r="O212" s="955">
        <f t="shared" si="51"/>
        <v>0</v>
      </c>
      <c r="P212" s="955">
        <f t="shared" si="51"/>
        <v>0</v>
      </c>
      <c r="Q212" s="955">
        <f t="shared" si="51"/>
        <v>0</v>
      </c>
      <c r="R212" s="955">
        <f t="shared" si="51"/>
        <v>0</v>
      </c>
      <c r="S212" s="955">
        <f t="shared" si="51"/>
        <v>0</v>
      </c>
      <c r="T212" s="955">
        <f t="shared" si="51"/>
        <v>0</v>
      </c>
      <c r="U212" s="955">
        <f t="shared" si="51"/>
        <v>0</v>
      </c>
      <c r="V212" s="955">
        <f t="shared" si="51"/>
        <v>0</v>
      </c>
      <c r="W212" s="955">
        <f t="shared" si="51"/>
        <v>0</v>
      </c>
      <c r="X212" s="955">
        <f t="shared" si="51"/>
        <v>0</v>
      </c>
      <c r="Y212" s="955">
        <f t="shared" si="51"/>
        <v>0</v>
      </c>
      <c r="Z212" s="955">
        <f t="shared" si="51"/>
        <v>0</v>
      </c>
      <c r="AA212" s="955">
        <f t="shared" si="51"/>
        <v>0</v>
      </c>
      <c r="AB212" s="955">
        <f t="shared" si="51"/>
        <v>860042.46</v>
      </c>
      <c r="AC212" s="954"/>
    </row>
    <row r="213" spans="1:29" ht="14.65" thickBot="1" x14ac:dyDescent="0.5">
      <c r="A213" s="952"/>
      <c r="B213" s="195"/>
      <c r="C213" s="195" t="s">
        <v>397</v>
      </c>
      <c r="D213" s="195"/>
      <c r="E213" s="195"/>
      <c r="F213" s="195"/>
      <c r="G213" s="195" t="s">
        <v>398</v>
      </c>
      <c r="H213" s="956">
        <f ca="1">+H209+H210+H211</f>
        <v>258205.25</v>
      </c>
      <c r="I213" s="956">
        <f t="shared" ref="I213:W213" ca="1" si="52">+I209+I210+I211</f>
        <v>265858.02250000002</v>
      </c>
      <c r="J213" s="956">
        <f t="shared" ca="1" si="52"/>
        <v>278643.6784875</v>
      </c>
      <c r="K213" s="956">
        <f t="shared" ca="1" si="52"/>
        <v>282922.49445281248</v>
      </c>
      <c r="L213" s="956">
        <f t="shared" ca="1" si="52"/>
        <v>288229.69419936469</v>
      </c>
      <c r="M213" s="956">
        <f t="shared" ca="1" si="52"/>
        <v>290330.39771471033</v>
      </c>
      <c r="N213" s="956">
        <f t="shared" ca="1" si="52"/>
        <v>293182.84549083334</v>
      </c>
      <c r="O213" s="956">
        <f t="shared" ca="1" si="52"/>
        <v>296901.58052580617</v>
      </c>
      <c r="P213" s="956">
        <f t="shared" ca="1" si="52"/>
        <v>303080.37367235584</v>
      </c>
      <c r="Q213" s="956">
        <f t="shared" ca="1" si="52"/>
        <v>310213.71853387699</v>
      </c>
      <c r="R213" s="956">
        <f t="shared" ca="1" si="52"/>
        <v>315565.57350144972</v>
      </c>
      <c r="S213" s="956">
        <f t="shared" ca="1" si="52"/>
        <v>315240.14865314658</v>
      </c>
      <c r="T213" s="956">
        <f t="shared" ca="1" si="52"/>
        <v>321544.95162620954</v>
      </c>
      <c r="U213" s="956">
        <f t="shared" ca="1" si="52"/>
        <v>327975.85065873369</v>
      </c>
      <c r="V213" s="956">
        <f t="shared" ca="1" si="52"/>
        <v>334535.3676719084</v>
      </c>
      <c r="W213" s="956">
        <f t="shared" ca="1" si="52"/>
        <v>341226.0750253466</v>
      </c>
      <c r="X213" s="956">
        <f t="shared" ref="X213:AA213" ca="1" si="53">+X209+X210+X211</f>
        <v>348050.5965258535</v>
      </c>
      <c r="Y213" s="956">
        <f t="shared" ca="1" si="53"/>
        <v>355011.60845637065</v>
      </c>
      <c r="Z213" s="956">
        <f t="shared" ca="1" si="53"/>
        <v>362111.84062549804</v>
      </c>
      <c r="AA213" s="956">
        <f t="shared" ca="1" si="53"/>
        <v>369354.07743800798</v>
      </c>
      <c r="AB213" s="195"/>
      <c r="AC213" s="954"/>
    </row>
    <row r="214" spans="1:29" ht="14.65" thickTop="1" x14ac:dyDescent="0.45">
      <c r="A214" s="952"/>
      <c r="B214" s="195"/>
      <c r="C214" s="195" t="s">
        <v>397</v>
      </c>
      <c r="D214" s="195"/>
      <c r="E214" s="195"/>
      <c r="F214" s="195"/>
      <c r="G214" s="195"/>
      <c r="H214" s="195"/>
      <c r="I214" s="195"/>
      <c r="J214" s="195"/>
      <c r="K214" s="195"/>
      <c r="L214" s="195"/>
      <c r="M214" s="195"/>
      <c r="N214" s="195"/>
      <c r="O214" s="195"/>
      <c r="P214" s="195"/>
      <c r="Q214" s="195"/>
      <c r="R214" s="195"/>
      <c r="S214" s="195"/>
      <c r="T214" s="195"/>
      <c r="U214" s="195"/>
      <c r="V214" s="195"/>
      <c r="W214" s="195"/>
      <c r="X214" s="195"/>
      <c r="Y214" s="195"/>
      <c r="Z214" s="195"/>
      <c r="AA214" s="195"/>
      <c r="AB214" s="195"/>
      <c r="AC214" s="954"/>
    </row>
    <row r="215" spans="1:29" x14ac:dyDescent="0.45">
      <c r="A215" s="952"/>
      <c r="B215" s="195"/>
      <c r="C215" s="195" t="s">
        <v>397</v>
      </c>
      <c r="D215" s="195"/>
      <c r="E215" s="195"/>
      <c r="F215" s="195"/>
      <c r="G215" s="195" t="str">
        <f>+G208</f>
        <v>Year of Deposit or Withdraw</v>
      </c>
      <c r="H215" s="957">
        <f>+H208</f>
        <v>1</v>
      </c>
      <c r="I215" s="957">
        <f t="shared" ref="I215:W215" si="54">+I208</f>
        <v>2</v>
      </c>
      <c r="J215" s="957">
        <f t="shared" si="54"/>
        <v>3</v>
      </c>
      <c r="K215" s="957">
        <f t="shared" si="54"/>
        <v>4</v>
      </c>
      <c r="L215" s="957">
        <f t="shared" si="54"/>
        <v>5</v>
      </c>
      <c r="M215" s="957">
        <f t="shared" si="54"/>
        <v>6</v>
      </c>
      <c r="N215" s="957">
        <f t="shared" si="54"/>
        <v>7</v>
      </c>
      <c r="O215" s="957">
        <f t="shared" si="54"/>
        <v>8</v>
      </c>
      <c r="P215" s="957">
        <f t="shared" si="54"/>
        <v>9</v>
      </c>
      <c r="Q215" s="957">
        <f t="shared" si="54"/>
        <v>10</v>
      </c>
      <c r="R215" s="957">
        <f t="shared" si="54"/>
        <v>11</v>
      </c>
      <c r="S215" s="957">
        <f t="shared" si="54"/>
        <v>12</v>
      </c>
      <c r="T215" s="957">
        <f t="shared" si="54"/>
        <v>13</v>
      </c>
      <c r="U215" s="957">
        <f t="shared" si="54"/>
        <v>14</v>
      </c>
      <c r="V215" s="957">
        <f t="shared" si="54"/>
        <v>15</v>
      </c>
      <c r="W215" s="957">
        <f t="shared" si="54"/>
        <v>16</v>
      </c>
      <c r="X215" s="957">
        <f t="shared" ref="X215:AA215" si="55">+X208</f>
        <v>17</v>
      </c>
      <c r="Y215" s="957">
        <f t="shared" si="55"/>
        <v>18</v>
      </c>
      <c r="Z215" s="957">
        <f t="shared" si="55"/>
        <v>19</v>
      </c>
      <c r="AA215" s="957">
        <f t="shared" si="55"/>
        <v>20</v>
      </c>
      <c r="AB215" s="195"/>
      <c r="AC215" s="954"/>
    </row>
    <row r="216" spans="1:29" x14ac:dyDescent="0.45">
      <c r="A216" s="952"/>
      <c r="B216" s="195"/>
      <c r="C216" s="195" t="s">
        <v>397</v>
      </c>
      <c r="D216" s="195"/>
      <c r="E216" s="195"/>
      <c r="F216" s="195"/>
      <c r="G216" s="195" t="str">
        <f>+C73</f>
        <v>Duration Adjusted Uninflated Needs</v>
      </c>
      <c r="H216" s="958">
        <f t="shared" ref="H216:AA216" si="56">+H73</f>
        <v>0</v>
      </c>
      <c r="I216" s="958">
        <f t="shared" ca="1" si="56"/>
        <v>0</v>
      </c>
      <c r="J216" s="958">
        <f t="shared" ca="1" si="56"/>
        <v>-331693.98308342946</v>
      </c>
      <c r="K216" s="958">
        <f t="shared" ca="1" si="56"/>
        <v>-271245.99513007817</v>
      </c>
      <c r="L216" s="958">
        <f t="shared" ca="1" si="56"/>
        <v>-474945.99569177622</v>
      </c>
      <c r="M216" s="958">
        <f t="shared" ca="1" si="56"/>
        <v>-428772.53062269348</v>
      </c>
      <c r="N216" s="958">
        <f t="shared" ca="1" si="56"/>
        <v>-378243.95727783878</v>
      </c>
      <c r="O216" s="958">
        <f t="shared" ca="1" si="56"/>
        <v>-237917.94195471983</v>
      </c>
      <c r="P216" s="958">
        <f t="shared" ca="1" si="56"/>
        <v>-190841.43704693948</v>
      </c>
      <c r="Q216" s="958">
        <f t="shared" ca="1" si="56"/>
        <v>-299074.7741089479</v>
      </c>
      <c r="R216" s="958">
        <f t="shared" ca="1" si="56"/>
        <v>-705534.36988144612</v>
      </c>
      <c r="S216" s="958">
        <f t="shared" ca="1" si="56"/>
        <v>-655892.71428081521</v>
      </c>
      <c r="T216" s="958">
        <f t="shared" ca="1" si="56"/>
        <v>-574115.79016062117</v>
      </c>
      <c r="U216" s="958">
        <f t="shared" ca="1" si="56"/>
        <v>-213743.02163479498</v>
      </c>
      <c r="V216" s="958">
        <f t="shared" ca="1" si="56"/>
        <v>-537839.69084327342</v>
      </c>
      <c r="W216" s="958">
        <f t="shared" ca="1" si="56"/>
        <v>-497876.20446913538</v>
      </c>
      <c r="X216" s="958">
        <f t="shared" ca="1" si="56"/>
        <v>-462457.86771074776</v>
      </c>
      <c r="Y216" s="958">
        <f t="shared" ca="1" si="56"/>
        <v>-220338.69000814162</v>
      </c>
      <c r="Z216" s="958">
        <f t="shared" ca="1" si="56"/>
        <v>-118684.16968548525</v>
      </c>
      <c r="AA216" s="958">
        <f t="shared" ca="1" si="56"/>
        <v>-105772.50017421845</v>
      </c>
      <c r="AB216" s="195"/>
      <c r="AC216" s="954"/>
    </row>
    <row r="217" spans="1:29" x14ac:dyDescent="0.45">
      <c r="A217" s="952"/>
      <c r="B217" s="195"/>
      <c r="C217" s="195" t="s">
        <v>397</v>
      </c>
      <c r="D217" s="195"/>
      <c r="E217" s="195"/>
      <c r="F217" s="195"/>
      <c r="G217" s="195" t="str">
        <f>+C76</f>
        <v>Inflation in Needs Amount</v>
      </c>
      <c r="H217" s="958">
        <f t="shared" ref="H217:AA217" si="57">+H76</f>
        <v>0</v>
      </c>
      <c r="I217" s="958">
        <f t="shared" ca="1" si="57"/>
        <v>0</v>
      </c>
      <c r="J217" s="958">
        <f t="shared" ca="1" si="57"/>
        <v>-13400.436916570547</v>
      </c>
      <c r="K217" s="958">
        <f t="shared" ca="1" si="57"/>
        <v>-16602.424869921804</v>
      </c>
      <c r="L217" s="958">
        <f t="shared" ca="1" si="57"/>
        <v>-39150.824308223797</v>
      </c>
      <c r="M217" s="958">
        <f t="shared" ca="1" si="57"/>
        <v>-44626.989377306541</v>
      </c>
      <c r="N217" s="958">
        <f t="shared" ca="1" si="57"/>
        <v>-47720.172722161224</v>
      </c>
      <c r="O217" s="958">
        <f t="shared" ca="1" si="57"/>
        <v>-35374.988045280174</v>
      </c>
      <c r="P217" s="958">
        <f t="shared" ca="1" si="57"/>
        <v>-32759.722953060496</v>
      </c>
      <c r="Q217" s="958">
        <f t="shared" ca="1" si="57"/>
        <v>-58347.265891052099</v>
      </c>
      <c r="R217" s="958">
        <f t="shared" ca="1" si="57"/>
        <v>-154508.09011855387</v>
      </c>
      <c r="S217" s="958">
        <f t="shared" ca="1" si="57"/>
        <v>-159627.43571918478</v>
      </c>
      <c r="T217" s="958">
        <f t="shared" ca="1" si="57"/>
        <v>-154001.84983937882</v>
      </c>
      <c r="U217" s="958">
        <f t="shared" ca="1" si="57"/>
        <v>-62756.368365205039</v>
      </c>
      <c r="V217" s="958">
        <f t="shared" ca="1" si="57"/>
        <v>-171828.35915672668</v>
      </c>
      <c r="W217" s="958">
        <f t="shared" ca="1" si="57"/>
        <v>-172199.6155308646</v>
      </c>
      <c r="X217" s="958">
        <f t="shared" ca="1" si="57"/>
        <v>-172397.68228925229</v>
      </c>
      <c r="Y217" s="958">
        <f t="shared" ca="1" si="57"/>
        <v>-88188.669991858362</v>
      </c>
      <c r="Z217" s="958">
        <f t="shared" ca="1" si="57"/>
        <v>-50826.05031451476</v>
      </c>
      <c r="AA217" s="958">
        <f t="shared" ca="1" si="57"/>
        <v>-48318.059825781536</v>
      </c>
      <c r="AB217" s="195"/>
      <c r="AC217" s="954"/>
    </row>
    <row r="218" spans="1:29" ht="14.65" thickBot="1" x14ac:dyDescent="0.5">
      <c r="A218" s="952"/>
      <c r="B218" s="195"/>
      <c r="C218" s="195" t="s">
        <v>397</v>
      </c>
      <c r="D218" s="195"/>
      <c r="E218" s="195"/>
      <c r="F218" s="195"/>
      <c r="G218" s="195" t="s">
        <v>399</v>
      </c>
      <c r="H218" s="959">
        <f>+H216+H217</f>
        <v>0</v>
      </c>
      <c r="I218" s="959">
        <f t="shared" ref="I218:W218" ca="1" si="58">+I216+I217</f>
        <v>0</v>
      </c>
      <c r="J218" s="959">
        <f t="shared" ca="1" si="58"/>
        <v>-345094.42</v>
      </c>
      <c r="K218" s="959">
        <f t="shared" ca="1" si="58"/>
        <v>-287848.42</v>
      </c>
      <c r="L218" s="959">
        <f t="shared" ca="1" si="58"/>
        <v>-514096.82</v>
      </c>
      <c r="M218" s="959">
        <f t="shared" ca="1" si="58"/>
        <v>-473399.52</v>
      </c>
      <c r="N218" s="959">
        <f t="shared" ca="1" si="58"/>
        <v>-425964.13</v>
      </c>
      <c r="O218" s="959">
        <f t="shared" ca="1" si="58"/>
        <v>-273292.93</v>
      </c>
      <c r="P218" s="959">
        <f t="shared" ca="1" si="58"/>
        <v>-223601.15999999997</v>
      </c>
      <c r="Q218" s="959">
        <f t="shared" ca="1" si="58"/>
        <v>-357422.04</v>
      </c>
      <c r="R218" s="959">
        <f t="shared" ca="1" si="58"/>
        <v>-860042.46</v>
      </c>
      <c r="S218" s="959">
        <f t="shared" ca="1" si="58"/>
        <v>-815520.15</v>
      </c>
      <c r="T218" s="959">
        <f t="shared" ca="1" si="58"/>
        <v>-728117.64</v>
      </c>
      <c r="U218" s="959">
        <f t="shared" ca="1" si="58"/>
        <v>-276499.39</v>
      </c>
      <c r="V218" s="959">
        <f t="shared" ca="1" si="58"/>
        <v>-709668.05</v>
      </c>
      <c r="W218" s="959">
        <f t="shared" ca="1" si="58"/>
        <v>-670075.81999999995</v>
      </c>
      <c r="X218" s="959">
        <f t="shared" ref="X218:AA218" ca="1" si="59">+X216+X217</f>
        <v>-634855.55000000005</v>
      </c>
      <c r="Y218" s="959">
        <f t="shared" ca="1" si="59"/>
        <v>-308527.35999999999</v>
      </c>
      <c r="Z218" s="959">
        <f t="shared" ca="1" si="59"/>
        <v>-169510.22</v>
      </c>
      <c r="AA218" s="959">
        <f t="shared" ca="1" si="59"/>
        <v>-154090.56</v>
      </c>
      <c r="AB218" s="195"/>
      <c r="AC218" s="954"/>
    </row>
    <row r="219" spans="1:29" ht="14.65" thickTop="1" x14ac:dyDescent="0.45">
      <c r="A219" s="952"/>
      <c r="B219" s="195"/>
      <c r="C219" s="195" t="s">
        <v>397</v>
      </c>
      <c r="D219" s="195"/>
      <c r="E219" s="195"/>
      <c r="F219" s="195"/>
      <c r="G219" s="195"/>
      <c r="H219" s="195"/>
      <c r="I219" s="195"/>
      <c r="J219" s="195"/>
      <c r="K219" s="195"/>
      <c r="L219" s="195"/>
      <c r="M219" s="195"/>
      <c r="N219" s="195"/>
      <c r="O219" s="195"/>
      <c r="P219" s="195"/>
      <c r="Q219" s="195"/>
      <c r="R219" s="195"/>
      <c r="S219" s="195"/>
      <c r="T219" s="195"/>
      <c r="U219" s="195"/>
      <c r="V219" s="195"/>
      <c r="W219" s="195"/>
      <c r="X219" s="195"/>
      <c r="Y219" s="195"/>
      <c r="Z219" s="195"/>
      <c r="AA219" s="195"/>
      <c r="AB219" s="195"/>
      <c r="AC219" s="954"/>
    </row>
    <row r="220" spans="1:29" x14ac:dyDescent="0.45">
      <c r="A220" s="952"/>
      <c r="B220" s="195"/>
      <c r="C220" s="195" t="s">
        <v>397</v>
      </c>
      <c r="D220" s="195"/>
      <c r="E220" s="195"/>
      <c r="F220" s="195"/>
      <c r="G220" s="195"/>
      <c r="H220" s="195"/>
      <c r="I220" s="195"/>
      <c r="J220" s="195"/>
      <c r="K220" s="195"/>
      <c r="L220" s="195"/>
      <c r="M220" s="195"/>
      <c r="N220" s="195"/>
      <c r="O220" s="195"/>
      <c r="P220" s="195"/>
      <c r="Q220" s="195"/>
      <c r="R220" s="195"/>
      <c r="S220" s="195"/>
      <c r="T220" s="195"/>
      <c r="U220" s="195"/>
      <c r="V220" s="195"/>
      <c r="W220" s="195"/>
      <c r="X220" s="195"/>
      <c r="Y220" s="195"/>
      <c r="Z220" s="195"/>
      <c r="AA220" s="195"/>
      <c r="AB220" s="195"/>
      <c r="AC220" s="954"/>
    </row>
    <row r="221" spans="1:29" x14ac:dyDescent="0.45">
      <c r="A221" s="952"/>
      <c r="B221" s="195"/>
      <c r="C221" s="195" t="s">
        <v>397</v>
      </c>
      <c r="D221" s="195"/>
      <c r="E221" s="195"/>
      <c r="F221" s="195"/>
      <c r="G221" s="195" t="str">
        <f>+G208</f>
        <v>Year of Deposit or Withdraw</v>
      </c>
      <c r="H221" s="957">
        <f>+H208</f>
        <v>1</v>
      </c>
      <c r="I221" s="957">
        <f t="shared" ref="I221:W221" si="60">+I208</f>
        <v>2</v>
      </c>
      <c r="J221" s="957">
        <f t="shared" si="60"/>
        <v>3</v>
      </c>
      <c r="K221" s="957">
        <f t="shared" si="60"/>
        <v>4</v>
      </c>
      <c r="L221" s="957">
        <f t="shared" si="60"/>
        <v>5</v>
      </c>
      <c r="M221" s="957">
        <f t="shared" si="60"/>
        <v>6</v>
      </c>
      <c r="N221" s="957">
        <f t="shared" si="60"/>
        <v>7</v>
      </c>
      <c r="O221" s="957">
        <f t="shared" si="60"/>
        <v>8</v>
      </c>
      <c r="P221" s="957">
        <f t="shared" si="60"/>
        <v>9</v>
      </c>
      <c r="Q221" s="957">
        <f t="shared" si="60"/>
        <v>10</v>
      </c>
      <c r="R221" s="957">
        <f t="shared" si="60"/>
        <v>11</v>
      </c>
      <c r="S221" s="957">
        <f t="shared" si="60"/>
        <v>12</v>
      </c>
      <c r="T221" s="957">
        <f t="shared" si="60"/>
        <v>13</v>
      </c>
      <c r="U221" s="957">
        <f t="shared" si="60"/>
        <v>14</v>
      </c>
      <c r="V221" s="957">
        <f t="shared" si="60"/>
        <v>15</v>
      </c>
      <c r="W221" s="957">
        <f t="shared" si="60"/>
        <v>16</v>
      </c>
      <c r="X221" s="957">
        <f t="shared" ref="X221:AA221" si="61">+X208</f>
        <v>17</v>
      </c>
      <c r="Y221" s="957">
        <f t="shared" si="61"/>
        <v>18</v>
      </c>
      <c r="Z221" s="957">
        <f t="shared" si="61"/>
        <v>19</v>
      </c>
      <c r="AA221" s="957">
        <f t="shared" si="61"/>
        <v>20</v>
      </c>
      <c r="AB221" s="195"/>
      <c r="AC221" s="954"/>
    </row>
    <row r="222" spans="1:29" ht="14.65" thickBot="1" x14ac:dyDescent="0.5">
      <c r="A222" s="952"/>
      <c r="B222" s="195"/>
      <c r="C222" s="195" t="s">
        <v>397</v>
      </c>
      <c r="D222" s="195"/>
      <c r="E222" s="195"/>
      <c r="F222" s="195"/>
      <c r="G222" s="195" t="s">
        <v>400</v>
      </c>
      <c r="H222" s="960">
        <f ca="1">+H213+H218</f>
        <v>258205.25</v>
      </c>
      <c r="I222" s="960">
        <f t="shared" ref="I222:AA222" ca="1" si="62">+I213+I218</f>
        <v>265858.02250000002</v>
      </c>
      <c r="J222" s="960">
        <f t="shared" ca="1" si="62"/>
        <v>-66450.741512499982</v>
      </c>
      <c r="K222" s="960">
        <f t="shared" ca="1" si="62"/>
        <v>-4925.9255471875076</v>
      </c>
      <c r="L222" s="960">
        <f t="shared" ca="1" si="62"/>
        <v>-225867.12580063532</v>
      </c>
      <c r="M222" s="960">
        <f t="shared" ca="1" si="62"/>
        <v>-183069.12228528969</v>
      </c>
      <c r="N222" s="960">
        <f t="shared" ca="1" si="62"/>
        <v>-132781.28450916667</v>
      </c>
      <c r="O222" s="960">
        <f t="shared" ca="1" si="62"/>
        <v>23608.650525806181</v>
      </c>
      <c r="P222" s="960">
        <f t="shared" ca="1" si="62"/>
        <v>79479.213672355865</v>
      </c>
      <c r="Q222" s="960">
        <f t="shared" ca="1" si="62"/>
        <v>-47208.321466122987</v>
      </c>
      <c r="R222" s="960">
        <f t="shared" ca="1" si="62"/>
        <v>-544476.88649855019</v>
      </c>
      <c r="S222" s="960">
        <f t="shared" ca="1" si="62"/>
        <v>-500280.00134685345</v>
      </c>
      <c r="T222" s="960">
        <f t="shared" ca="1" si="62"/>
        <v>-406572.68837379047</v>
      </c>
      <c r="U222" s="960">
        <f t="shared" ca="1" si="62"/>
        <v>51476.460658733675</v>
      </c>
      <c r="V222" s="960">
        <f t="shared" ca="1" si="62"/>
        <v>-375132.68232809164</v>
      </c>
      <c r="W222" s="960">
        <f t="shared" ca="1" si="62"/>
        <v>-328849.74497465335</v>
      </c>
      <c r="X222" s="960">
        <f t="shared" ca="1" si="62"/>
        <v>-286804.95347414655</v>
      </c>
      <c r="Y222" s="960">
        <f t="shared" ca="1" si="62"/>
        <v>46484.248456370668</v>
      </c>
      <c r="Z222" s="960">
        <f t="shared" ca="1" si="62"/>
        <v>192601.62062549804</v>
      </c>
      <c r="AA222" s="960">
        <f t="shared" ca="1" si="62"/>
        <v>215263.51743800798</v>
      </c>
      <c r="AB222" s="195"/>
      <c r="AC222" s="954"/>
    </row>
    <row r="223" spans="1:29" ht="14.65" thickTop="1" x14ac:dyDescent="0.45">
      <c r="A223" s="952"/>
      <c r="B223" s="195"/>
      <c r="C223" s="195" t="s">
        <v>397</v>
      </c>
      <c r="D223" s="195"/>
      <c r="E223" s="195"/>
      <c r="F223" s="195"/>
      <c r="G223" s="195"/>
      <c r="H223" s="195"/>
      <c r="I223" s="195"/>
      <c r="J223" s="195"/>
      <c r="K223" s="195"/>
      <c r="L223" s="195"/>
      <c r="M223" s="195"/>
      <c r="N223" s="195"/>
      <c r="O223" s="195"/>
      <c r="P223" s="195"/>
      <c r="Q223" s="195"/>
      <c r="R223" s="195"/>
      <c r="S223" s="195"/>
      <c r="T223" s="195"/>
      <c r="U223" s="195"/>
      <c r="V223" s="195"/>
      <c r="W223" s="195"/>
      <c r="X223" s="195"/>
      <c r="Y223" s="195"/>
      <c r="Z223" s="195"/>
      <c r="AA223" s="195"/>
      <c r="AB223" s="195"/>
      <c r="AC223" s="954"/>
    </row>
    <row r="224" spans="1:29" x14ac:dyDescent="0.45">
      <c r="A224" s="952"/>
      <c r="B224" s="195"/>
      <c r="C224" s="195" t="s">
        <v>397</v>
      </c>
      <c r="D224" s="195"/>
      <c r="E224" s="195"/>
      <c r="F224" s="195"/>
      <c r="G224" s="195"/>
      <c r="H224" s="195"/>
      <c r="I224" s="195"/>
      <c r="J224" s="195"/>
      <c r="K224" s="195"/>
      <c r="L224" s="195"/>
      <c r="M224" s="195"/>
      <c r="N224" s="195"/>
      <c r="O224" s="195"/>
      <c r="P224" s="195"/>
      <c r="Q224" s="195"/>
      <c r="R224" s="195"/>
      <c r="S224" s="195"/>
      <c r="T224" s="195"/>
      <c r="U224" s="195"/>
      <c r="V224" s="195"/>
      <c r="W224" s="195"/>
      <c r="X224" s="195"/>
      <c r="Y224" s="195"/>
      <c r="Z224" s="195"/>
      <c r="AA224" s="195"/>
      <c r="AB224" s="195"/>
      <c r="AC224" s="954"/>
    </row>
    <row r="225" spans="1:29" x14ac:dyDescent="0.45">
      <c r="A225" s="952"/>
      <c r="B225" s="195"/>
      <c r="C225" s="195" t="s">
        <v>397</v>
      </c>
      <c r="D225" s="195"/>
      <c r="E225" s="195"/>
      <c r="F225" s="195"/>
      <c r="G225" s="195"/>
      <c r="H225" s="195"/>
      <c r="I225" s="195"/>
      <c r="J225" s="195"/>
      <c r="K225" s="195"/>
      <c r="L225" s="195"/>
      <c r="M225" s="195"/>
      <c r="N225" s="195"/>
      <c r="O225" s="195"/>
      <c r="P225" s="195"/>
      <c r="Q225" s="195"/>
      <c r="R225" s="195"/>
      <c r="S225" s="195"/>
      <c r="T225" s="195"/>
      <c r="U225" s="195"/>
      <c r="V225" s="195"/>
      <c r="W225" s="195"/>
      <c r="X225" s="195"/>
      <c r="Y225" s="195"/>
      <c r="Z225" s="195"/>
      <c r="AA225" s="195"/>
      <c r="AB225" s="195"/>
      <c r="AC225" s="954"/>
    </row>
    <row r="226" spans="1:29" x14ac:dyDescent="0.45">
      <c r="A226" s="952"/>
      <c r="B226" s="195"/>
      <c r="C226" s="195" t="s">
        <v>397</v>
      </c>
      <c r="D226" s="195"/>
      <c r="E226" s="195"/>
      <c r="F226" s="195"/>
      <c r="G226" s="195" t="str">
        <f>+C57</f>
        <v>Year of Deposit or Withdraw</v>
      </c>
      <c r="H226" s="957">
        <f t="shared" ref="H226:AA226" si="63">+H57</f>
        <v>1</v>
      </c>
      <c r="I226" s="957">
        <f t="shared" si="63"/>
        <v>2</v>
      </c>
      <c r="J226" s="957">
        <f t="shared" si="63"/>
        <v>3</v>
      </c>
      <c r="K226" s="957">
        <f t="shared" si="63"/>
        <v>4</v>
      </c>
      <c r="L226" s="957">
        <f t="shared" si="63"/>
        <v>5</v>
      </c>
      <c r="M226" s="957">
        <f t="shared" si="63"/>
        <v>6</v>
      </c>
      <c r="N226" s="957">
        <f t="shared" si="63"/>
        <v>7</v>
      </c>
      <c r="O226" s="957">
        <f t="shared" si="63"/>
        <v>8</v>
      </c>
      <c r="P226" s="957">
        <f t="shared" si="63"/>
        <v>9</v>
      </c>
      <c r="Q226" s="957">
        <f t="shared" si="63"/>
        <v>10</v>
      </c>
      <c r="R226" s="957">
        <f t="shared" si="63"/>
        <v>11</v>
      </c>
      <c r="S226" s="957">
        <f t="shared" si="63"/>
        <v>12</v>
      </c>
      <c r="T226" s="957">
        <f t="shared" si="63"/>
        <v>13</v>
      </c>
      <c r="U226" s="957">
        <f t="shared" si="63"/>
        <v>14</v>
      </c>
      <c r="V226" s="957">
        <f t="shared" si="63"/>
        <v>15</v>
      </c>
      <c r="W226" s="957">
        <f t="shared" si="63"/>
        <v>16</v>
      </c>
      <c r="X226" s="957">
        <f t="shared" si="63"/>
        <v>17</v>
      </c>
      <c r="Y226" s="957">
        <f t="shared" si="63"/>
        <v>18</v>
      </c>
      <c r="Z226" s="957">
        <f t="shared" si="63"/>
        <v>19</v>
      </c>
      <c r="AA226" s="957">
        <f t="shared" si="63"/>
        <v>20</v>
      </c>
      <c r="AB226" s="195"/>
      <c r="AC226" s="954"/>
    </row>
    <row r="227" spans="1:29" x14ac:dyDescent="0.45">
      <c r="A227" s="952"/>
      <c r="B227" s="195"/>
      <c r="C227" s="195" t="s">
        <v>397</v>
      </c>
      <c r="D227" s="195"/>
      <c r="E227" s="195"/>
      <c r="F227" s="195"/>
      <c r="G227" s="195" t="str">
        <f>+C59</f>
        <v>Initial Deposit</v>
      </c>
      <c r="H227" s="788">
        <f>+H59</f>
        <v>466925</v>
      </c>
      <c r="I227" s="788">
        <f t="shared" ref="I227:AA227" si="64">+H227+I59</f>
        <v>466925</v>
      </c>
      <c r="J227" s="788">
        <f t="shared" si="64"/>
        <v>466925</v>
      </c>
      <c r="K227" s="788">
        <f t="shared" si="64"/>
        <v>466925</v>
      </c>
      <c r="L227" s="788">
        <f t="shared" si="64"/>
        <v>466925</v>
      </c>
      <c r="M227" s="788">
        <f t="shared" si="64"/>
        <v>466925</v>
      </c>
      <c r="N227" s="788">
        <f t="shared" si="64"/>
        <v>466925</v>
      </c>
      <c r="O227" s="788">
        <f t="shared" si="64"/>
        <v>466925</v>
      </c>
      <c r="P227" s="788">
        <f t="shared" si="64"/>
        <v>466925</v>
      </c>
      <c r="Q227" s="788">
        <f t="shared" si="64"/>
        <v>466925</v>
      </c>
      <c r="R227" s="788">
        <f>+Q227+R59</f>
        <v>466925</v>
      </c>
      <c r="S227" s="788">
        <f t="shared" si="64"/>
        <v>466925</v>
      </c>
      <c r="T227" s="788">
        <f t="shared" si="64"/>
        <v>466925</v>
      </c>
      <c r="U227" s="788">
        <f t="shared" si="64"/>
        <v>466925</v>
      </c>
      <c r="V227" s="788">
        <f t="shared" si="64"/>
        <v>466925</v>
      </c>
      <c r="W227" s="788">
        <f t="shared" si="64"/>
        <v>466925</v>
      </c>
      <c r="X227" s="788">
        <f t="shared" si="64"/>
        <v>466925</v>
      </c>
      <c r="Y227" s="788">
        <f t="shared" si="64"/>
        <v>466925</v>
      </c>
      <c r="Z227" s="788">
        <f t="shared" si="64"/>
        <v>466925</v>
      </c>
      <c r="AA227" s="788">
        <f t="shared" si="64"/>
        <v>466925</v>
      </c>
      <c r="AB227" s="195"/>
      <c r="AC227" s="954"/>
    </row>
    <row r="228" spans="1:29" x14ac:dyDescent="0.45">
      <c r="A228" s="952"/>
      <c r="B228" s="195"/>
      <c r="C228" s="195" t="s">
        <v>397</v>
      </c>
      <c r="D228" s="195"/>
      <c r="E228" s="195"/>
      <c r="F228" s="195"/>
      <c r="G228" s="195" t="str">
        <f>+C62</f>
        <v>Interest Income on RfR balance</v>
      </c>
      <c r="H228" s="788">
        <f ca="1">+H62</f>
        <v>4669.25</v>
      </c>
      <c r="I228" s="788">
        <f t="shared" ref="I228:AA228" ca="1" si="65">+H228+I62</f>
        <v>11920.5525</v>
      </c>
      <c r="J228" s="788">
        <f t="shared" ca="1" si="65"/>
        <v>26785.376587499999</v>
      </c>
      <c r="K228" s="788">
        <f t="shared" ca="1" si="65"/>
        <v>40653.439552312499</v>
      </c>
      <c r="L228" s="788">
        <f t="shared" ca="1" si="65"/>
        <v>54447.613633917186</v>
      </c>
      <c r="M228" s="788">
        <f t="shared" ca="1" si="65"/>
        <v>64853.780828512346</v>
      </c>
      <c r="N228" s="788">
        <f t="shared" ca="1" si="65"/>
        <v>72513.911188828162</v>
      </c>
      <c r="O228" s="788">
        <f t="shared" ca="1" si="65"/>
        <v>78182.322281506466</v>
      </c>
      <c r="P228" s="788">
        <f t="shared" ca="1" si="65"/>
        <v>84204.86313207187</v>
      </c>
      <c r="Q228" s="788">
        <f t="shared" ca="1" si="65"/>
        <v>91419.592187722606</v>
      </c>
      <c r="R228" s="788">
        <f t="shared" ca="1" si="65"/>
        <v>97926.196421381508</v>
      </c>
      <c r="S228" s="788">
        <f t="shared" ca="1" si="65"/>
        <v>97926.196421381508</v>
      </c>
      <c r="T228" s="788">
        <f t="shared" ca="1" si="65"/>
        <v>97926.196421381508</v>
      </c>
      <c r="U228" s="788">
        <f t="shared" ca="1" si="65"/>
        <v>97926.196421381508</v>
      </c>
      <c r="V228" s="788">
        <f t="shared" ca="1" si="65"/>
        <v>97926.196421381508</v>
      </c>
      <c r="W228" s="788">
        <f t="shared" ca="1" si="65"/>
        <v>97926.196421381508</v>
      </c>
      <c r="X228" s="788">
        <f t="shared" ca="1" si="65"/>
        <v>97926.196421381508</v>
      </c>
      <c r="Y228" s="788">
        <f t="shared" ca="1" si="65"/>
        <v>97926.196421381508</v>
      </c>
      <c r="Z228" s="788">
        <f t="shared" ca="1" si="65"/>
        <v>97926.196421381508</v>
      </c>
      <c r="AA228" s="788">
        <f t="shared" ca="1" si="65"/>
        <v>97926.196421381508</v>
      </c>
      <c r="AB228" s="195"/>
      <c r="AC228" s="954"/>
    </row>
    <row r="229" spans="1:29" x14ac:dyDescent="0.45">
      <c r="A229" s="952"/>
      <c r="B229" s="195"/>
      <c r="C229" s="195" t="s">
        <v>397</v>
      </c>
      <c r="D229" s="195"/>
      <c r="E229" s="195"/>
      <c r="F229" s="195"/>
      <c r="G229" s="195" t="str">
        <f>+C65</f>
        <v>Base Annual RfR Deposit</v>
      </c>
      <c r="H229" s="788">
        <f>+H65</f>
        <v>253536</v>
      </c>
      <c r="I229" s="788">
        <f t="shared" ref="I229:AA229" si="66">+H229+I65</f>
        <v>507072</v>
      </c>
      <c r="J229" s="788">
        <f t="shared" si="66"/>
        <v>760608</v>
      </c>
      <c r="K229" s="788">
        <f t="shared" si="66"/>
        <v>1014144</v>
      </c>
      <c r="L229" s="788">
        <f t="shared" si="66"/>
        <v>1267680</v>
      </c>
      <c r="M229" s="788">
        <f t="shared" si="66"/>
        <v>1521216</v>
      </c>
      <c r="N229" s="788">
        <f t="shared" si="66"/>
        <v>1774752</v>
      </c>
      <c r="O229" s="788">
        <f t="shared" si="66"/>
        <v>2028288</v>
      </c>
      <c r="P229" s="788">
        <f t="shared" si="66"/>
        <v>2281824</v>
      </c>
      <c r="Q229" s="788">
        <f t="shared" si="66"/>
        <v>2535360</v>
      </c>
      <c r="R229" s="788">
        <f t="shared" si="66"/>
        <v>2788896</v>
      </c>
      <c r="S229" s="788">
        <f t="shared" si="66"/>
        <v>3042432</v>
      </c>
      <c r="T229" s="788">
        <f t="shared" si="66"/>
        <v>3295968</v>
      </c>
      <c r="U229" s="788">
        <f t="shared" si="66"/>
        <v>3549504</v>
      </c>
      <c r="V229" s="788">
        <f t="shared" si="66"/>
        <v>3803040</v>
      </c>
      <c r="W229" s="788">
        <f t="shared" si="66"/>
        <v>4056576</v>
      </c>
      <c r="X229" s="788">
        <f t="shared" si="66"/>
        <v>4310112</v>
      </c>
      <c r="Y229" s="788">
        <f t="shared" si="66"/>
        <v>4563648</v>
      </c>
      <c r="Z229" s="788">
        <f t="shared" si="66"/>
        <v>4817184</v>
      </c>
      <c r="AA229" s="788">
        <f t="shared" si="66"/>
        <v>5070720</v>
      </c>
      <c r="AB229" s="195"/>
      <c r="AC229" s="954"/>
    </row>
    <row r="230" spans="1:29" x14ac:dyDescent="0.45">
      <c r="A230" s="952"/>
      <c r="B230" s="195"/>
      <c r="C230" s="195" t="s">
        <v>397</v>
      </c>
      <c r="D230" s="195"/>
      <c r="E230" s="195"/>
      <c r="F230" s="195"/>
      <c r="G230" s="195" t="str">
        <f>+C68</f>
        <v>Inflationary Increase in Annual Deposit</v>
      </c>
      <c r="H230" s="788">
        <f>+H68</f>
        <v>0</v>
      </c>
      <c r="I230" s="788">
        <f t="shared" ref="I230:AA230" ca="1" si="67">+H230+I68</f>
        <v>5070.7200000000048</v>
      </c>
      <c r="J230" s="788">
        <f t="shared" ca="1" si="67"/>
        <v>15313.574400000003</v>
      </c>
      <c r="K230" s="788">
        <f t="shared" ca="1" si="67"/>
        <v>30832.005887999985</v>
      </c>
      <c r="L230" s="788">
        <f t="shared" ca="1" si="67"/>
        <v>51731.526005759981</v>
      </c>
      <c r="M230" s="788">
        <f t="shared" ca="1" si="67"/>
        <v>78119.756525875186</v>
      </c>
      <c r="N230" s="788">
        <f t="shared" ca="1" si="67"/>
        <v>110106.47165639271</v>
      </c>
      <c r="O230" s="788">
        <f t="shared" ca="1" si="67"/>
        <v>147803.64108952056</v>
      </c>
      <c r="P230" s="788">
        <f t="shared" ca="1" si="67"/>
        <v>191325.47391131101</v>
      </c>
      <c r="Q230" s="788">
        <f t="shared" ca="1" si="67"/>
        <v>240788.46338953727</v>
      </c>
      <c r="R230" s="788">
        <f t="shared" ca="1" si="67"/>
        <v>296311.43265732809</v>
      </c>
      <c r="S230" s="788">
        <f t="shared" ca="1" si="67"/>
        <v>358015.58131047466</v>
      </c>
      <c r="T230" s="788">
        <f t="shared" ca="1" si="67"/>
        <v>426024.53293668421</v>
      </c>
      <c r="U230" s="788">
        <f t="shared" ca="1" si="67"/>
        <v>500464.38359541789</v>
      </c>
      <c r="V230" s="788">
        <f t="shared" ca="1" si="67"/>
        <v>581463.7512673263</v>
      </c>
      <c r="W230" s="788">
        <f t="shared" ca="1" si="67"/>
        <v>669153.82629267289</v>
      </c>
      <c r="X230" s="788">
        <f t="shared" ca="1" si="67"/>
        <v>763668.42281852639</v>
      </c>
      <c r="Y230" s="788">
        <f t="shared" ca="1" si="67"/>
        <v>865144.03127489705</v>
      </c>
      <c r="Z230" s="788">
        <f t="shared" ca="1" si="67"/>
        <v>973719.87190039514</v>
      </c>
      <c r="AA230" s="788">
        <f t="shared" ca="1" si="67"/>
        <v>1089537.9493384031</v>
      </c>
      <c r="AB230" s="195"/>
      <c r="AC230" s="954"/>
    </row>
    <row r="231" spans="1:29" ht="14.65" thickBot="1" x14ac:dyDescent="0.5">
      <c r="A231" s="952"/>
      <c r="B231" s="195"/>
      <c r="C231" s="195" t="s">
        <v>397</v>
      </c>
      <c r="D231" s="195"/>
      <c r="E231" s="195"/>
      <c r="F231" s="195"/>
      <c r="G231" s="195" t="s">
        <v>401</v>
      </c>
      <c r="H231" s="961">
        <f ca="1">SUM(H227:H230)</f>
        <v>725130.25</v>
      </c>
      <c r="I231" s="961">
        <f t="shared" ref="I231:W231" ca="1" si="68">SUM(I227:I230)</f>
        <v>990988.27249999996</v>
      </c>
      <c r="J231" s="961">
        <f t="shared" ca="1" si="68"/>
        <v>1269631.9509874999</v>
      </c>
      <c r="K231" s="961">
        <f t="shared" ca="1" si="68"/>
        <v>1552554.4454403124</v>
      </c>
      <c r="L231" s="961">
        <f t="shared" ca="1" si="68"/>
        <v>1840784.1396396772</v>
      </c>
      <c r="M231" s="961">
        <f t="shared" ca="1" si="68"/>
        <v>2131114.5373543873</v>
      </c>
      <c r="N231" s="961">
        <f t="shared" ca="1" si="68"/>
        <v>2424297.3828452211</v>
      </c>
      <c r="O231" s="961">
        <f t="shared" ca="1" si="68"/>
        <v>2721198.9633710268</v>
      </c>
      <c r="P231" s="961">
        <f t="shared" ca="1" si="68"/>
        <v>3024279.3370433827</v>
      </c>
      <c r="Q231" s="961">
        <f t="shared" ca="1" si="68"/>
        <v>3334493.05557726</v>
      </c>
      <c r="R231" s="961">
        <f t="shared" ca="1" si="68"/>
        <v>3650058.6290787095</v>
      </c>
      <c r="S231" s="961">
        <f t="shared" ca="1" si="68"/>
        <v>3965298.7777318563</v>
      </c>
      <c r="T231" s="961">
        <f t="shared" ca="1" si="68"/>
        <v>4286843.7293580659</v>
      </c>
      <c r="U231" s="961">
        <f t="shared" ca="1" si="68"/>
        <v>4614819.5800167993</v>
      </c>
      <c r="V231" s="961">
        <f t="shared" ca="1" si="68"/>
        <v>4949354.9476887072</v>
      </c>
      <c r="W231" s="961">
        <f t="shared" ca="1" si="68"/>
        <v>5290581.0227140542</v>
      </c>
      <c r="X231" s="961">
        <f t="shared" ref="X231:AA231" ca="1" si="69">SUM(X227:X230)</f>
        <v>5638631.6192399077</v>
      </c>
      <c r="Y231" s="961">
        <f t="shared" ca="1" si="69"/>
        <v>5993643.2276962781</v>
      </c>
      <c r="Z231" s="961">
        <f t="shared" ca="1" si="69"/>
        <v>6355755.0683217766</v>
      </c>
      <c r="AA231" s="961">
        <f t="shared" ca="1" si="69"/>
        <v>6725109.1457597837</v>
      </c>
      <c r="AB231" s="195"/>
      <c r="AC231" s="954"/>
    </row>
    <row r="232" spans="1:29" ht="14.65" thickTop="1" x14ac:dyDescent="0.45">
      <c r="A232" s="952"/>
      <c r="B232" s="195"/>
      <c r="C232" s="195" t="s">
        <v>397</v>
      </c>
      <c r="D232" s="195"/>
      <c r="E232" s="195"/>
      <c r="F232" s="195"/>
      <c r="G232" s="19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954"/>
    </row>
    <row r="233" spans="1:29" x14ac:dyDescent="0.45">
      <c r="A233" s="952"/>
      <c r="B233" s="195"/>
      <c r="C233" s="195" t="s">
        <v>397</v>
      </c>
      <c r="D233" s="195"/>
      <c r="E233" s="195"/>
      <c r="F233" s="195"/>
      <c r="G233" s="195"/>
      <c r="H233" s="195"/>
      <c r="I233" s="195"/>
      <c r="J233" s="195"/>
      <c r="K233" s="195"/>
      <c r="L233" s="195"/>
      <c r="M233" s="195"/>
      <c r="N233" s="195"/>
      <c r="O233" s="195"/>
      <c r="P233" s="195"/>
      <c r="Q233" s="195"/>
      <c r="R233" s="195"/>
      <c r="S233" s="195"/>
      <c r="T233" s="195"/>
      <c r="U233" s="195"/>
      <c r="V233" s="195"/>
      <c r="W233" s="195"/>
      <c r="X233" s="195"/>
      <c r="Y233" s="195"/>
      <c r="Z233" s="195"/>
      <c r="AA233" s="195"/>
      <c r="AB233" s="195"/>
      <c r="AC233" s="954"/>
    </row>
    <row r="234" spans="1:29" x14ac:dyDescent="0.45">
      <c r="A234" s="952"/>
      <c r="B234" s="195"/>
      <c r="C234" s="195" t="s">
        <v>397</v>
      </c>
      <c r="D234" s="195"/>
      <c r="E234" s="195"/>
      <c r="F234" s="195"/>
      <c r="G234" s="195" t="str">
        <f>+G226</f>
        <v>Year of Deposit or Withdraw</v>
      </c>
      <c r="H234" s="957">
        <f>+H226</f>
        <v>1</v>
      </c>
      <c r="I234" s="957">
        <f t="shared" ref="I234:W234" si="70">+I226</f>
        <v>2</v>
      </c>
      <c r="J234" s="957">
        <f t="shared" si="70"/>
        <v>3</v>
      </c>
      <c r="K234" s="957">
        <f t="shared" si="70"/>
        <v>4</v>
      </c>
      <c r="L234" s="957">
        <f t="shared" si="70"/>
        <v>5</v>
      </c>
      <c r="M234" s="957">
        <f t="shared" si="70"/>
        <v>6</v>
      </c>
      <c r="N234" s="957">
        <f t="shared" si="70"/>
        <v>7</v>
      </c>
      <c r="O234" s="957">
        <f t="shared" si="70"/>
        <v>8</v>
      </c>
      <c r="P234" s="957">
        <f t="shared" si="70"/>
        <v>9</v>
      </c>
      <c r="Q234" s="957">
        <f t="shared" si="70"/>
        <v>10</v>
      </c>
      <c r="R234" s="957">
        <f t="shared" si="70"/>
        <v>11</v>
      </c>
      <c r="S234" s="957">
        <f t="shared" si="70"/>
        <v>12</v>
      </c>
      <c r="T234" s="957">
        <f t="shared" si="70"/>
        <v>13</v>
      </c>
      <c r="U234" s="957">
        <f t="shared" si="70"/>
        <v>14</v>
      </c>
      <c r="V234" s="957">
        <f t="shared" si="70"/>
        <v>15</v>
      </c>
      <c r="W234" s="957">
        <f t="shared" si="70"/>
        <v>16</v>
      </c>
      <c r="X234" s="957">
        <f t="shared" ref="X234:AA234" si="71">+X226</f>
        <v>17</v>
      </c>
      <c r="Y234" s="957">
        <f t="shared" si="71"/>
        <v>18</v>
      </c>
      <c r="Z234" s="957">
        <f t="shared" si="71"/>
        <v>19</v>
      </c>
      <c r="AA234" s="957">
        <f t="shared" si="71"/>
        <v>20</v>
      </c>
      <c r="AB234" s="195"/>
      <c r="AC234" s="954"/>
    </row>
    <row r="235" spans="1:29" x14ac:dyDescent="0.45">
      <c r="A235" s="952"/>
      <c r="B235" s="195"/>
      <c r="C235" s="195" t="s">
        <v>397</v>
      </c>
      <c r="D235" s="195"/>
      <c r="E235" s="195"/>
      <c r="F235" s="195"/>
      <c r="G235" s="195" t="str">
        <f>+C73</f>
        <v>Duration Adjusted Uninflated Needs</v>
      </c>
      <c r="H235" s="958">
        <f>+H73</f>
        <v>0</v>
      </c>
      <c r="I235" s="958">
        <f t="shared" ref="I235:AA235" ca="1" si="72">+H235+I73</f>
        <v>0</v>
      </c>
      <c r="J235" s="958">
        <f t="shared" ca="1" si="72"/>
        <v>-331693.98308342946</v>
      </c>
      <c r="K235" s="958">
        <f t="shared" ca="1" si="72"/>
        <v>-602939.97821350768</v>
      </c>
      <c r="L235" s="958">
        <f t="shared" ca="1" si="72"/>
        <v>-1077885.973905284</v>
      </c>
      <c r="M235" s="958">
        <f t="shared" ca="1" si="72"/>
        <v>-1506658.5045279774</v>
      </c>
      <c r="N235" s="958">
        <f t="shared" ca="1" si="72"/>
        <v>-1884902.4618058163</v>
      </c>
      <c r="O235" s="958">
        <f t="shared" ca="1" si="72"/>
        <v>-2122820.4037605361</v>
      </c>
      <c r="P235" s="958">
        <f t="shared" ca="1" si="72"/>
        <v>-2313661.8408074756</v>
      </c>
      <c r="Q235" s="958">
        <f t="shared" ca="1" si="72"/>
        <v>-2612736.6149164233</v>
      </c>
      <c r="R235" s="958">
        <f t="shared" ca="1" si="72"/>
        <v>-3318270.9847978693</v>
      </c>
      <c r="S235" s="958">
        <f t="shared" ca="1" si="72"/>
        <v>-3974163.6990786847</v>
      </c>
      <c r="T235" s="958">
        <f t="shared" ca="1" si="72"/>
        <v>-4548279.4892393062</v>
      </c>
      <c r="U235" s="958">
        <f t="shared" ca="1" si="72"/>
        <v>-4762022.510874101</v>
      </c>
      <c r="V235" s="958">
        <f t="shared" ca="1" si="72"/>
        <v>-5299862.2017173748</v>
      </c>
      <c r="W235" s="958">
        <f t="shared" ca="1" si="72"/>
        <v>-5797738.4061865099</v>
      </c>
      <c r="X235" s="958">
        <f t="shared" ca="1" si="72"/>
        <v>-6260196.2738972576</v>
      </c>
      <c r="Y235" s="958">
        <f t="shared" ca="1" si="72"/>
        <v>-6480534.9639053997</v>
      </c>
      <c r="Z235" s="958">
        <f t="shared" ca="1" si="72"/>
        <v>-6599219.1335908845</v>
      </c>
      <c r="AA235" s="958">
        <f t="shared" ca="1" si="72"/>
        <v>-6704991.6337651033</v>
      </c>
      <c r="AB235" s="195"/>
      <c r="AC235" s="954"/>
    </row>
    <row r="236" spans="1:29" x14ac:dyDescent="0.45">
      <c r="A236" s="952"/>
      <c r="B236" s="195"/>
      <c r="C236" s="195" t="s">
        <v>397</v>
      </c>
      <c r="D236" s="195"/>
      <c r="E236" s="195"/>
      <c r="F236" s="195"/>
      <c r="G236" s="195" t="str">
        <f>+C76</f>
        <v>Inflation in Needs Amount</v>
      </c>
      <c r="H236" s="958">
        <f>+H76</f>
        <v>0</v>
      </c>
      <c r="I236" s="958">
        <f t="shared" ref="I236:AA236" ca="1" si="73">+H236+I76</f>
        <v>0</v>
      </c>
      <c r="J236" s="958">
        <f t="shared" ca="1" si="73"/>
        <v>-13400.436916570547</v>
      </c>
      <c r="K236" s="958">
        <f t="shared" ca="1" si="73"/>
        <v>-30002.861786492351</v>
      </c>
      <c r="L236" s="958">
        <f t="shared" ca="1" si="73"/>
        <v>-69153.686094716148</v>
      </c>
      <c r="M236" s="958">
        <f t="shared" ca="1" si="73"/>
        <v>-113780.67547202269</v>
      </c>
      <c r="N236" s="958">
        <f t="shared" ca="1" si="73"/>
        <v>-161500.8481941839</v>
      </c>
      <c r="O236" s="958">
        <f t="shared" ca="1" si="73"/>
        <v>-196875.83623946406</v>
      </c>
      <c r="P236" s="958">
        <f t="shared" ca="1" si="73"/>
        <v>-229635.55919252455</v>
      </c>
      <c r="Q236" s="958">
        <f t="shared" ca="1" si="73"/>
        <v>-287982.82508357667</v>
      </c>
      <c r="R236" s="958">
        <f t="shared" ca="1" si="73"/>
        <v>-442490.91520213056</v>
      </c>
      <c r="S236" s="958">
        <f t="shared" ca="1" si="73"/>
        <v>-602118.35092131537</v>
      </c>
      <c r="T236" s="958">
        <f t="shared" ca="1" si="73"/>
        <v>-756120.20076069422</v>
      </c>
      <c r="U236" s="958">
        <f t="shared" ca="1" si="73"/>
        <v>-818876.56912589923</v>
      </c>
      <c r="V236" s="958">
        <f t="shared" ca="1" si="73"/>
        <v>-990704.92828262597</v>
      </c>
      <c r="W236" s="958">
        <f t="shared" ca="1" si="73"/>
        <v>-1162904.5438134905</v>
      </c>
      <c r="X236" s="958">
        <f t="shared" ca="1" si="73"/>
        <v>-1335302.2261027428</v>
      </c>
      <c r="Y236" s="958">
        <f t="shared" ca="1" si="73"/>
        <v>-1423490.8960946011</v>
      </c>
      <c r="Z236" s="958">
        <f t="shared" ca="1" si="73"/>
        <v>-1474316.9464091158</v>
      </c>
      <c r="AA236" s="958">
        <f t="shared" ca="1" si="73"/>
        <v>-1522635.0062348973</v>
      </c>
      <c r="AB236" s="195"/>
      <c r="AC236" s="954"/>
    </row>
    <row r="237" spans="1:29" ht="14.65" thickBot="1" x14ac:dyDescent="0.5">
      <c r="A237" s="952"/>
      <c r="B237" s="195"/>
      <c r="C237" s="195" t="s">
        <v>397</v>
      </c>
      <c r="D237" s="195"/>
      <c r="E237" s="195"/>
      <c r="F237" s="195"/>
      <c r="G237" s="195" t="s">
        <v>402</v>
      </c>
      <c r="H237" s="961">
        <f>+H235+H236</f>
        <v>0</v>
      </c>
      <c r="I237" s="961">
        <f ca="1">+I235+I236</f>
        <v>0</v>
      </c>
      <c r="J237" s="961">
        <f t="shared" ref="J237:W237" ca="1" si="74">+J235+J236</f>
        <v>-345094.42</v>
      </c>
      <c r="K237" s="961">
        <f t="shared" ca="1" si="74"/>
        <v>-632942.84000000008</v>
      </c>
      <c r="L237" s="961">
        <f t="shared" ca="1" si="74"/>
        <v>-1147039.6600000001</v>
      </c>
      <c r="M237" s="961">
        <f t="shared" ca="1" si="74"/>
        <v>-1620439.1800000002</v>
      </c>
      <c r="N237" s="961">
        <f t="shared" ca="1" si="74"/>
        <v>-2046403.31</v>
      </c>
      <c r="O237" s="961">
        <f t="shared" ca="1" si="74"/>
        <v>-2319696.2400000002</v>
      </c>
      <c r="P237" s="961">
        <f t="shared" ca="1" si="74"/>
        <v>-2543297.4000000004</v>
      </c>
      <c r="Q237" s="961">
        <f t="shared" ca="1" si="74"/>
        <v>-2900719.44</v>
      </c>
      <c r="R237" s="961">
        <f t="shared" ca="1" si="74"/>
        <v>-3760761.9</v>
      </c>
      <c r="S237" s="961">
        <f t="shared" ca="1" si="74"/>
        <v>-4576282.05</v>
      </c>
      <c r="T237" s="961">
        <f t="shared" ca="1" si="74"/>
        <v>-5304399.6900000004</v>
      </c>
      <c r="U237" s="961">
        <f t="shared" ca="1" si="74"/>
        <v>-5580899.0800000001</v>
      </c>
      <c r="V237" s="961">
        <f t="shared" ca="1" si="74"/>
        <v>-6290567.1300000008</v>
      </c>
      <c r="W237" s="961">
        <f t="shared" ca="1" si="74"/>
        <v>-6960642.9500000002</v>
      </c>
      <c r="X237" s="961">
        <f t="shared" ref="X237:AA237" ca="1" si="75">+X235+X236</f>
        <v>-7595498.5</v>
      </c>
      <c r="Y237" s="961">
        <f t="shared" ca="1" si="75"/>
        <v>-7904025.8600000013</v>
      </c>
      <c r="Z237" s="961">
        <f t="shared" ca="1" si="75"/>
        <v>-8073536.0800000001</v>
      </c>
      <c r="AA237" s="961">
        <f t="shared" ca="1" si="75"/>
        <v>-8227626.6400000006</v>
      </c>
      <c r="AB237" s="195"/>
      <c r="AC237" s="954"/>
    </row>
    <row r="238" spans="1:29" ht="14.65" thickTop="1" x14ac:dyDescent="0.45">
      <c r="A238" s="952"/>
      <c r="B238" s="195"/>
      <c r="C238" s="195" t="s">
        <v>397</v>
      </c>
      <c r="D238" s="195"/>
      <c r="E238" s="195"/>
      <c r="F238" s="195"/>
      <c r="G238" s="195" t="s">
        <v>403</v>
      </c>
      <c r="H238" s="195"/>
      <c r="I238" s="195"/>
      <c r="J238" s="195"/>
      <c r="K238" s="195"/>
      <c r="L238" s="195"/>
      <c r="M238" s="195"/>
      <c r="N238" s="195"/>
      <c r="O238" s="195"/>
      <c r="P238" s="195"/>
      <c r="Q238" s="788">
        <f ca="1">+MAX(H231:Q231)-MAX(H237:Q237)</f>
        <v>3334493.05557726</v>
      </c>
      <c r="R238" s="195"/>
      <c r="S238" s="195"/>
      <c r="T238" s="195"/>
      <c r="U238" s="195"/>
      <c r="V238" s="195"/>
      <c r="W238" s="195"/>
      <c r="X238" s="195"/>
      <c r="Y238" s="195"/>
      <c r="Z238" s="195"/>
      <c r="AA238" s="195"/>
      <c r="AB238" s="195"/>
      <c r="AC238" s="954"/>
    </row>
    <row r="239" spans="1:29" x14ac:dyDescent="0.45">
      <c r="A239" s="952"/>
      <c r="B239" s="195"/>
      <c r="C239" s="195" t="s">
        <v>397</v>
      </c>
      <c r="D239" s="195"/>
      <c r="E239" s="195"/>
      <c r="F239" s="195"/>
      <c r="G239" s="195"/>
      <c r="H239" s="195"/>
      <c r="I239" s="195"/>
      <c r="J239" s="195"/>
      <c r="K239" s="195"/>
      <c r="L239" s="195"/>
      <c r="M239" s="195"/>
      <c r="N239" s="195"/>
      <c r="O239" s="195"/>
      <c r="P239" s="195"/>
      <c r="Q239" s="195"/>
      <c r="R239" s="195"/>
      <c r="S239" s="195"/>
      <c r="T239" s="195"/>
      <c r="U239" s="195"/>
      <c r="V239" s="195"/>
      <c r="W239" s="195"/>
      <c r="X239" s="195"/>
      <c r="Y239" s="195"/>
      <c r="Z239" s="195"/>
      <c r="AA239" s="195"/>
      <c r="AB239" s="195"/>
      <c r="AC239" s="954"/>
    </row>
    <row r="240" spans="1:29" ht="14.65" thickBot="1" x14ac:dyDescent="0.5">
      <c r="A240" s="952"/>
      <c r="B240" s="195"/>
      <c r="C240" s="195" t="s">
        <v>397</v>
      </c>
      <c r="D240" s="195"/>
      <c r="E240" s="195"/>
      <c r="F240" s="195"/>
      <c r="G240" s="195" t="s">
        <v>404</v>
      </c>
      <c r="H240" s="961">
        <f ca="1">+H231+H237</f>
        <v>725130.25</v>
      </c>
      <c r="I240" s="961">
        <f t="shared" ref="I240:AA240" ca="1" si="76">+I231+I237</f>
        <v>990988.27249999996</v>
      </c>
      <c r="J240" s="961">
        <f t="shared" ca="1" si="76"/>
        <v>924537.53098749998</v>
      </c>
      <c r="K240" s="961">
        <f t="shared" ca="1" si="76"/>
        <v>919611.6054403123</v>
      </c>
      <c r="L240" s="961">
        <f t="shared" ca="1" si="76"/>
        <v>693744.4796396771</v>
      </c>
      <c r="M240" s="961">
        <f t="shared" ca="1" si="76"/>
        <v>510675.35735438718</v>
      </c>
      <c r="N240" s="961">
        <f t="shared" ca="1" si="76"/>
        <v>377894.07284522103</v>
      </c>
      <c r="O240" s="961">
        <f t="shared" ca="1" si="76"/>
        <v>401502.72337102657</v>
      </c>
      <c r="P240" s="961">
        <f t="shared" ca="1" si="76"/>
        <v>480981.93704338232</v>
      </c>
      <c r="Q240" s="961">
        <f t="shared" ca="1" si="76"/>
        <v>433773.61557726003</v>
      </c>
      <c r="R240" s="961">
        <f t="shared" ca="1" si="76"/>
        <v>-110703.27092129039</v>
      </c>
      <c r="S240" s="961">
        <f t="shared" ca="1" si="76"/>
        <v>-610983.27226814348</v>
      </c>
      <c r="T240" s="961">
        <f t="shared" ca="1" si="76"/>
        <v>-1017555.9606419345</v>
      </c>
      <c r="U240" s="961">
        <f t="shared" ca="1" si="76"/>
        <v>-966079.4999832008</v>
      </c>
      <c r="V240" s="961">
        <f t="shared" ca="1" si="76"/>
        <v>-1341212.1823112937</v>
      </c>
      <c r="W240" s="961">
        <f t="shared" ca="1" si="76"/>
        <v>-1670061.927285946</v>
      </c>
      <c r="X240" s="961">
        <f t="shared" ca="1" si="76"/>
        <v>-1956866.8807600923</v>
      </c>
      <c r="Y240" s="961">
        <f t="shared" ca="1" si="76"/>
        <v>-1910382.6323037231</v>
      </c>
      <c r="Z240" s="961">
        <f t="shared" ca="1" si="76"/>
        <v>-1717781.0116782235</v>
      </c>
      <c r="AA240" s="961">
        <f t="shared" ca="1" si="76"/>
        <v>-1502517.4942402169</v>
      </c>
      <c r="AB240" s="195"/>
      <c r="AC240" s="954"/>
    </row>
    <row r="241" spans="1:29" ht="14.65" thickTop="1" x14ac:dyDescent="0.45">
      <c r="A241" s="952"/>
      <c r="B241" s="195"/>
      <c r="C241" s="195" t="s">
        <v>397</v>
      </c>
      <c r="D241" s="195"/>
      <c r="E241" s="195"/>
      <c r="F241" s="195"/>
      <c r="G241" s="195" t="s">
        <v>405</v>
      </c>
      <c r="H241" s="195">
        <f ca="1">+(H231+H237)/2</f>
        <v>362565.125</v>
      </c>
      <c r="I241" s="962">
        <f t="shared" ref="I241:W241" ca="1" si="77">+(I231+I237)/2</f>
        <v>495494.13624999998</v>
      </c>
      <c r="J241" s="962">
        <f t="shared" ca="1" si="77"/>
        <v>462268.76549374999</v>
      </c>
      <c r="K241" s="962">
        <f t="shared" ca="1" si="77"/>
        <v>459805.80272015615</v>
      </c>
      <c r="L241" s="962">
        <f t="shared" ca="1" si="77"/>
        <v>346872.23981983855</v>
      </c>
      <c r="M241" s="962">
        <f t="shared" ca="1" si="77"/>
        <v>255337.67867719359</v>
      </c>
      <c r="N241" s="962">
        <f t="shared" ca="1" si="77"/>
        <v>188947.03642261052</v>
      </c>
      <c r="O241" s="962">
        <f t="shared" ca="1" si="77"/>
        <v>200751.36168551329</v>
      </c>
      <c r="P241" s="962">
        <f t="shared" ca="1" si="77"/>
        <v>240490.96852169116</v>
      </c>
      <c r="Q241" s="962">
        <f t="shared" ca="1" si="77"/>
        <v>216886.80778863002</v>
      </c>
      <c r="R241" s="962">
        <f t="shared" ca="1" si="77"/>
        <v>-55351.635460645193</v>
      </c>
      <c r="S241" s="962">
        <f t="shared" ca="1" si="77"/>
        <v>-305491.63613407174</v>
      </c>
      <c r="T241" s="962">
        <f t="shared" ca="1" si="77"/>
        <v>-508777.98032096727</v>
      </c>
      <c r="U241" s="962">
        <f t="shared" ca="1" si="77"/>
        <v>-483039.7499916004</v>
      </c>
      <c r="V241" s="962">
        <f t="shared" ca="1" si="77"/>
        <v>-670606.09115564683</v>
      </c>
      <c r="W241" s="962">
        <f t="shared" ca="1" si="77"/>
        <v>-835030.96364297299</v>
      </c>
      <c r="X241" s="962">
        <f t="shared" ref="X241:AA241" ca="1" si="78">+(X231+X237)/2</f>
        <v>-978433.44038004614</v>
      </c>
      <c r="Y241" s="962">
        <f t="shared" ca="1" si="78"/>
        <v>-955191.31615186157</v>
      </c>
      <c r="Z241" s="962">
        <f t="shared" ca="1" si="78"/>
        <v>-858890.50583911175</v>
      </c>
      <c r="AA241" s="962">
        <f t="shared" ca="1" si="78"/>
        <v>-751258.74712010846</v>
      </c>
      <c r="AB241" s="195"/>
      <c r="AC241" s="954"/>
    </row>
    <row r="242" spans="1:29" x14ac:dyDescent="0.45">
      <c r="A242" s="952"/>
      <c r="B242" s="195"/>
      <c r="C242" s="195" t="s">
        <v>397</v>
      </c>
      <c r="D242" s="195"/>
      <c r="E242" s="195"/>
      <c r="F242" s="195"/>
      <c r="G242" s="195"/>
      <c r="H242" s="195"/>
      <c r="I242" s="195"/>
      <c r="J242" s="195"/>
      <c r="K242" s="195"/>
      <c r="L242" s="195"/>
      <c r="M242" s="195"/>
      <c r="N242" s="195"/>
      <c r="O242" s="195"/>
      <c r="P242" s="195"/>
      <c r="Q242" s="195"/>
      <c r="R242" s="195"/>
      <c r="S242" s="195"/>
      <c r="T242" s="195"/>
      <c r="U242" s="195"/>
      <c r="V242" s="195"/>
      <c r="W242" s="195"/>
      <c r="X242" s="195"/>
      <c r="Y242" s="195"/>
      <c r="Z242" s="195"/>
      <c r="AA242" s="195"/>
      <c r="AB242" s="195"/>
      <c r="AC242" s="954"/>
    </row>
    <row r="243" spans="1:29" x14ac:dyDescent="0.45">
      <c r="A243" s="952"/>
      <c r="B243" s="195"/>
      <c r="C243" s="195" t="s">
        <v>397</v>
      </c>
      <c r="D243" s="195"/>
      <c r="E243" s="195"/>
      <c r="F243" s="195"/>
      <c r="G243" s="195"/>
      <c r="H243" s="195"/>
      <c r="I243" s="195"/>
      <c r="J243" s="195"/>
      <c r="K243" s="195"/>
      <c r="L243" s="195"/>
      <c r="M243" s="195"/>
      <c r="N243" s="195"/>
      <c r="O243" s="195"/>
      <c r="P243" s="195"/>
      <c r="Q243" s="195"/>
      <c r="R243" s="195"/>
      <c r="S243" s="195"/>
      <c r="T243" s="195"/>
      <c r="U243" s="195"/>
      <c r="V243" s="195"/>
      <c r="W243" s="195"/>
      <c r="X243" s="195"/>
      <c r="Y243" s="195"/>
      <c r="Z243" s="195"/>
      <c r="AA243" s="195"/>
      <c r="AB243" s="195"/>
      <c r="AC243" s="954"/>
    </row>
    <row r="244" spans="1:29" x14ac:dyDescent="0.45">
      <c r="A244" s="952"/>
      <c r="B244" s="195"/>
      <c r="C244" s="195" t="s">
        <v>397</v>
      </c>
      <c r="D244" s="195"/>
      <c r="E244" s="195"/>
      <c r="F244" s="195"/>
      <c r="G244" s="195"/>
      <c r="H244" s="195"/>
      <c r="I244" s="195"/>
      <c r="J244" s="195"/>
      <c r="K244" s="195"/>
      <c r="L244" s="195"/>
      <c r="M244" s="195"/>
      <c r="N244" s="195"/>
      <c r="O244" s="195"/>
      <c r="P244" s="195"/>
      <c r="Q244" s="195"/>
      <c r="R244" s="195"/>
      <c r="S244" s="195"/>
      <c r="T244" s="195"/>
      <c r="U244" s="195"/>
      <c r="V244" s="195"/>
      <c r="W244" s="195"/>
      <c r="X244" s="195"/>
      <c r="Y244" s="195"/>
      <c r="Z244" s="195"/>
      <c r="AA244" s="195"/>
      <c r="AB244" s="195"/>
      <c r="AC244" s="954"/>
    </row>
    <row r="245" spans="1:29" x14ac:dyDescent="0.45">
      <c r="A245" s="952"/>
      <c r="B245" s="195"/>
      <c r="C245" s="195" t="s">
        <v>397</v>
      </c>
      <c r="D245" s="195"/>
      <c r="E245" s="195"/>
      <c r="F245" s="195"/>
      <c r="G245" s="195" t="str">
        <f>+G234</f>
        <v>Year of Deposit or Withdraw</v>
      </c>
      <c r="H245" s="957">
        <f>+H234</f>
        <v>1</v>
      </c>
      <c r="I245" s="957">
        <f t="shared" ref="I245:Q245" si="79">+I234</f>
        <v>2</v>
      </c>
      <c r="J245" s="957">
        <f t="shared" si="79"/>
        <v>3</v>
      </c>
      <c r="K245" s="957">
        <f t="shared" si="79"/>
        <v>4</v>
      </c>
      <c r="L245" s="957">
        <f t="shared" si="79"/>
        <v>5</v>
      </c>
      <c r="M245" s="957">
        <f t="shared" si="79"/>
        <v>6</v>
      </c>
      <c r="N245" s="957">
        <f t="shared" si="79"/>
        <v>7</v>
      </c>
      <c r="O245" s="957">
        <f t="shared" si="79"/>
        <v>8</v>
      </c>
      <c r="P245" s="957">
        <f t="shared" si="79"/>
        <v>9</v>
      </c>
      <c r="Q245" s="957">
        <f t="shared" si="79"/>
        <v>10</v>
      </c>
      <c r="R245" s="195"/>
      <c r="S245" s="195"/>
      <c r="T245" s="195"/>
      <c r="U245" s="195"/>
      <c r="V245" s="195"/>
      <c r="W245" s="195"/>
      <c r="X245" s="195"/>
      <c r="Y245" s="195"/>
      <c r="Z245" s="195"/>
      <c r="AA245" s="195"/>
      <c r="AB245" s="195"/>
      <c r="AC245" s="954"/>
    </row>
    <row r="246" spans="1:29" x14ac:dyDescent="0.45">
      <c r="A246" s="952"/>
      <c r="B246" s="195"/>
      <c r="C246" s="195" t="s">
        <v>397</v>
      </c>
      <c r="D246" s="195"/>
      <c r="E246" s="195"/>
      <c r="F246" s="195"/>
      <c r="G246" s="195" t="str">
        <f>+C79</f>
        <v>Ending RfR Balance</v>
      </c>
      <c r="H246" s="963">
        <f t="shared" ref="H246:Q246" ca="1" si="80">+H79</f>
        <v>725130.25</v>
      </c>
      <c r="I246" s="963">
        <f t="shared" ca="1" si="80"/>
        <v>990988.27249999996</v>
      </c>
      <c r="J246" s="963">
        <f t="shared" ca="1" si="80"/>
        <v>924537.53098749998</v>
      </c>
      <c r="K246" s="963">
        <f t="shared" ca="1" si="80"/>
        <v>919611.60544031253</v>
      </c>
      <c r="L246" s="963">
        <f t="shared" ca="1" si="80"/>
        <v>693744.4796396771</v>
      </c>
      <c r="M246" s="963">
        <f t="shared" ca="1" si="80"/>
        <v>510675.35735438741</v>
      </c>
      <c r="N246" s="963">
        <f t="shared" ca="1" si="80"/>
        <v>377894.07284522068</v>
      </c>
      <c r="O246" s="963">
        <f t="shared" ca="1" si="80"/>
        <v>401502.72337102686</v>
      </c>
      <c r="P246" s="963">
        <f t="shared" ca="1" si="80"/>
        <v>480981.93704338267</v>
      </c>
      <c r="Q246" s="963">
        <f t="shared" ca="1" si="80"/>
        <v>433773.61557725974</v>
      </c>
      <c r="R246" s="195"/>
      <c r="S246" s="195"/>
      <c r="T246" s="195"/>
      <c r="U246" s="195"/>
      <c r="V246" s="195"/>
      <c r="W246" s="195"/>
      <c r="X246" s="195"/>
      <c r="Y246" s="195"/>
      <c r="Z246" s="195"/>
      <c r="AA246" s="195"/>
      <c r="AB246" s="195"/>
      <c r="AC246" s="954"/>
    </row>
    <row r="247" spans="1:29" x14ac:dyDescent="0.45">
      <c r="A247" s="952"/>
      <c r="B247" s="195"/>
      <c r="C247" s="195" t="s">
        <v>397</v>
      </c>
      <c r="D247" s="195"/>
      <c r="E247" s="195"/>
      <c r="F247" s="195"/>
      <c r="G247" s="195" t="str">
        <f>+C93</f>
        <v>20 year equal to eTool (NOT 10 Yr) Minimum Balance-inflated</v>
      </c>
      <c r="H247" s="964">
        <f t="shared" ref="H247:Q247" ca="1" si="81">+H93</f>
        <v>-261273.66149164233</v>
      </c>
      <c r="I247" s="964">
        <f t="shared" ca="1" si="81"/>
        <v>-261273.66149164233</v>
      </c>
      <c r="J247" s="964">
        <f t="shared" ca="1" si="81"/>
        <v>-261273.66149164233</v>
      </c>
      <c r="K247" s="964">
        <f t="shared" ca="1" si="81"/>
        <v>-261273.66149164233</v>
      </c>
      <c r="L247" s="964">
        <f t="shared" ca="1" si="81"/>
        <v>-261273.66149164233</v>
      </c>
      <c r="M247" s="964">
        <f t="shared" ca="1" si="81"/>
        <v>-261273.66149164233</v>
      </c>
      <c r="N247" s="964">
        <f t="shared" ca="1" si="81"/>
        <v>-261273.66149164233</v>
      </c>
      <c r="O247" s="964">
        <f t="shared" ca="1" si="81"/>
        <v>-261273.66149164233</v>
      </c>
      <c r="P247" s="964">
        <f t="shared" ca="1" si="81"/>
        <v>-261273.66149164233</v>
      </c>
      <c r="Q247" s="964">
        <f t="shared" ca="1" si="81"/>
        <v>-261273.66149164233</v>
      </c>
      <c r="R247" s="195"/>
      <c r="S247" s="195"/>
      <c r="T247" s="195"/>
      <c r="U247" s="195"/>
      <c r="V247" s="195"/>
      <c r="W247" s="195"/>
      <c r="X247" s="195"/>
      <c r="Y247" s="195"/>
      <c r="Z247" s="195"/>
      <c r="AA247" s="195"/>
      <c r="AB247" s="195"/>
      <c r="AC247" s="954"/>
    </row>
    <row r="248" spans="1:29" x14ac:dyDescent="0.45">
      <c r="A248" s="952"/>
      <c r="B248" s="195"/>
      <c r="C248" s="195" t="s">
        <v>397</v>
      </c>
      <c r="D248" s="195"/>
      <c r="E248" s="195"/>
      <c r="F248" s="195"/>
      <c r="G248" s="195" t="str">
        <f>+C94</f>
        <v>Margin exceeding Minimum Balance</v>
      </c>
      <c r="H248" s="964">
        <f t="shared" ref="H248:Q248" ca="1" si="82">+H94</f>
        <v>986403.91149164236</v>
      </c>
      <c r="I248" s="964">
        <f t="shared" ca="1" si="82"/>
        <v>1252261.9339916422</v>
      </c>
      <c r="J248" s="964">
        <f t="shared" ca="1" si="82"/>
        <v>1185811.1924791422</v>
      </c>
      <c r="K248" s="964">
        <f t="shared" ca="1" si="82"/>
        <v>1180885.2669319548</v>
      </c>
      <c r="L248" s="964">
        <f t="shared" ca="1" si="82"/>
        <v>955018.14113131945</v>
      </c>
      <c r="M248" s="964">
        <f t="shared" ca="1" si="82"/>
        <v>771949.01884602976</v>
      </c>
      <c r="N248" s="964">
        <f t="shared" ca="1" si="82"/>
        <v>639167.73433686304</v>
      </c>
      <c r="O248" s="964">
        <f t="shared" ca="1" si="82"/>
        <v>662776.38486266916</v>
      </c>
      <c r="P248" s="964">
        <f t="shared" ca="1" si="82"/>
        <v>742255.59853502503</v>
      </c>
      <c r="Q248" s="964">
        <f t="shared" ca="1" si="82"/>
        <v>695047.27706890204</v>
      </c>
      <c r="R248" s="195"/>
      <c r="S248" s="195"/>
      <c r="T248" s="195"/>
      <c r="U248" s="195"/>
      <c r="V248" s="195"/>
      <c r="W248" s="195"/>
      <c r="X248" s="195"/>
      <c r="Y248" s="195"/>
      <c r="Z248" s="195"/>
      <c r="AA248" s="195"/>
      <c r="AB248" s="195"/>
      <c r="AC248" s="954"/>
    </row>
    <row r="249" spans="1:29" x14ac:dyDescent="0.45">
      <c r="A249" s="952"/>
      <c r="B249" s="195"/>
      <c r="C249" s="195" t="s">
        <v>397</v>
      </c>
      <c r="D249" s="195"/>
      <c r="E249" s="195"/>
      <c r="F249" s="195"/>
      <c r="G249" s="195"/>
      <c r="H249" s="195"/>
      <c r="I249" s="195"/>
      <c r="J249" s="195"/>
      <c r="K249" s="195"/>
      <c r="L249" s="195"/>
      <c r="M249" s="195"/>
      <c r="N249" s="195"/>
      <c r="O249" s="195"/>
      <c r="P249" s="195"/>
      <c r="Q249" s="195"/>
      <c r="R249" s="195"/>
      <c r="S249" s="195"/>
      <c r="T249" s="195"/>
      <c r="U249" s="195"/>
      <c r="V249" s="195"/>
      <c r="W249" s="195"/>
      <c r="X249" s="195"/>
      <c r="Y249" s="195"/>
      <c r="Z249" s="195"/>
      <c r="AA249" s="195"/>
      <c r="AB249" s="195"/>
      <c r="AC249" s="954"/>
    </row>
    <row r="250" spans="1:29" x14ac:dyDescent="0.45">
      <c r="A250" s="952"/>
      <c r="B250" s="195"/>
      <c r="C250" s="195" t="s">
        <v>397</v>
      </c>
      <c r="D250" s="195"/>
      <c r="E250" s="195"/>
      <c r="F250" s="195"/>
      <c r="G250" s="195"/>
      <c r="H250" s="195"/>
      <c r="I250" s="195"/>
      <c r="J250" s="195"/>
      <c r="K250" s="195"/>
      <c r="L250" s="195"/>
      <c r="M250" s="195"/>
      <c r="N250" s="195"/>
      <c r="O250" s="195"/>
      <c r="P250" s="195"/>
      <c r="Q250" s="195"/>
      <c r="R250" s="195"/>
      <c r="S250" s="195"/>
      <c r="T250" s="195"/>
      <c r="U250" s="195"/>
      <c r="V250" s="195"/>
      <c r="W250" s="195"/>
      <c r="X250" s="195"/>
      <c r="Y250" s="195"/>
      <c r="Z250" s="195"/>
      <c r="AA250" s="195"/>
      <c r="AB250" s="195"/>
      <c r="AC250" s="954"/>
    </row>
    <row r="251" spans="1:29" x14ac:dyDescent="0.45">
      <c r="A251" s="952"/>
      <c r="B251" s="195"/>
      <c r="C251" s="195" t="s">
        <v>397</v>
      </c>
      <c r="D251" s="195"/>
      <c r="E251" s="195"/>
      <c r="F251" s="195"/>
      <c r="G251" s="195" t="str">
        <f>+G245</f>
        <v>Year of Deposit or Withdraw</v>
      </c>
      <c r="H251" s="957">
        <f t="shared" ref="H251:AA251" si="83">+H57</f>
        <v>1</v>
      </c>
      <c r="I251" s="957">
        <f t="shared" si="83"/>
        <v>2</v>
      </c>
      <c r="J251" s="957">
        <f t="shared" si="83"/>
        <v>3</v>
      </c>
      <c r="K251" s="957">
        <f t="shared" si="83"/>
        <v>4</v>
      </c>
      <c r="L251" s="957">
        <f t="shared" si="83"/>
        <v>5</v>
      </c>
      <c r="M251" s="957">
        <f t="shared" si="83"/>
        <v>6</v>
      </c>
      <c r="N251" s="957">
        <f t="shared" si="83"/>
        <v>7</v>
      </c>
      <c r="O251" s="957">
        <f t="shared" si="83"/>
        <v>8</v>
      </c>
      <c r="P251" s="957">
        <f t="shared" si="83"/>
        <v>9</v>
      </c>
      <c r="Q251" s="957">
        <f t="shared" si="83"/>
        <v>10</v>
      </c>
      <c r="R251" s="957">
        <f t="shared" si="83"/>
        <v>11</v>
      </c>
      <c r="S251" s="957">
        <f t="shared" si="83"/>
        <v>12</v>
      </c>
      <c r="T251" s="957">
        <f t="shared" si="83"/>
        <v>13</v>
      </c>
      <c r="U251" s="957">
        <f t="shared" si="83"/>
        <v>14</v>
      </c>
      <c r="V251" s="957">
        <f t="shared" si="83"/>
        <v>15</v>
      </c>
      <c r="W251" s="957">
        <f t="shared" si="83"/>
        <v>16</v>
      </c>
      <c r="X251" s="957">
        <f t="shared" si="83"/>
        <v>17</v>
      </c>
      <c r="Y251" s="957">
        <f t="shared" si="83"/>
        <v>18</v>
      </c>
      <c r="Z251" s="957">
        <f t="shared" si="83"/>
        <v>19</v>
      </c>
      <c r="AA251" s="957">
        <f t="shared" si="83"/>
        <v>20</v>
      </c>
      <c r="AB251" s="195"/>
      <c r="AC251" s="954"/>
    </row>
    <row r="252" spans="1:29" x14ac:dyDescent="0.45">
      <c r="A252" s="952"/>
      <c r="B252" s="195"/>
      <c r="C252" s="195" t="s">
        <v>397</v>
      </c>
      <c r="D252" s="195"/>
      <c r="E252" s="195"/>
      <c r="F252" s="195"/>
      <c r="G252" s="195" t="str">
        <f>+G246</f>
        <v>Ending RfR Balance</v>
      </c>
      <c r="H252" s="963">
        <f t="shared" ref="H252:AA252" ca="1" si="84">+H79</f>
        <v>725130.25</v>
      </c>
      <c r="I252" s="963">
        <f t="shared" ca="1" si="84"/>
        <v>990988.27249999996</v>
      </c>
      <c r="J252" s="963">
        <f t="shared" ca="1" si="84"/>
        <v>924537.53098749998</v>
      </c>
      <c r="K252" s="963">
        <f t="shared" ca="1" si="84"/>
        <v>919611.60544031253</v>
      </c>
      <c r="L252" s="963">
        <f t="shared" ca="1" si="84"/>
        <v>693744.4796396771</v>
      </c>
      <c r="M252" s="963">
        <f t="shared" ca="1" si="84"/>
        <v>510675.35735438741</v>
      </c>
      <c r="N252" s="963">
        <f t="shared" ca="1" si="84"/>
        <v>377894.07284522068</v>
      </c>
      <c r="O252" s="963">
        <f t="shared" ca="1" si="84"/>
        <v>401502.72337102686</v>
      </c>
      <c r="P252" s="963">
        <f t="shared" ca="1" si="84"/>
        <v>480981.93704338267</v>
      </c>
      <c r="Q252" s="963">
        <f t="shared" ca="1" si="84"/>
        <v>433773.61557725974</v>
      </c>
      <c r="R252" s="963">
        <f t="shared" ca="1" si="84"/>
        <v>-110703.27092129062</v>
      </c>
      <c r="S252" s="963">
        <f t="shared" ca="1" si="84"/>
        <v>-610983.27226814406</v>
      </c>
      <c r="T252" s="963">
        <f t="shared" ca="1" si="84"/>
        <v>-1017555.9606419345</v>
      </c>
      <c r="U252" s="963">
        <f t="shared" ca="1" si="84"/>
        <v>-966079.49998320092</v>
      </c>
      <c r="V252" s="963">
        <f t="shared" ca="1" si="84"/>
        <v>-1341212.1823112925</v>
      </c>
      <c r="W252" s="963">
        <f t="shared" ca="1" si="84"/>
        <v>-1670061.927285946</v>
      </c>
      <c r="X252" s="963">
        <f t="shared" ca="1" si="84"/>
        <v>-1956866.8807600925</v>
      </c>
      <c r="Y252" s="963">
        <f t="shared" ca="1" si="84"/>
        <v>-1910382.6323037217</v>
      </c>
      <c r="Z252" s="963">
        <f t="shared" ca="1" si="84"/>
        <v>-1717781.0116782237</v>
      </c>
      <c r="AA252" s="963">
        <f t="shared" ca="1" si="84"/>
        <v>-1502517.4942402157</v>
      </c>
      <c r="AB252" s="195"/>
      <c r="AC252" s="954"/>
    </row>
    <row r="253" spans="1:29" x14ac:dyDescent="0.45">
      <c r="A253" s="952"/>
      <c r="B253" s="195"/>
      <c r="C253" s="195" t="s">
        <v>397</v>
      </c>
      <c r="D253" s="195"/>
      <c r="E253" s="195"/>
      <c r="F253" s="195"/>
      <c r="G253" s="195" t="str">
        <f>+C102</f>
        <v>Estimate Period Minimum Balance-inflated</v>
      </c>
      <c r="H253" s="964">
        <f>-+H102</f>
        <v>335249.58</v>
      </c>
      <c r="I253" s="964">
        <f t="shared" ref="I253:AA253" ca="1" si="85">-+I102</f>
        <v>341954.57160000002</v>
      </c>
      <c r="J253" s="964">
        <f t="shared" ca="1" si="85"/>
        <v>348793.66303200001</v>
      </c>
      <c r="K253" s="964">
        <f t="shared" ca="1" si="85"/>
        <v>355769.53629263997</v>
      </c>
      <c r="L253" s="964">
        <f t="shared" ca="1" si="85"/>
        <v>362884.92701849283</v>
      </c>
      <c r="M253" s="964">
        <f t="shared" ca="1" si="85"/>
        <v>370142.6255588627</v>
      </c>
      <c r="N253" s="964">
        <f t="shared" ca="1" si="85"/>
        <v>377545.47807003994</v>
      </c>
      <c r="O253" s="964">
        <f t="shared" ca="1" si="85"/>
        <v>385096.38763144077</v>
      </c>
      <c r="P253" s="964">
        <f t="shared" ca="1" si="85"/>
        <v>392798.31538406957</v>
      </c>
      <c r="Q253" s="964">
        <f t="shared" ca="1" si="85"/>
        <v>400654.28169175098</v>
      </c>
      <c r="R253" s="964">
        <f t="shared" ca="1" si="85"/>
        <v>408667.36732558603</v>
      </c>
      <c r="S253" s="964">
        <f t="shared" ca="1" si="85"/>
        <v>416840.7146720977</v>
      </c>
      <c r="T253" s="964">
        <f t="shared" ca="1" si="85"/>
        <v>425177.52896553965</v>
      </c>
      <c r="U253" s="964">
        <f t="shared" ca="1" si="85"/>
        <v>433681.07954485045</v>
      </c>
      <c r="V253" s="964">
        <f t="shared" ca="1" si="85"/>
        <v>442354.70113574748</v>
      </c>
      <c r="W253" s="964">
        <f t="shared" ca="1" si="85"/>
        <v>451201.79515846248</v>
      </c>
      <c r="X253" s="964">
        <f t="shared" ca="1" si="85"/>
        <v>460225.83106163173</v>
      </c>
      <c r="Y253" s="964">
        <f t="shared" ca="1" si="85"/>
        <v>469430.34768286441</v>
      </c>
      <c r="Z253" s="964">
        <f t="shared" ca="1" si="85"/>
        <v>478818.9546365217</v>
      </c>
      <c r="AA253" s="964">
        <f t="shared" ca="1" si="85"/>
        <v>488395.3337292521</v>
      </c>
      <c r="AB253" s="195"/>
      <c r="AC253" s="954"/>
    </row>
    <row r="254" spans="1:29" x14ac:dyDescent="0.45">
      <c r="A254" s="952"/>
      <c r="B254" s="195"/>
      <c r="C254" s="195" t="s">
        <v>397</v>
      </c>
      <c r="D254" s="195"/>
      <c r="E254" s="195"/>
      <c r="F254" s="195"/>
      <c r="G254" s="195" t="str">
        <f>+C103</f>
        <v>Margin exceeding Minimum Balance</v>
      </c>
      <c r="H254" s="964">
        <f t="shared" ref="H254:AA254" ca="1" si="86">+H103</f>
        <v>389880.67</v>
      </c>
      <c r="I254" s="964">
        <f t="shared" ca="1" si="86"/>
        <v>649033.70089999994</v>
      </c>
      <c r="J254" s="964">
        <f t="shared" ca="1" si="86"/>
        <v>575743.86795550003</v>
      </c>
      <c r="K254" s="964">
        <f t="shared" ca="1" si="86"/>
        <v>563842.0691476725</v>
      </c>
      <c r="L254" s="964">
        <f t="shared" ca="1" si="86"/>
        <v>330859.55262118427</v>
      </c>
      <c r="M254" s="964">
        <f t="shared" ca="1" si="86"/>
        <v>140532.73179552471</v>
      </c>
      <c r="N254" s="964">
        <f t="shared" ca="1" si="86"/>
        <v>348.59477518073982</v>
      </c>
      <c r="O254" s="964">
        <f t="shared" ca="1" si="86"/>
        <v>16406.335739586095</v>
      </c>
      <c r="P254" s="964">
        <f t="shared" ca="1" si="86"/>
        <v>88183.621659313096</v>
      </c>
      <c r="Q254" s="964">
        <f t="shared" ca="1" si="86"/>
        <v>33119.333885508764</v>
      </c>
      <c r="R254" s="964">
        <f t="shared" ca="1" si="86"/>
        <v>-519370.63824687665</v>
      </c>
      <c r="S254" s="964">
        <f t="shared" ca="1" si="86"/>
        <v>-1027823.9869402418</v>
      </c>
      <c r="T254" s="964">
        <f t="shared" ca="1" si="86"/>
        <v>-1442733.4896074743</v>
      </c>
      <c r="U254" s="964">
        <f t="shared" ca="1" si="86"/>
        <v>-1399760.5795280514</v>
      </c>
      <c r="V254" s="964">
        <f t="shared" ca="1" si="86"/>
        <v>-1783566.8834470399</v>
      </c>
      <c r="W254" s="964">
        <f t="shared" ca="1" si="86"/>
        <v>-2121263.7224444086</v>
      </c>
      <c r="X254" s="964">
        <f t="shared" ca="1" si="86"/>
        <v>-2417092.7118217242</v>
      </c>
      <c r="Y254" s="964">
        <f t="shared" ca="1" si="86"/>
        <v>-2379812.9799865861</v>
      </c>
      <c r="Z254" s="964">
        <f t="shared" ca="1" si="86"/>
        <v>-2196599.9663147456</v>
      </c>
      <c r="AA254" s="964">
        <f t="shared" ca="1" si="86"/>
        <v>-1990912.8279694677</v>
      </c>
      <c r="AB254" s="195"/>
      <c r="AC254" s="954"/>
    </row>
    <row r="255" spans="1:29" x14ac:dyDescent="0.45">
      <c r="A255" s="952"/>
      <c r="B255" s="195"/>
      <c r="C255" s="195" t="s">
        <v>397</v>
      </c>
      <c r="D255" s="195"/>
      <c r="E255" s="195"/>
      <c r="F255" s="195"/>
      <c r="G255" s="195"/>
      <c r="H255" s="964"/>
      <c r="I255" s="964"/>
      <c r="J255" s="964"/>
      <c r="K255" s="964"/>
      <c r="L255" s="964"/>
      <c r="M255" s="964"/>
      <c r="N255" s="964"/>
      <c r="O255" s="964"/>
      <c r="P255" s="964"/>
      <c r="Q255" s="964"/>
      <c r="R255" s="964"/>
      <c r="S255" s="964"/>
      <c r="T255" s="964"/>
      <c r="U255" s="964"/>
      <c r="V255" s="964"/>
      <c r="W255" s="964"/>
      <c r="X255" s="964"/>
      <c r="Y255" s="964"/>
      <c r="Z255" s="964"/>
      <c r="AA255" s="964"/>
      <c r="AB255" s="195"/>
      <c r="AC255" s="954"/>
    </row>
    <row r="256" spans="1:29" x14ac:dyDescent="0.45">
      <c r="A256" s="952"/>
      <c r="B256" s="195"/>
      <c r="C256" s="195" t="s">
        <v>397</v>
      </c>
      <c r="D256" s="195"/>
      <c r="E256" s="195"/>
      <c r="F256" s="195"/>
      <c r="G256" s="195"/>
      <c r="H256" s="964"/>
      <c r="I256" s="964"/>
      <c r="J256" s="964"/>
      <c r="K256" s="964"/>
      <c r="L256" s="964"/>
      <c r="M256" s="964"/>
      <c r="N256" s="964"/>
      <c r="O256" s="964"/>
      <c r="P256" s="964"/>
      <c r="Q256" s="964"/>
      <c r="R256" s="964"/>
      <c r="S256" s="964"/>
      <c r="T256" s="964"/>
      <c r="U256" s="964"/>
      <c r="V256" s="964"/>
      <c r="W256" s="964"/>
      <c r="X256" s="964"/>
      <c r="Y256" s="964"/>
      <c r="Z256" s="964"/>
      <c r="AA256" s="964"/>
      <c r="AB256" s="195"/>
      <c r="AC256" s="954"/>
    </row>
    <row r="257" spans="1:29" x14ac:dyDescent="0.45">
      <c r="A257" s="952"/>
      <c r="B257" s="195"/>
      <c r="C257" s="195" t="s">
        <v>397</v>
      </c>
      <c r="D257" s="195"/>
      <c r="E257" s="195"/>
      <c r="F257" s="195"/>
      <c r="G257" s="195" t="str">
        <f>+G251</f>
        <v>Year of Deposit or Withdraw</v>
      </c>
      <c r="H257" s="957">
        <f>+H251</f>
        <v>1</v>
      </c>
      <c r="I257" s="957">
        <f t="shared" ref="I257:W257" si="87">+I251</f>
        <v>2</v>
      </c>
      <c r="J257" s="957">
        <f t="shared" si="87"/>
        <v>3</v>
      </c>
      <c r="K257" s="957">
        <f t="shared" si="87"/>
        <v>4</v>
      </c>
      <c r="L257" s="957">
        <f t="shared" si="87"/>
        <v>5</v>
      </c>
      <c r="M257" s="957">
        <f t="shared" si="87"/>
        <v>6</v>
      </c>
      <c r="N257" s="957">
        <f t="shared" si="87"/>
        <v>7</v>
      </c>
      <c r="O257" s="957">
        <f t="shared" si="87"/>
        <v>8</v>
      </c>
      <c r="P257" s="957">
        <f t="shared" si="87"/>
        <v>9</v>
      </c>
      <c r="Q257" s="957">
        <f t="shared" si="87"/>
        <v>10</v>
      </c>
      <c r="R257" s="957">
        <f t="shared" si="87"/>
        <v>11</v>
      </c>
      <c r="S257" s="957">
        <f t="shared" si="87"/>
        <v>12</v>
      </c>
      <c r="T257" s="957">
        <f t="shared" si="87"/>
        <v>13</v>
      </c>
      <c r="U257" s="957">
        <f t="shared" si="87"/>
        <v>14</v>
      </c>
      <c r="V257" s="957">
        <f t="shared" si="87"/>
        <v>15</v>
      </c>
      <c r="W257" s="957">
        <f t="shared" si="87"/>
        <v>16</v>
      </c>
      <c r="X257" s="957">
        <f t="shared" ref="X257:AA257" si="88">+X251</f>
        <v>17</v>
      </c>
      <c r="Y257" s="957">
        <f t="shared" si="88"/>
        <v>18</v>
      </c>
      <c r="Z257" s="957">
        <f t="shared" si="88"/>
        <v>19</v>
      </c>
      <c r="AA257" s="957">
        <f t="shared" si="88"/>
        <v>20</v>
      </c>
      <c r="AB257" s="195"/>
      <c r="AC257" s="954"/>
    </row>
    <row r="258" spans="1:29" x14ac:dyDescent="0.45">
      <c r="A258" s="952"/>
      <c r="B258" s="195"/>
      <c r="C258" s="195" t="s">
        <v>397</v>
      </c>
      <c r="D258" s="195"/>
      <c r="E258" s="195"/>
      <c r="F258" s="195"/>
      <c r="G258" s="195" t="str">
        <f>+G252</f>
        <v>Ending RfR Balance</v>
      </c>
      <c r="H258" s="963">
        <f t="shared" ref="H258:AA258" ca="1" si="89">+H79</f>
        <v>725130.25</v>
      </c>
      <c r="I258" s="963">
        <f t="shared" ca="1" si="89"/>
        <v>990988.27249999996</v>
      </c>
      <c r="J258" s="963">
        <f t="shared" ca="1" si="89"/>
        <v>924537.53098749998</v>
      </c>
      <c r="K258" s="963">
        <f t="shared" ca="1" si="89"/>
        <v>919611.60544031253</v>
      </c>
      <c r="L258" s="963">
        <f t="shared" ca="1" si="89"/>
        <v>693744.4796396771</v>
      </c>
      <c r="M258" s="963">
        <f t="shared" ca="1" si="89"/>
        <v>510675.35735438741</v>
      </c>
      <c r="N258" s="963">
        <f t="shared" ca="1" si="89"/>
        <v>377894.07284522068</v>
      </c>
      <c r="O258" s="963">
        <f t="shared" ca="1" si="89"/>
        <v>401502.72337102686</v>
      </c>
      <c r="P258" s="963">
        <f t="shared" ca="1" si="89"/>
        <v>480981.93704338267</v>
      </c>
      <c r="Q258" s="963">
        <f t="shared" ca="1" si="89"/>
        <v>433773.61557725974</v>
      </c>
      <c r="R258" s="963">
        <f t="shared" ca="1" si="89"/>
        <v>-110703.27092129062</v>
      </c>
      <c r="S258" s="963">
        <f t="shared" ca="1" si="89"/>
        <v>-610983.27226814406</v>
      </c>
      <c r="T258" s="963">
        <f t="shared" ca="1" si="89"/>
        <v>-1017555.9606419345</v>
      </c>
      <c r="U258" s="963">
        <f t="shared" ca="1" si="89"/>
        <v>-966079.49998320092</v>
      </c>
      <c r="V258" s="963">
        <f t="shared" ca="1" si="89"/>
        <v>-1341212.1823112925</v>
      </c>
      <c r="W258" s="963">
        <f t="shared" ca="1" si="89"/>
        <v>-1670061.927285946</v>
      </c>
      <c r="X258" s="963">
        <f t="shared" ca="1" si="89"/>
        <v>-1956866.8807600925</v>
      </c>
      <c r="Y258" s="963">
        <f t="shared" ca="1" si="89"/>
        <v>-1910382.6323037217</v>
      </c>
      <c r="Z258" s="963">
        <f t="shared" ca="1" si="89"/>
        <v>-1717781.0116782237</v>
      </c>
      <c r="AA258" s="963">
        <f t="shared" ca="1" si="89"/>
        <v>-1502517.4942402157</v>
      </c>
      <c r="AB258" s="195"/>
      <c r="AC258" s="954"/>
    </row>
    <row r="259" spans="1:29" x14ac:dyDescent="0.45">
      <c r="A259" s="952"/>
      <c r="B259" s="195"/>
      <c r="C259" s="195" t="s">
        <v>397</v>
      </c>
      <c r="D259" s="195"/>
      <c r="E259" s="195"/>
      <c r="F259" s="195"/>
      <c r="G259" s="195" t="s">
        <v>406</v>
      </c>
      <c r="H259" s="964">
        <f ca="1">+IF(H254&lt;0,-H254,0)</f>
        <v>0</v>
      </c>
      <c r="I259" s="964">
        <f t="shared" ref="I259:W259" ca="1" si="90">+IF(I254&lt;0,-I254,0)</f>
        <v>0</v>
      </c>
      <c r="J259" s="964">
        <f t="shared" ca="1" si="90"/>
        <v>0</v>
      </c>
      <c r="K259" s="964">
        <f t="shared" ca="1" si="90"/>
        <v>0</v>
      </c>
      <c r="L259" s="964">
        <f t="shared" ca="1" si="90"/>
        <v>0</v>
      </c>
      <c r="M259" s="964">
        <f t="shared" ca="1" si="90"/>
        <v>0</v>
      </c>
      <c r="N259" s="964">
        <f t="shared" ca="1" si="90"/>
        <v>0</v>
      </c>
      <c r="O259" s="964">
        <f t="shared" ca="1" si="90"/>
        <v>0</v>
      </c>
      <c r="P259" s="964">
        <f t="shared" ca="1" si="90"/>
        <v>0</v>
      </c>
      <c r="Q259" s="964">
        <f t="shared" ca="1" si="90"/>
        <v>0</v>
      </c>
      <c r="R259" s="964">
        <f t="shared" ca="1" si="90"/>
        <v>519370.63824687665</v>
      </c>
      <c r="S259" s="964">
        <f t="shared" ca="1" si="90"/>
        <v>1027823.9869402418</v>
      </c>
      <c r="T259" s="964">
        <f t="shared" ca="1" si="90"/>
        <v>1442733.4896074743</v>
      </c>
      <c r="U259" s="964">
        <f t="shared" ca="1" si="90"/>
        <v>1399760.5795280514</v>
      </c>
      <c r="V259" s="964">
        <f t="shared" ca="1" si="90"/>
        <v>1783566.8834470399</v>
      </c>
      <c r="W259" s="964">
        <f t="shared" ca="1" si="90"/>
        <v>2121263.7224444086</v>
      </c>
      <c r="X259" s="964">
        <f t="shared" ref="X259:AA259" ca="1" si="91">+IF(X254&lt;0,-X254,0)</f>
        <v>2417092.7118217242</v>
      </c>
      <c r="Y259" s="964">
        <f t="shared" ca="1" si="91"/>
        <v>2379812.9799865861</v>
      </c>
      <c r="Z259" s="964">
        <f t="shared" ca="1" si="91"/>
        <v>2196599.9663147456</v>
      </c>
      <c r="AA259" s="964">
        <f t="shared" ca="1" si="91"/>
        <v>1990912.8279694677</v>
      </c>
      <c r="AB259" s="195"/>
      <c r="AC259" s="954"/>
    </row>
    <row r="260" spans="1:29" x14ac:dyDescent="0.45">
      <c r="A260" s="952"/>
      <c r="B260" s="195"/>
      <c r="C260" s="195" t="s">
        <v>397</v>
      </c>
      <c r="D260" s="195"/>
      <c r="E260" s="195"/>
      <c r="F260" s="195"/>
      <c r="G260" s="195" t="s">
        <v>407</v>
      </c>
      <c r="H260" s="964">
        <f>+H117</f>
        <v>181059.54421445596</v>
      </c>
      <c r="I260" s="964">
        <f t="shared" ref="I260:AA260" si="92">+I117</f>
        <v>366697.80492419301</v>
      </c>
      <c r="J260" s="964">
        <f t="shared" si="92"/>
        <v>557030.57080434088</v>
      </c>
      <c r="K260" s="964">
        <f t="shared" si="92"/>
        <v>752176.55864695914</v>
      </c>
      <c r="L260" s="964">
        <f t="shared" si="92"/>
        <v>952257.48740859702</v>
      </c>
      <c r="M260" s="964">
        <f t="shared" si="92"/>
        <v>1157398.1541303999</v>
      </c>
      <c r="N260" s="964">
        <f t="shared" si="92"/>
        <v>1367726.5117781204</v>
      </c>
      <c r="O260" s="964">
        <f t="shared" si="92"/>
        <v>1583373.7490505804</v>
      </c>
      <c r="P260" s="964">
        <f t="shared" si="92"/>
        <v>1804474.3722063706</v>
      </c>
      <c r="Q260" s="964">
        <f t="shared" si="92"/>
        <v>2031166.2889598145</v>
      </c>
      <c r="R260" s="964">
        <f t="shared" si="92"/>
        <v>2263590.8944985373</v>
      </c>
      <c r="S260" s="964">
        <f t="shared" si="92"/>
        <v>2501893.1596762836</v>
      </c>
      <c r="T260" s="964">
        <f t="shared" si="92"/>
        <v>2746221.7214359976</v>
      </c>
      <c r="U260" s="964">
        <f t="shared" si="92"/>
        <v>2996728.9755195612</v>
      </c>
      <c r="V260" s="964">
        <f t="shared" si="92"/>
        <v>3253571.1715220185</v>
      </c>
      <c r="W260" s="964">
        <f t="shared" si="92"/>
        <v>3516908.5103495773</v>
      </c>
      <c r="X260" s="964">
        <f t="shared" si="92"/>
        <v>3786905.2441421705</v>
      </c>
      <c r="Y260" s="964">
        <f t="shared" si="92"/>
        <v>4063729.778722907</v>
      </c>
      <c r="Z260" s="964">
        <f t="shared" si="92"/>
        <v>4347554.7786383061</v>
      </c>
      <c r="AA260" s="964">
        <f t="shared" si="92"/>
        <v>4638557.2748548482</v>
      </c>
      <c r="AB260" s="195"/>
      <c r="AC260" s="954"/>
    </row>
    <row r="261" spans="1:29" x14ac:dyDescent="0.45">
      <c r="A261" s="952"/>
      <c r="B261" s="195"/>
      <c r="C261" s="195"/>
      <c r="D261" s="195"/>
      <c r="E261" s="195"/>
      <c r="F261" s="195"/>
      <c r="G261" s="195"/>
      <c r="H261" s="195"/>
      <c r="I261" s="195"/>
      <c r="J261" s="195"/>
      <c r="K261" s="195"/>
      <c r="L261" s="195"/>
      <c r="M261" s="195"/>
      <c r="N261" s="195"/>
      <c r="O261" s="195"/>
      <c r="P261" s="195"/>
      <c r="Q261" s="195"/>
      <c r="R261" s="195"/>
      <c r="S261" s="195"/>
      <c r="T261" s="195"/>
      <c r="U261" s="195"/>
      <c r="V261" s="195"/>
      <c r="W261" s="195"/>
      <c r="X261" s="195"/>
      <c r="Y261" s="195"/>
      <c r="Z261" s="195"/>
      <c r="AA261" s="195"/>
      <c r="AB261" s="195"/>
      <c r="AC261" s="954"/>
    </row>
    <row r="262" spans="1:29" x14ac:dyDescent="0.45">
      <c r="A262" s="965"/>
      <c r="B262" s="966"/>
      <c r="C262" s="966"/>
      <c r="D262" s="966"/>
      <c r="E262" s="966"/>
      <c r="F262" s="966"/>
      <c r="G262" s="966"/>
      <c r="H262" s="966"/>
      <c r="I262" s="966"/>
      <c r="J262" s="966"/>
      <c r="K262" s="966"/>
      <c r="L262" s="966"/>
      <c r="M262" s="966"/>
      <c r="N262" s="966"/>
      <c r="O262" s="966"/>
      <c r="P262" s="966"/>
      <c r="Q262" s="966"/>
      <c r="R262" s="966"/>
      <c r="S262" s="966"/>
      <c r="T262" s="966"/>
      <c r="U262" s="966"/>
      <c r="V262" s="966"/>
      <c r="W262" s="966"/>
      <c r="X262" s="966"/>
      <c r="Y262" s="966"/>
      <c r="Z262" s="966"/>
      <c r="AA262" s="966"/>
      <c r="AB262" s="966"/>
      <c r="AC262" s="967"/>
    </row>
  </sheetData>
  <sheetProtection algorithmName="SHA-512" hashValue="fsHu4qhlNZSsQrywMVapEgEZ1RpbqfjaIsvDsbqdSx3wEgII0aYEwbLzz/FfALvq0IB5bJvZsU2BAjgVh9Hvwg==" saltValue="4VjOp3gQhmGo8sP5YUe4Jw==" spinCount="100000" sheet="1" selectLockedCells="1"/>
  <mergeCells count="11">
    <mergeCell ref="E31:G32"/>
    <mergeCell ref="I34:J37"/>
    <mergeCell ref="C55:G55"/>
    <mergeCell ref="D102:F102"/>
    <mergeCell ref="D101:F101"/>
    <mergeCell ref="D116:F116"/>
    <mergeCell ref="D115:F115"/>
    <mergeCell ref="D92:F92"/>
    <mergeCell ref="D93:F93"/>
    <mergeCell ref="C56:G56"/>
    <mergeCell ref="C108:C109"/>
  </mergeCells>
  <conditionalFormatting sqref="H30">
    <cfRule type="cellIs" dxfId="25" priority="4" operator="equal">
      <formula>"REQUIREMENTS MET"</formula>
    </cfRule>
    <cfRule type="cellIs" dxfId="24" priority="5" operator="equal">
      <formula>"REQUIREMENTS MET"</formula>
    </cfRule>
    <cfRule type="cellIs" dxfId="23" priority="15" operator="equal">
      <formula>"violation exists"</formula>
    </cfRule>
  </conditionalFormatting>
  <conditionalFormatting sqref="D120">
    <cfRule type="cellIs" dxfId="22" priority="12" operator="equal">
      <formula>"YES"</formula>
    </cfRule>
    <cfRule type="cellIs" dxfId="21" priority="13" operator="equal">
      <formula>"NO"</formula>
    </cfRule>
    <cfRule type="cellIs" dxfId="20" priority="14" operator="equal">
      <formula>"NO"</formula>
    </cfRule>
  </conditionalFormatting>
  <conditionalFormatting sqref="D107">
    <cfRule type="cellIs" dxfId="19" priority="9" operator="equal">
      <formula>"YES"</formula>
    </cfRule>
    <cfRule type="cellIs" dxfId="18" priority="10" operator="equal">
      <formula>"NO"</formula>
    </cfRule>
    <cfRule type="cellIs" dxfId="17" priority="11" operator="equal">
      <formula>"NO"</formula>
    </cfRule>
  </conditionalFormatting>
  <conditionalFormatting sqref="D106">
    <cfRule type="cellIs" dxfId="16" priority="6" operator="equal">
      <formula>"YES"</formula>
    </cfRule>
    <cfRule type="cellIs" dxfId="15" priority="7" operator="equal">
      <formula>"NO"</formula>
    </cfRule>
    <cfRule type="cellIs" dxfId="14" priority="8" operator="equal">
      <formula>"NO"</formula>
    </cfRule>
  </conditionalFormatting>
  <conditionalFormatting sqref="D109:D110">
    <cfRule type="cellIs" dxfId="13" priority="1" operator="equal">
      <formula>"YES"</formula>
    </cfRule>
    <cfRule type="cellIs" dxfId="12" priority="2" operator="equal">
      <formula>"NO"</formula>
    </cfRule>
    <cfRule type="cellIs" dxfId="11" priority="3" operator="equal">
      <formula>"NO"</formula>
    </cfRule>
  </conditionalFormatting>
  <hyperlinks>
    <hyperlink ref="J30" location="Uninflated_Needs_iinput" display="Click to jump to Needs input" xr:uid="{00000000-0004-0000-0C00-000000000000}"/>
    <hyperlink ref="K30" location="Graphs" display="Click to jump to see graphs" xr:uid="{00000000-0004-0000-0C00-000001000000}"/>
    <hyperlink ref="I30" location="Minimums_Analysis" display="Click to Min. Analysis" xr:uid="{00000000-0004-0000-0C00-000002000000}"/>
    <hyperlink ref="C56" location="Factor_input_structuring_results" display="See input, summary and violation status" xr:uid="{00000000-0004-0000-0C00-000003000000}"/>
  </hyperlinks>
  <printOptions horizontalCentered="1"/>
  <pageMargins left="0.25" right="0.25" top="0.46" bottom="0.27" header="0.3" footer="0.17"/>
  <pageSetup scale="48" fitToWidth="2" fitToHeight="2" orientation="landscape" r:id="rId1"/>
  <headerFooter>
    <oddHeader>&amp;C&amp;A&amp;R&amp;D
Page &amp;P of &amp;N</oddHeader>
  </headerFooter>
  <colBreaks count="1" manualBreakCount="1">
    <brk id="17" min="1" max="122" man="1"/>
  </col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
    <tabColor theme="0" tint="-0.34998626667073579"/>
  </sheetPr>
  <dimension ref="A1:AJ103"/>
  <sheetViews>
    <sheetView workbookViewId="0"/>
  </sheetViews>
  <sheetFormatPr defaultColWidth="9.06640625" defaultRowHeight="14.25" x14ac:dyDescent="0.45"/>
  <cols>
    <col min="1" max="1" width="2.33203125" style="20" customWidth="1"/>
    <col min="2" max="2" width="3.33203125" style="20" customWidth="1"/>
    <col min="3" max="3" width="33.33203125" style="20" customWidth="1"/>
    <col min="4" max="4" width="4.265625" style="20" customWidth="1"/>
    <col min="5" max="5" width="3.796875" style="20" customWidth="1"/>
    <col min="6" max="6" width="3.59765625" style="20" customWidth="1"/>
    <col min="7" max="7" width="12.265625" style="20" customWidth="1"/>
    <col min="8" max="8" width="1.33203125" style="20" customWidth="1"/>
    <col min="9" max="30" width="12.796875" style="20" customWidth="1"/>
    <col min="31" max="31" width="5.06640625" style="20" customWidth="1"/>
    <col min="32" max="33" width="20.73046875" style="20" customWidth="1"/>
    <col min="34" max="16384" width="9.06640625" style="20"/>
  </cols>
  <sheetData>
    <row r="1" spans="1:31" ht="15" customHeight="1" x14ac:dyDescent="0.45">
      <c r="A1" s="749"/>
      <c r="B1" s="749"/>
      <c r="C1" s="749"/>
      <c r="D1" s="749"/>
      <c r="E1" s="749"/>
      <c r="F1" s="749"/>
      <c r="G1" s="749"/>
      <c r="H1" s="749"/>
      <c r="I1" s="749"/>
      <c r="J1" s="749"/>
      <c r="K1" s="749"/>
      <c r="L1" s="749"/>
      <c r="M1" s="749"/>
      <c r="N1" s="749"/>
      <c r="O1" s="749"/>
      <c r="P1" s="749"/>
      <c r="Q1" s="749"/>
      <c r="R1" s="749"/>
      <c r="S1" s="749"/>
      <c r="T1" s="749"/>
      <c r="U1" s="749"/>
      <c r="V1" s="749"/>
      <c r="W1" s="749"/>
      <c r="X1" s="749"/>
      <c r="Y1" s="749"/>
      <c r="Z1" s="749"/>
      <c r="AA1" s="749"/>
      <c r="AB1" s="749"/>
      <c r="AC1" s="749"/>
      <c r="AD1" s="749"/>
      <c r="AE1" s="752"/>
    </row>
    <row r="2" spans="1:31" ht="36.75" customHeight="1" x14ac:dyDescent="0.45">
      <c r="A2" s="749"/>
      <c r="B2" s="822"/>
      <c r="C2" s="968" t="s">
        <v>121</v>
      </c>
      <c r="D2" s="1196" t="str">
        <f>+'Project Info Entry'!C3</f>
        <v>ABC</v>
      </c>
      <c r="E2" s="1196"/>
      <c r="F2" s="1196"/>
      <c r="G2" s="1196"/>
      <c r="H2" s="1196"/>
      <c r="J2" s="969" t="s">
        <v>122</v>
      </c>
      <c r="K2" s="970" t="str">
        <f>+'Project Info Entry'!C4</f>
        <v>111-11111</v>
      </c>
      <c r="M2" s="969" t="s">
        <v>123</v>
      </c>
      <c r="N2" s="1195" t="str">
        <f ca="1">+'Trial Deposits Engine'!H30</f>
        <v>REQUIREMENTS MET</v>
      </c>
      <c r="O2" s="1195"/>
      <c r="P2" s="1195"/>
      <c r="Q2" s="1195"/>
      <c r="R2" s="823"/>
      <c r="S2" s="1197" t="s">
        <v>124</v>
      </c>
      <c r="T2" s="1197"/>
      <c r="U2" s="1197"/>
      <c r="V2" s="1197"/>
      <c r="W2" s="823"/>
      <c r="X2" s="823"/>
      <c r="Y2" s="823"/>
      <c r="Z2" s="823"/>
      <c r="AA2" s="823"/>
      <c r="AB2" s="823"/>
      <c r="AC2" s="825"/>
      <c r="AD2" s="87"/>
      <c r="AE2" s="752"/>
    </row>
    <row r="3" spans="1:31" ht="5.25" customHeight="1" x14ac:dyDescent="0.45">
      <c r="A3" s="749"/>
      <c r="B3" s="827"/>
      <c r="C3" s="94"/>
      <c r="D3" s="87"/>
      <c r="E3" s="87"/>
      <c r="F3" s="87"/>
      <c r="G3" s="87"/>
      <c r="H3" s="87"/>
      <c r="I3" s="87"/>
      <c r="J3" s="87"/>
      <c r="K3" s="87"/>
      <c r="L3" s="87"/>
      <c r="M3" s="87"/>
      <c r="N3" s="87"/>
      <c r="O3" s="87"/>
      <c r="P3" s="87"/>
      <c r="Q3" s="87"/>
      <c r="R3" s="87"/>
      <c r="S3" s="1198"/>
      <c r="T3" s="1198"/>
      <c r="U3" s="1198"/>
      <c r="V3" s="1198"/>
      <c r="W3" s="87"/>
      <c r="X3" s="87"/>
      <c r="Y3" s="87"/>
      <c r="Z3" s="87"/>
      <c r="AA3" s="87"/>
      <c r="AB3" s="87"/>
      <c r="AC3" s="839"/>
      <c r="AD3" s="87"/>
      <c r="AE3" s="752"/>
    </row>
    <row r="4" spans="1:31" x14ac:dyDescent="0.45">
      <c r="A4" s="749"/>
      <c r="B4" s="827"/>
      <c r="C4" s="69"/>
      <c r="D4" s="971"/>
      <c r="E4" s="87"/>
      <c r="F4" s="87"/>
      <c r="G4" s="87"/>
      <c r="H4" s="87"/>
      <c r="I4" s="94" t="str">
        <f>+'Trial Deposits Engine'!H56</f>
        <v>Relative Year</v>
      </c>
      <c r="J4" s="94" t="str">
        <f>+'Trial Deposits Engine'!I56</f>
        <v>Relative Year</v>
      </c>
      <c r="K4" s="94" t="str">
        <f>+'Trial Deposits Engine'!J56</f>
        <v>Relative Year</v>
      </c>
      <c r="L4" s="94" t="str">
        <f>+'Trial Deposits Engine'!K56</f>
        <v>Relative Year</v>
      </c>
      <c r="M4" s="94" t="str">
        <f>+'Trial Deposits Engine'!L56</f>
        <v>Relative Year</v>
      </c>
      <c r="N4" s="94" t="str">
        <f>+'Trial Deposits Engine'!M56</f>
        <v>Relative Year</v>
      </c>
      <c r="O4" s="94" t="str">
        <f>+'Trial Deposits Engine'!N56</f>
        <v>Relative Year</v>
      </c>
      <c r="P4" s="94" t="str">
        <f>+'Trial Deposits Engine'!O56</f>
        <v>Relative Year</v>
      </c>
      <c r="Q4" s="94" t="str">
        <f>+'Trial Deposits Engine'!P56</f>
        <v>Relative Year</v>
      </c>
      <c r="R4" s="94" t="str">
        <f>+'Trial Deposits Engine'!Q56</f>
        <v>Relative Year</v>
      </c>
      <c r="S4" s="972" t="str">
        <f>+'Trial Deposits Engine'!R56</f>
        <v>Relative Year</v>
      </c>
      <c r="T4" s="94" t="str">
        <f>+'Trial Deposits Engine'!S56</f>
        <v>Relative Year</v>
      </c>
      <c r="U4" s="94" t="str">
        <f>+'Trial Deposits Engine'!T56</f>
        <v>Relative Year</v>
      </c>
      <c r="V4" s="94" t="str">
        <f>+'Trial Deposits Engine'!U56</f>
        <v>Relative Year</v>
      </c>
      <c r="W4" s="94" t="str">
        <f>+'Trial Deposits Engine'!V56</f>
        <v>Relative Year</v>
      </c>
      <c r="X4" s="94" t="str">
        <f>+'Trial Deposits Engine'!W56</f>
        <v>Relative Year</v>
      </c>
      <c r="Y4" s="94" t="str">
        <f>+'Trial Deposits Engine'!X56</f>
        <v>Relative Year</v>
      </c>
      <c r="Z4" s="94" t="str">
        <f>+'Trial Deposits Engine'!Y56</f>
        <v>Relative Year</v>
      </c>
      <c r="AA4" s="94" t="str">
        <f>+'Trial Deposits Engine'!Z56</f>
        <v>Relative Year</v>
      </c>
      <c r="AB4" s="94" t="str">
        <f>+'Trial Deposits Engine'!AA56</f>
        <v>Relative Year</v>
      </c>
      <c r="AC4" s="839"/>
      <c r="AD4" s="87"/>
      <c r="AE4" s="752"/>
    </row>
    <row r="5" spans="1:31" x14ac:dyDescent="0.45">
      <c r="A5" s="749"/>
      <c r="B5" s="827"/>
      <c r="C5" s="87" t="str">
        <f>+'Trial Deposits Engine'!C57</f>
        <v>Year of Deposit or Withdraw</v>
      </c>
      <c r="D5" s="87"/>
      <c r="E5" s="87"/>
      <c r="F5" s="87"/>
      <c r="G5" s="87"/>
      <c r="H5" s="87"/>
      <c r="I5" s="829">
        <f>+'Trial Deposits Engine'!H57</f>
        <v>1</v>
      </c>
      <c r="J5" s="829">
        <f>+'Trial Deposits Engine'!I57</f>
        <v>2</v>
      </c>
      <c r="K5" s="829">
        <f>+'Trial Deposits Engine'!J57</f>
        <v>3</v>
      </c>
      <c r="L5" s="829">
        <f>+'Trial Deposits Engine'!K57</f>
        <v>4</v>
      </c>
      <c r="M5" s="829">
        <f>+'Trial Deposits Engine'!L57</f>
        <v>5</v>
      </c>
      <c r="N5" s="829">
        <f>+'Trial Deposits Engine'!M57</f>
        <v>6</v>
      </c>
      <c r="O5" s="829">
        <f>+'Trial Deposits Engine'!N57</f>
        <v>7</v>
      </c>
      <c r="P5" s="829">
        <f>+'Trial Deposits Engine'!O57</f>
        <v>8</v>
      </c>
      <c r="Q5" s="829">
        <f>+'Trial Deposits Engine'!P57</f>
        <v>9</v>
      </c>
      <c r="R5" s="829">
        <f>+'Trial Deposits Engine'!Q57</f>
        <v>10</v>
      </c>
      <c r="S5" s="973">
        <f>+'Trial Deposits Engine'!R57</f>
        <v>11</v>
      </c>
      <c r="T5" s="829">
        <f>+'Trial Deposits Engine'!S57</f>
        <v>12</v>
      </c>
      <c r="U5" s="829">
        <f>+'Trial Deposits Engine'!T57</f>
        <v>13</v>
      </c>
      <c r="V5" s="829">
        <f>+'Trial Deposits Engine'!U57</f>
        <v>14</v>
      </c>
      <c r="W5" s="829">
        <f>+'Trial Deposits Engine'!V57</f>
        <v>15</v>
      </c>
      <c r="X5" s="829">
        <f>+'Trial Deposits Engine'!W57</f>
        <v>16</v>
      </c>
      <c r="Y5" s="829">
        <f>+'Trial Deposits Engine'!X57</f>
        <v>17</v>
      </c>
      <c r="Z5" s="829">
        <f>+'Trial Deposits Engine'!Y57</f>
        <v>18</v>
      </c>
      <c r="AA5" s="829">
        <f>+'Trial Deposits Engine'!Z57</f>
        <v>19</v>
      </c>
      <c r="AB5" s="829">
        <f>+'Trial Deposits Engine'!AA57</f>
        <v>20</v>
      </c>
      <c r="AC5" s="831" t="str">
        <f>+'Trial Deposits Engine'!AB57</f>
        <v>Totals</v>
      </c>
      <c r="AD5" s="87"/>
      <c r="AE5" s="752"/>
    </row>
    <row r="6" spans="1:31" ht="16.5" x14ac:dyDescent="0.75">
      <c r="A6" s="749"/>
      <c r="B6" s="827"/>
      <c r="C6" s="856" t="str">
        <f>+'Trial Deposits Engine'!C59</f>
        <v>Initial Deposit</v>
      </c>
      <c r="D6" s="837"/>
      <c r="E6" s="837"/>
      <c r="F6" s="837"/>
      <c r="G6" s="87"/>
      <c r="H6" s="87"/>
      <c r="I6" s="974">
        <f>+'Trial Deposits Engine'!H59</f>
        <v>466925</v>
      </c>
      <c r="J6" s="975"/>
      <c r="K6" s="975"/>
      <c r="L6" s="975"/>
      <c r="M6" s="975"/>
      <c r="N6" s="975"/>
      <c r="O6" s="975"/>
      <c r="P6" s="975"/>
      <c r="Q6" s="975"/>
      <c r="R6" s="975"/>
      <c r="S6" s="976">
        <f>+'Trial Deposits Engine'!R59</f>
        <v>0</v>
      </c>
      <c r="T6" s="975"/>
      <c r="U6" s="975"/>
      <c r="V6" s="975"/>
      <c r="W6" s="975"/>
      <c r="X6" s="975"/>
      <c r="Y6" s="975"/>
      <c r="Z6" s="975"/>
      <c r="AA6" s="975"/>
      <c r="AB6" s="975"/>
      <c r="AC6" s="977">
        <f>SUM(I6:AB6)</f>
        <v>466925</v>
      </c>
      <c r="AD6" s="87"/>
      <c r="AE6" s="752"/>
    </row>
    <row r="7" spans="1:31" x14ac:dyDescent="0.45">
      <c r="A7" s="749"/>
      <c r="B7" s="827"/>
      <c r="C7" s="978" t="str">
        <f>+'Trial Deposits Engine'!C60</f>
        <v>RfR Beginning Balance</v>
      </c>
      <c r="D7" s="87"/>
      <c r="E7" s="87"/>
      <c r="F7" s="87"/>
      <c r="G7" s="87"/>
      <c r="H7" s="87"/>
      <c r="I7" s="979">
        <f>+'Trial Deposits Engine'!H60</f>
        <v>466925</v>
      </c>
      <c r="J7" s="975">
        <f ca="1">+'Trial Deposits Engine'!I60</f>
        <v>725130.25</v>
      </c>
      <c r="K7" s="975">
        <f ca="1">+'Trial Deposits Engine'!J60</f>
        <v>990988.27249999996</v>
      </c>
      <c r="L7" s="975">
        <f ca="1">+'Trial Deposits Engine'!K60</f>
        <v>924537.53098749998</v>
      </c>
      <c r="M7" s="975">
        <f ca="1">+'Trial Deposits Engine'!L60</f>
        <v>919611.60544031253</v>
      </c>
      <c r="N7" s="975">
        <f ca="1">+'Trial Deposits Engine'!M60</f>
        <v>693744.4796396771</v>
      </c>
      <c r="O7" s="975">
        <f ca="1">+'Trial Deposits Engine'!N60</f>
        <v>510675.35735438741</v>
      </c>
      <c r="P7" s="975">
        <f ca="1">+'Trial Deposits Engine'!O60</f>
        <v>377894.07284522068</v>
      </c>
      <c r="Q7" s="975">
        <f ca="1">+'Trial Deposits Engine'!P60</f>
        <v>401502.72337102686</v>
      </c>
      <c r="R7" s="975">
        <f ca="1">+'Trial Deposits Engine'!Q60</f>
        <v>480981.93704338267</v>
      </c>
      <c r="S7" s="980">
        <f ca="1">+'Trial Deposits Engine'!R60</f>
        <v>433773.61557725974</v>
      </c>
      <c r="T7" s="975">
        <f ca="1">+'Trial Deposits Engine'!S60</f>
        <v>-110703.27092129062</v>
      </c>
      <c r="U7" s="975">
        <f ca="1">+'Trial Deposits Engine'!T60</f>
        <v>-610983.27226814406</v>
      </c>
      <c r="V7" s="975">
        <f ca="1">+'Trial Deposits Engine'!U60</f>
        <v>-1017555.9606419345</v>
      </c>
      <c r="W7" s="975">
        <f ca="1">+'Trial Deposits Engine'!V60</f>
        <v>-966079.49998320092</v>
      </c>
      <c r="X7" s="975">
        <f ca="1">+'Trial Deposits Engine'!W60</f>
        <v>-1341212.1823112925</v>
      </c>
      <c r="Y7" s="975">
        <f ca="1">+'Trial Deposits Engine'!X60</f>
        <v>-1670061.927285946</v>
      </c>
      <c r="Z7" s="975">
        <f ca="1">+'Trial Deposits Engine'!Y60</f>
        <v>-1956866.8807600925</v>
      </c>
      <c r="AA7" s="975">
        <f ca="1">+'Trial Deposits Engine'!Z60</f>
        <v>-1910382.6323037217</v>
      </c>
      <c r="AB7" s="975">
        <f ca="1">+'Trial Deposits Engine'!AA60</f>
        <v>-1717781.0116782237</v>
      </c>
      <c r="AC7" s="981"/>
      <c r="AD7" s="87"/>
      <c r="AE7" s="752"/>
    </row>
    <row r="8" spans="1:31" ht="16.5" x14ac:dyDescent="0.75">
      <c r="A8" s="749"/>
      <c r="B8" s="827"/>
      <c r="C8" s="841" t="str">
        <f>+'Trial Deposits Engine'!C62</f>
        <v>Interest Income on RfR balance</v>
      </c>
      <c r="D8" s="87"/>
      <c r="E8" s="87"/>
      <c r="F8" s="87"/>
      <c r="G8" s="87"/>
      <c r="H8" s="87"/>
      <c r="I8" s="982">
        <f ca="1">+'Trial Deposits Engine'!H62</f>
        <v>4669.25</v>
      </c>
      <c r="J8" s="982">
        <f ca="1">+'Trial Deposits Engine'!I62</f>
        <v>7251.3024999999998</v>
      </c>
      <c r="K8" s="982">
        <f ca="1">+'Trial Deposits Engine'!J62</f>
        <v>14864.824087499999</v>
      </c>
      <c r="L8" s="982">
        <f ca="1">+'Trial Deposits Engine'!K62</f>
        <v>13868.0629648125</v>
      </c>
      <c r="M8" s="982">
        <f ca="1">+'Trial Deposits Engine'!L62</f>
        <v>13794.174081604688</v>
      </c>
      <c r="N8" s="982">
        <f ca="1">+'Trial Deposits Engine'!M62</f>
        <v>10406.167194595157</v>
      </c>
      <c r="O8" s="982">
        <f ca="1">+'Trial Deposits Engine'!N62</f>
        <v>7660.1303603158112</v>
      </c>
      <c r="P8" s="982">
        <f ca="1">+'Trial Deposits Engine'!O62</f>
        <v>5668.4110926783096</v>
      </c>
      <c r="Q8" s="982">
        <f ca="1">+'Trial Deposits Engine'!P62</f>
        <v>6022.5408505654032</v>
      </c>
      <c r="R8" s="982">
        <f ca="1">+'Trial Deposits Engine'!Q62</f>
        <v>7214.7290556507396</v>
      </c>
      <c r="S8" s="983">
        <f ca="1">+'Trial Deposits Engine'!R62</f>
        <v>6506.6042336588962</v>
      </c>
      <c r="T8" s="982">
        <f ca="1">+'Trial Deposits Engine'!S62</f>
        <v>0</v>
      </c>
      <c r="U8" s="982">
        <f ca="1">+'Trial Deposits Engine'!T62</f>
        <v>0</v>
      </c>
      <c r="V8" s="982">
        <f ca="1">+'Trial Deposits Engine'!U62</f>
        <v>0</v>
      </c>
      <c r="W8" s="982">
        <f ca="1">+'Trial Deposits Engine'!V62</f>
        <v>0</v>
      </c>
      <c r="X8" s="982">
        <f ca="1">+'Trial Deposits Engine'!W62</f>
        <v>0</v>
      </c>
      <c r="Y8" s="982">
        <f ca="1">+'Trial Deposits Engine'!X62</f>
        <v>0</v>
      </c>
      <c r="Z8" s="982">
        <f ca="1">+'Trial Deposits Engine'!Y62</f>
        <v>0</v>
      </c>
      <c r="AA8" s="982">
        <f ca="1">+'Trial Deposits Engine'!Z62</f>
        <v>0</v>
      </c>
      <c r="AB8" s="982">
        <f ca="1">+'Trial Deposits Engine'!AA62</f>
        <v>0</v>
      </c>
      <c r="AC8" s="977">
        <f ca="1">+'Trial Deposits Engine'!AB62</f>
        <v>97926.196421381508</v>
      </c>
      <c r="AD8" s="87"/>
      <c r="AE8" s="752"/>
    </row>
    <row r="9" spans="1:31" x14ac:dyDescent="0.45">
      <c r="A9" s="749"/>
      <c r="B9" s="827"/>
      <c r="C9" s="841" t="str">
        <f>+'Trial Deposits Engine'!C63</f>
        <v>RfR balance before RfR deposit</v>
      </c>
      <c r="D9" s="87"/>
      <c r="E9" s="87"/>
      <c r="F9" s="87"/>
      <c r="G9" s="87"/>
      <c r="H9" s="87"/>
      <c r="I9" s="984">
        <f ca="1">+'Trial Deposits Engine'!H63</f>
        <v>471594.25</v>
      </c>
      <c r="J9" s="984">
        <f ca="1">+'Trial Deposits Engine'!I63</f>
        <v>732381.55249999999</v>
      </c>
      <c r="K9" s="984">
        <f ca="1">+'Trial Deposits Engine'!J63</f>
        <v>1005853.0965875</v>
      </c>
      <c r="L9" s="984">
        <f ca="1">+'Trial Deposits Engine'!K63</f>
        <v>938405.59395231248</v>
      </c>
      <c r="M9" s="984">
        <f ca="1">+'Trial Deposits Engine'!L63</f>
        <v>933405.77952191723</v>
      </c>
      <c r="N9" s="984">
        <f ca="1">+'Trial Deposits Engine'!M63</f>
        <v>704150.64683427231</v>
      </c>
      <c r="O9" s="984">
        <f ca="1">+'Trial Deposits Engine'!N63</f>
        <v>518335.48771470319</v>
      </c>
      <c r="P9" s="984">
        <f ca="1">+'Trial Deposits Engine'!O63</f>
        <v>383562.483937899</v>
      </c>
      <c r="Q9" s="984">
        <f ca="1">+'Trial Deposits Engine'!P63</f>
        <v>407525.26422159228</v>
      </c>
      <c r="R9" s="984">
        <f ca="1">+'Trial Deposits Engine'!Q63</f>
        <v>488196.66609903343</v>
      </c>
      <c r="S9" s="985">
        <f ca="1">+'Trial Deposits Engine'!R63</f>
        <v>440280.21981091861</v>
      </c>
      <c r="T9" s="984">
        <f ca="1">+'Trial Deposits Engine'!S63</f>
        <v>-110703.27092129062</v>
      </c>
      <c r="U9" s="984">
        <f ca="1">+'Trial Deposits Engine'!T63</f>
        <v>-610983.27226814406</v>
      </c>
      <c r="V9" s="984">
        <f ca="1">+'Trial Deposits Engine'!U63</f>
        <v>-1017555.9606419345</v>
      </c>
      <c r="W9" s="984">
        <f ca="1">+'Trial Deposits Engine'!V63</f>
        <v>-966079.49998320092</v>
      </c>
      <c r="X9" s="984">
        <f ca="1">+'Trial Deposits Engine'!W63</f>
        <v>-1341212.1823112925</v>
      </c>
      <c r="Y9" s="984">
        <f ca="1">+'Trial Deposits Engine'!X63</f>
        <v>-1670061.927285946</v>
      </c>
      <c r="Z9" s="984">
        <f ca="1">+'Trial Deposits Engine'!Y63</f>
        <v>-1956866.8807600925</v>
      </c>
      <c r="AA9" s="984">
        <f ca="1">+'Trial Deposits Engine'!Z63</f>
        <v>-1910382.6323037217</v>
      </c>
      <c r="AB9" s="984">
        <f ca="1">+'Trial Deposits Engine'!AA63</f>
        <v>-1717781.0116782237</v>
      </c>
      <c r="AC9" s="981"/>
      <c r="AD9" s="87"/>
      <c r="AE9" s="752"/>
    </row>
    <row r="10" spans="1:31" ht="16.5" x14ac:dyDescent="0.75">
      <c r="A10" s="749"/>
      <c r="B10" s="827"/>
      <c r="C10" s="87" t="str">
        <f>+'Trial Deposits Engine'!C69</f>
        <v>RfR Deposit (as inflated)</v>
      </c>
      <c r="D10" s="87"/>
      <c r="E10" s="87"/>
      <c r="F10" s="87"/>
      <c r="G10" s="87"/>
      <c r="H10" s="87"/>
      <c r="I10" s="986">
        <f>+'Trial Deposits Engine'!H69+'Trial Deposits Engine'!H64</f>
        <v>253536</v>
      </c>
      <c r="J10" s="986">
        <f ca="1">+'Trial Deposits Engine'!I69+'Trial Deposits Engine'!I64</f>
        <v>258606.72</v>
      </c>
      <c r="K10" s="986">
        <f ca="1">+'Trial Deposits Engine'!J69+'Trial Deposits Engine'!J64</f>
        <v>263778.85440000001</v>
      </c>
      <c r="L10" s="986">
        <f ca="1">+'Trial Deposits Engine'!K69+'Trial Deposits Engine'!K64</f>
        <v>269054.43148799997</v>
      </c>
      <c r="M10" s="986">
        <f ca="1">+'Trial Deposits Engine'!L69+'Trial Deposits Engine'!L64</f>
        <v>274435.52011776</v>
      </c>
      <c r="N10" s="986">
        <f ca="1">+'Trial Deposits Engine'!M69+'Trial Deposits Engine'!M64</f>
        <v>279924.23052011523</v>
      </c>
      <c r="O10" s="986">
        <f ca="1">+'Trial Deposits Engine'!N69+'Trial Deposits Engine'!N64</f>
        <v>285522.71513051749</v>
      </c>
      <c r="P10" s="986">
        <f ca="1">+'Trial Deposits Engine'!O69+'Trial Deposits Engine'!O64</f>
        <v>291233.16943312786</v>
      </c>
      <c r="Q10" s="986">
        <f ca="1">+'Trial Deposits Engine'!P69+'Trial Deposits Engine'!P64</f>
        <v>297057.83282179048</v>
      </c>
      <c r="R10" s="986">
        <f ca="1">+'Trial Deposits Engine'!Q69+'Trial Deposits Engine'!Q64</f>
        <v>302998.98947822629</v>
      </c>
      <c r="S10" s="987">
        <f ca="1">+'Trial Deposits Engine'!R69+'Trial Deposits Engine'!R64</f>
        <v>309058.96926779079</v>
      </c>
      <c r="T10" s="986">
        <f ca="1">+'Trial Deposits Engine'!S69+'Trial Deposits Engine'!S64</f>
        <v>315240.14865314658</v>
      </c>
      <c r="U10" s="986">
        <f ca="1">+'Trial Deposits Engine'!T69+'Trial Deposits Engine'!T64</f>
        <v>321544.95162620954</v>
      </c>
      <c r="V10" s="986">
        <f ca="1">+'Trial Deposits Engine'!U69+'Trial Deposits Engine'!U64</f>
        <v>327975.85065873369</v>
      </c>
      <c r="W10" s="986">
        <f ca="1">+'Trial Deposits Engine'!V69+'Trial Deposits Engine'!V64</f>
        <v>334535.3676719084</v>
      </c>
      <c r="X10" s="986">
        <f ca="1">+'Trial Deposits Engine'!W69+'Trial Deposits Engine'!W64</f>
        <v>341226.0750253466</v>
      </c>
      <c r="Y10" s="986">
        <f ca="1">+'Trial Deposits Engine'!X69+'Trial Deposits Engine'!X64</f>
        <v>348050.5965258535</v>
      </c>
      <c r="Z10" s="986">
        <f ca="1">+'Trial Deposits Engine'!Y69+'Trial Deposits Engine'!Y64</f>
        <v>355011.60845637065</v>
      </c>
      <c r="AA10" s="986">
        <f ca="1">+'Trial Deposits Engine'!Z69+'Trial Deposits Engine'!Z64</f>
        <v>362111.84062549804</v>
      </c>
      <c r="AB10" s="986">
        <f ca="1">+'Trial Deposits Engine'!AA69+'Trial Deposits Engine'!AA64</f>
        <v>369354.07743800798</v>
      </c>
      <c r="AC10" s="988">
        <f ca="1">+'Trial Deposits Engine'!AB69+'Trial Deposits Engine'!AB64</f>
        <v>6160257.9493384035</v>
      </c>
      <c r="AD10" s="975">
        <f ca="1">+AC6+AC8+AC10</f>
        <v>6725109.1457597855</v>
      </c>
      <c r="AE10" s="752"/>
    </row>
    <row r="11" spans="1:31" ht="16.5" x14ac:dyDescent="0.75">
      <c r="A11" s="749"/>
      <c r="B11" s="827"/>
      <c r="C11" s="87" t="str">
        <f>+'Trial Deposits Engine'!C70</f>
        <v>RfR balance Available for Needs</v>
      </c>
      <c r="D11" s="87"/>
      <c r="E11" s="87"/>
      <c r="F11" s="87"/>
      <c r="G11" s="87"/>
      <c r="H11" s="87"/>
      <c r="I11" s="989">
        <f ca="1">+'Trial Deposits Engine'!H70</f>
        <v>725130.25</v>
      </c>
      <c r="J11" s="989">
        <f ca="1">+'Trial Deposits Engine'!I70</f>
        <v>990988.27249999996</v>
      </c>
      <c r="K11" s="989">
        <f ca="1">+'Trial Deposits Engine'!J70</f>
        <v>1269631.9509874999</v>
      </c>
      <c r="L11" s="989">
        <f ca="1">+'Trial Deposits Engine'!K70</f>
        <v>1207460.0254403125</v>
      </c>
      <c r="M11" s="989">
        <f ca="1">+'Trial Deposits Engine'!L70</f>
        <v>1207841.2996396772</v>
      </c>
      <c r="N11" s="989">
        <f ca="1">+'Trial Deposits Engine'!M70</f>
        <v>984074.87735438743</v>
      </c>
      <c r="O11" s="989">
        <f ca="1">+'Trial Deposits Engine'!N70</f>
        <v>803858.20284522069</v>
      </c>
      <c r="P11" s="989">
        <f ca="1">+'Trial Deposits Engine'!O70</f>
        <v>674795.65337102686</v>
      </c>
      <c r="Q11" s="989">
        <f ca="1">+'Trial Deposits Engine'!P70</f>
        <v>704583.0970433827</v>
      </c>
      <c r="R11" s="989">
        <f ca="1">+'Trial Deposits Engine'!Q70</f>
        <v>791195.65557725972</v>
      </c>
      <c r="S11" s="990">
        <f ca="1">+'Trial Deposits Engine'!R70</f>
        <v>749339.18907870934</v>
      </c>
      <c r="T11" s="989">
        <f ca="1">+'Trial Deposits Engine'!S70</f>
        <v>204536.87773185596</v>
      </c>
      <c r="U11" s="989">
        <f ca="1">+'Trial Deposits Engine'!T70</f>
        <v>-289438.32064193452</v>
      </c>
      <c r="V11" s="989">
        <f ca="1">+'Trial Deposits Engine'!U70</f>
        <v>-689580.10998320091</v>
      </c>
      <c r="W11" s="989">
        <f ca="1">+'Trial Deposits Engine'!V70</f>
        <v>-631544.13231129246</v>
      </c>
      <c r="X11" s="989">
        <f ca="1">+'Trial Deposits Engine'!W70</f>
        <v>-999986.10728594591</v>
      </c>
      <c r="Y11" s="989">
        <f ca="1">+'Trial Deposits Engine'!X70</f>
        <v>-1322011.3307600925</v>
      </c>
      <c r="Z11" s="989">
        <f ca="1">+'Trial Deposits Engine'!Y70</f>
        <v>-1601855.2723037219</v>
      </c>
      <c r="AA11" s="989">
        <f ca="1">+'Trial Deposits Engine'!Z70</f>
        <v>-1548270.7916782238</v>
      </c>
      <c r="AB11" s="989">
        <f ca="1">+'Trial Deposits Engine'!AA70</f>
        <v>-1348426.9342402157</v>
      </c>
      <c r="AC11" s="988"/>
      <c r="AD11" s="87"/>
      <c r="AE11" s="752"/>
    </row>
    <row r="12" spans="1:31" ht="16.5" x14ac:dyDescent="0.75">
      <c r="A12" s="749"/>
      <c r="B12" s="827"/>
      <c r="C12" s="841" t="str">
        <f>+'Trial Deposits Engine'!C78</f>
        <v>Inflated Needs (Withdrawal)</v>
      </c>
      <c r="D12" s="87"/>
      <c r="E12" s="87"/>
      <c r="F12" s="87"/>
      <c r="G12" s="87"/>
      <c r="H12" s="87"/>
      <c r="I12" s="986">
        <f>+'Trial Deposits Engine'!H78</f>
        <v>0</v>
      </c>
      <c r="J12" s="986">
        <f>+'Trial Deposits Engine'!I78</f>
        <v>0</v>
      </c>
      <c r="K12" s="986">
        <f>+'Trial Deposits Engine'!J78</f>
        <v>-345094.42</v>
      </c>
      <c r="L12" s="986">
        <f>+'Trial Deposits Engine'!K78</f>
        <v>-287848.42</v>
      </c>
      <c r="M12" s="986">
        <f>+'Trial Deposits Engine'!L78</f>
        <v>-514096.82</v>
      </c>
      <c r="N12" s="986">
        <f>+'Trial Deposits Engine'!M78</f>
        <v>-473399.52</v>
      </c>
      <c r="O12" s="986">
        <f>+'Trial Deposits Engine'!N78</f>
        <v>-425964.13</v>
      </c>
      <c r="P12" s="986">
        <f>+'Trial Deposits Engine'!O78</f>
        <v>-273292.93</v>
      </c>
      <c r="Q12" s="986">
        <f>+'Trial Deposits Engine'!P78</f>
        <v>-223601.16</v>
      </c>
      <c r="R12" s="986">
        <f>+'Trial Deposits Engine'!Q78</f>
        <v>-357422.04</v>
      </c>
      <c r="S12" s="987">
        <f>+'Trial Deposits Engine'!R78</f>
        <v>-860042.46</v>
      </c>
      <c r="T12" s="986">
        <f>+'Trial Deposits Engine'!S78</f>
        <v>-815520.15</v>
      </c>
      <c r="U12" s="986">
        <f>+'Trial Deposits Engine'!T78</f>
        <v>-728117.64</v>
      </c>
      <c r="V12" s="986">
        <f>+'Trial Deposits Engine'!U78</f>
        <v>-276499.39</v>
      </c>
      <c r="W12" s="986">
        <f>+'Trial Deposits Engine'!V78</f>
        <v>-709668.05</v>
      </c>
      <c r="X12" s="986">
        <f>+'Trial Deposits Engine'!W78</f>
        <v>-670075.81999999995</v>
      </c>
      <c r="Y12" s="986">
        <f>+'Trial Deposits Engine'!X78</f>
        <v>-634855.55000000005</v>
      </c>
      <c r="Z12" s="986">
        <f>+'Trial Deposits Engine'!Y78</f>
        <v>-308527.35999999999</v>
      </c>
      <c r="AA12" s="986">
        <f>+'Trial Deposits Engine'!Z78</f>
        <v>-169510.22</v>
      </c>
      <c r="AB12" s="986">
        <f>+'Trial Deposits Engine'!AA78</f>
        <v>-154090.56</v>
      </c>
      <c r="AC12" s="988">
        <f>+'Trial Deposits Engine'!AB78</f>
        <v>-8227626.6399999997</v>
      </c>
      <c r="AD12" s="87"/>
      <c r="AE12" s="752"/>
    </row>
    <row r="13" spans="1:31" ht="16.5" x14ac:dyDescent="0.75">
      <c r="A13" s="749"/>
      <c r="B13" s="827"/>
      <c r="C13" s="841" t="str">
        <f>+'Trial Deposits Engine'!C79</f>
        <v>Ending RfR Balance</v>
      </c>
      <c r="D13" s="87"/>
      <c r="E13" s="87"/>
      <c r="F13" s="87"/>
      <c r="G13" s="87"/>
      <c r="H13" s="87"/>
      <c r="I13" s="991">
        <f ca="1">+'Trial Deposits Engine'!H79</f>
        <v>725130.25</v>
      </c>
      <c r="J13" s="991">
        <f ca="1">+'Trial Deposits Engine'!I79</f>
        <v>990988.27249999996</v>
      </c>
      <c r="K13" s="991">
        <f ca="1">+'Trial Deposits Engine'!J79</f>
        <v>924537.53098749998</v>
      </c>
      <c r="L13" s="991">
        <f ca="1">+'Trial Deposits Engine'!K79</f>
        <v>919611.60544031253</v>
      </c>
      <c r="M13" s="991">
        <f ca="1">+'Trial Deposits Engine'!L79</f>
        <v>693744.4796396771</v>
      </c>
      <c r="N13" s="991">
        <f ca="1">+'Trial Deposits Engine'!M79</f>
        <v>510675.35735438741</v>
      </c>
      <c r="O13" s="991">
        <f ca="1">+'Trial Deposits Engine'!N79</f>
        <v>377894.07284522068</v>
      </c>
      <c r="P13" s="991">
        <f ca="1">+'Trial Deposits Engine'!O79</f>
        <v>401502.72337102686</v>
      </c>
      <c r="Q13" s="991">
        <f ca="1">+'Trial Deposits Engine'!P79</f>
        <v>480981.93704338267</v>
      </c>
      <c r="R13" s="991">
        <f ca="1">+'Trial Deposits Engine'!Q79</f>
        <v>433773.61557725974</v>
      </c>
      <c r="S13" s="992">
        <f ca="1">+'Trial Deposits Engine'!R79</f>
        <v>-110703.27092129062</v>
      </c>
      <c r="T13" s="991">
        <f ca="1">+'Trial Deposits Engine'!S79</f>
        <v>-610983.27226814406</v>
      </c>
      <c r="U13" s="991">
        <f ca="1">+'Trial Deposits Engine'!T79</f>
        <v>-1017555.9606419345</v>
      </c>
      <c r="V13" s="991">
        <f ca="1">+'Trial Deposits Engine'!U79</f>
        <v>-966079.49998320092</v>
      </c>
      <c r="W13" s="991">
        <f ca="1">+'Trial Deposits Engine'!V79</f>
        <v>-1341212.1823112925</v>
      </c>
      <c r="X13" s="991">
        <f ca="1">+'Trial Deposits Engine'!W79</f>
        <v>-1670061.927285946</v>
      </c>
      <c r="Y13" s="991">
        <f ca="1">+'Trial Deposits Engine'!X79</f>
        <v>-1956866.8807600925</v>
      </c>
      <c r="Z13" s="991">
        <f ca="1">+'Trial Deposits Engine'!Y79</f>
        <v>-1910382.6323037217</v>
      </c>
      <c r="AA13" s="991">
        <f ca="1">+'Trial Deposits Engine'!Z79</f>
        <v>-1717781.0116782237</v>
      </c>
      <c r="AB13" s="991">
        <f ca="1">+'Trial Deposits Engine'!AA79</f>
        <v>-1502517.4942402157</v>
      </c>
      <c r="AC13" s="988"/>
      <c r="AD13" s="87"/>
      <c r="AE13" s="752"/>
    </row>
    <row r="14" spans="1:31" ht="21" customHeight="1" x14ac:dyDescent="0.45">
      <c r="A14" s="749"/>
      <c r="B14" s="822"/>
      <c r="C14" s="993" t="str">
        <f>+'Trial Deposits Engine'!C97</f>
        <v>Min. Balance/Mitigation Analysis Years 1-10,11-end of Est. Per.</v>
      </c>
      <c r="D14" s="994"/>
      <c r="E14" s="823"/>
      <c r="F14" s="995"/>
      <c r="G14" s="995"/>
      <c r="H14" s="995"/>
      <c r="I14" s="996"/>
      <c r="J14" s="996"/>
      <c r="K14" s="996"/>
      <c r="L14" s="996"/>
      <c r="M14" s="996"/>
      <c r="N14" s="996"/>
      <c r="O14" s="996"/>
      <c r="P14" s="996"/>
      <c r="Q14" s="996"/>
      <c r="R14" s="996"/>
      <c r="S14" s="997"/>
      <c r="T14" s="996"/>
      <c r="U14" s="996"/>
      <c r="V14" s="996"/>
      <c r="W14" s="996"/>
      <c r="X14" s="996"/>
      <c r="Y14" s="996"/>
      <c r="Z14" s="996"/>
      <c r="AA14" s="996"/>
      <c r="AB14" s="996"/>
      <c r="AC14" s="998"/>
      <c r="AD14" s="87"/>
      <c r="AE14" s="752"/>
    </row>
    <row r="15" spans="1:31" x14ac:dyDescent="0.45">
      <c r="A15" s="749"/>
      <c r="B15" s="827"/>
      <c r="C15" s="999" t="s">
        <v>125</v>
      </c>
      <c r="D15" s="1000"/>
      <c r="E15" s="1000"/>
      <c r="F15" s="1001"/>
      <c r="G15" s="1002"/>
      <c r="H15" s="921"/>
      <c r="I15" s="1003">
        <f>+'Trial Deposits Engine'!H102</f>
        <v>-335249.58</v>
      </c>
      <c r="J15" s="1003">
        <f ca="1">+'Trial Deposits Engine'!I102</f>
        <v>-341954.57160000002</v>
      </c>
      <c r="K15" s="1003">
        <f ca="1">+'Trial Deposits Engine'!J102</f>
        <v>-348793.66303200001</v>
      </c>
      <c r="L15" s="1003">
        <f ca="1">+'Trial Deposits Engine'!K102</f>
        <v>-355769.53629263997</v>
      </c>
      <c r="M15" s="1003">
        <f ca="1">+'Trial Deposits Engine'!L102</f>
        <v>-362884.92701849283</v>
      </c>
      <c r="N15" s="1003">
        <f ca="1">+'Trial Deposits Engine'!M102</f>
        <v>-370142.6255588627</v>
      </c>
      <c r="O15" s="1003">
        <f ca="1">+'Trial Deposits Engine'!N102</f>
        <v>-377545.47807003994</v>
      </c>
      <c r="P15" s="1003">
        <f ca="1">+'Trial Deposits Engine'!O102</f>
        <v>-385096.38763144077</v>
      </c>
      <c r="Q15" s="1003">
        <f ca="1">+'Trial Deposits Engine'!P102</f>
        <v>-392798.31538406957</v>
      </c>
      <c r="R15" s="1003">
        <f ca="1">+'Trial Deposits Engine'!Q102</f>
        <v>-400654.28169175098</v>
      </c>
      <c r="S15" s="1004">
        <f ca="1">+'Trial Deposits Engine'!R102</f>
        <v>-408667.36732558603</v>
      </c>
      <c r="T15" s="1003">
        <f ca="1">+'Trial Deposits Engine'!S102</f>
        <v>-416840.7146720977</v>
      </c>
      <c r="U15" s="1003">
        <f ca="1">+'Trial Deposits Engine'!T102</f>
        <v>-425177.52896553965</v>
      </c>
      <c r="V15" s="1003">
        <f ca="1">+'Trial Deposits Engine'!U102</f>
        <v>-433681.07954485045</v>
      </c>
      <c r="W15" s="1003">
        <f ca="1">+'Trial Deposits Engine'!V102</f>
        <v>-442354.70113574748</v>
      </c>
      <c r="X15" s="1003">
        <f ca="1">+'Trial Deposits Engine'!W102</f>
        <v>-451201.79515846248</v>
      </c>
      <c r="Y15" s="1003">
        <f ca="1">+'Trial Deposits Engine'!X102</f>
        <v>-460225.83106163173</v>
      </c>
      <c r="Z15" s="1003">
        <f ca="1">+'Trial Deposits Engine'!Y102</f>
        <v>-469430.34768286441</v>
      </c>
      <c r="AA15" s="1003">
        <f ca="1">+'Trial Deposits Engine'!Z102</f>
        <v>-478818.9546365217</v>
      </c>
      <c r="AB15" s="1003">
        <f ca="1">+'Trial Deposits Engine'!AA102</f>
        <v>-488395.3337292521</v>
      </c>
      <c r="AC15" s="943"/>
      <c r="AD15" s="87"/>
      <c r="AE15" s="752"/>
    </row>
    <row r="16" spans="1:31" ht="14.65" thickBot="1" x14ac:dyDescent="0.5">
      <c r="A16" s="749"/>
      <c r="C16" s="999"/>
      <c r="D16" s="1000"/>
      <c r="E16" s="1000"/>
      <c r="F16" s="1001"/>
      <c r="G16" s="1005" t="s">
        <v>126</v>
      </c>
      <c r="H16" s="921"/>
      <c r="I16" s="1006">
        <f ca="1">+'Trial Deposits Engine'!H103</f>
        <v>389880.67</v>
      </c>
      <c r="J16" s="1006">
        <f ca="1">+'Trial Deposits Engine'!I103</f>
        <v>649033.70089999994</v>
      </c>
      <c r="K16" s="1006">
        <f ca="1">+'Trial Deposits Engine'!J103</f>
        <v>575743.86795550003</v>
      </c>
      <c r="L16" s="1006">
        <f ca="1">+'Trial Deposits Engine'!K103</f>
        <v>563842.0691476725</v>
      </c>
      <c r="M16" s="1006">
        <f ca="1">+'Trial Deposits Engine'!L103</f>
        <v>330859.55262118427</v>
      </c>
      <c r="N16" s="1006">
        <f ca="1">+'Trial Deposits Engine'!M103</f>
        <v>140532.73179552471</v>
      </c>
      <c r="O16" s="1006">
        <f ca="1">+'Trial Deposits Engine'!N103</f>
        <v>348.59477518073982</v>
      </c>
      <c r="P16" s="1006">
        <f ca="1">+'Trial Deposits Engine'!O103</f>
        <v>16406.335739586095</v>
      </c>
      <c r="Q16" s="1006">
        <f ca="1">+'Trial Deposits Engine'!P103</f>
        <v>88183.621659313096</v>
      </c>
      <c r="R16" s="1006">
        <f ca="1">+'Trial Deposits Engine'!Q103</f>
        <v>33119.333885508764</v>
      </c>
      <c r="S16" s="1007">
        <f ca="1">+'Trial Deposits Engine'!R103</f>
        <v>-519370.63824687665</v>
      </c>
      <c r="T16" s="1008">
        <f ca="1">+'Trial Deposits Engine'!S103</f>
        <v>-1027823.9869402418</v>
      </c>
      <c r="U16" s="1008">
        <f ca="1">+'Trial Deposits Engine'!T103</f>
        <v>-1442733.4896074743</v>
      </c>
      <c r="V16" s="1008">
        <f ca="1">+'Trial Deposits Engine'!U103</f>
        <v>-1399760.5795280514</v>
      </c>
      <c r="W16" s="1008">
        <f ca="1">+'Trial Deposits Engine'!V103</f>
        <v>-1783566.8834470399</v>
      </c>
      <c r="X16" s="1008">
        <f ca="1">+'Trial Deposits Engine'!W103</f>
        <v>-2121263.7224444086</v>
      </c>
      <c r="Y16" s="1008">
        <f ca="1">+'Trial Deposits Engine'!X103</f>
        <v>-2417092.7118217242</v>
      </c>
      <c r="Z16" s="1008">
        <f ca="1">+'Trial Deposits Engine'!Y103</f>
        <v>-2379812.9799865861</v>
      </c>
      <c r="AA16" s="1008">
        <f ca="1">+'Trial Deposits Engine'!Z103</f>
        <v>-2196599.9663147456</v>
      </c>
      <c r="AB16" s="1008">
        <f ca="1">+'Trial Deposits Engine'!AA103</f>
        <v>-1990912.8279694677</v>
      </c>
      <c r="AC16" s="943"/>
      <c r="AD16" s="87"/>
      <c r="AE16" s="752"/>
    </row>
    <row r="17" spans="1:36" ht="27" customHeight="1" thickTop="1" x14ac:dyDescent="0.45">
      <c r="A17" s="749"/>
      <c r="B17" s="827"/>
      <c r="C17" s="1193" t="str">
        <f>+'Trial Deposits Engine'!C108</f>
        <v>If Min. Balance is not met, does principal amortization calculated below mitigate it?</v>
      </c>
      <c r="D17" s="1193"/>
      <c r="E17" s="1193"/>
      <c r="F17" s="1193"/>
      <c r="G17" s="1009" t="str">
        <f ca="1">+'Trial Deposits Engine'!D109</f>
        <v>PASS</v>
      </c>
      <c r="H17" s="921"/>
      <c r="I17" s="1010"/>
      <c r="J17" s="1011"/>
      <c r="K17" s="1011"/>
      <c r="L17" s="1012" t="str">
        <f>+'Trial Deposits Engine'!C106</f>
        <v>Minimum Balance Met-Yrs 1-10</v>
      </c>
      <c r="M17" s="1013" t="str">
        <f ca="1">+'Trial Deposits Engine'!D106</f>
        <v>PASS</v>
      </c>
      <c r="N17" s="1014">
        <f ca="1">+'Trial Deposits Engine'!F106</f>
        <v>0</v>
      </c>
      <c r="O17" s="1015" t="str">
        <f>+'Trial Deposits Engine'!G106</f>
        <v>Violations</v>
      </c>
      <c r="P17" s="1011"/>
      <c r="Q17" s="1011"/>
      <c r="R17" s="1011"/>
      <c r="S17" s="1016"/>
      <c r="T17" s="1011"/>
      <c r="U17" s="1011"/>
      <c r="V17" s="1017"/>
      <c r="W17" s="1018" t="str">
        <f>+'Trial Deposits Engine'!C107</f>
        <v>Minimum Balance Met-Yrs. 11-end of Est. Per.?</v>
      </c>
      <c r="X17" s="1013" t="str">
        <f ca="1">+'Trial Deposits Engine'!D107</f>
        <v>FAIL</v>
      </c>
      <c r="Y17" s="1019">
        <f ca="1">+'Trial Deposits Engine'!F107</f>
        <v>10</v>
      </c>
      <c r="Z17" s="1020" t="str">
        <f>+'Trial Deposits Engine'!G107</f>
        <v>Violations</v>
      </c>
      <c r="AA17" s="1011"/>
      <c r="AB17" s="1021"/>
      <c r="AC17" s="943"/>
      <c r="AD17" s="87"/>
      <c r="AE17" s="752"/>
    </row>
    <row r="18" spans="1:36" ht="27" customHeight="1" thickBot="1" x14ac:dyDescent="0.5">
      <c r="A18" s="749"/>
      <c r="B18" s="827"/>
      <c r="D18" s="1022"/>
      <c r="E18" s="1022"/>
      <c r="F18" s="1022"/>
      <c r="G18" s="1023" t="s">
        <v>127</v>
      </c>
      <c r="H18" s="925"/>
      <c r="I18" s="1024" t="str">
        <f ca="1">+'Trial Deposits Engine'!H107</f>
        <v>OK</v>
      </c>
      <c r="J18" s="1025" t="str">
        <f ca="1">+'Trial Deposits Engine'!I107</f>
        <v>OK</v>
      </c>
      <c r="K18" s="1025" t="str">
        <f ca="1">+'Trial Deposits Engine'!J107</f>
        <v>OK</v>
      </c>
      <c r="L18" s="1025" t="str">
        <f ca="1">+'Trial Deposits Engine'!K107</f>
        <v>OK</v>
      </c>
      <c r="M18" s="1025" t="str">
        <f ca="1">+'Trial Deposits Engine'!L107</f>
        <v>OK</v>
      </c>
      <c r="N18" s="1025" t="str">
        <f ca="1">+'Trial Deposits Engine'!M107</f>
        <v>OK</v>
      </c>
      <c r="O18" s="1025" t="str">
        <f ca="1">+'Trial Deposits Engine'!N107</f>
        <v>OK</v>
      </c>
      <c r="P18" s="1025" t="str">
        <f ca="1">+'Trial Deposits Engine'!O107</f>
        <v>OK</v>
      </c>
      <c r="Q18" s="1025" t="str">
        <f ca="1">+'Trial Deposits Engine'!P107</f>
        <v>OK</v>
      </c>
      <c r="R18" s="1025" t="str">
        <f ca="1">+'Trial Deposits Engine'!Q107</f>
        <v>OK</v>
      </c>
      <c r="S18" s="1026" t="str">
        <f ca="1">+'Trial Deposits Engine'!R107</f>
        <v>Not OK</v>
      </c>
      <c r="T18" s="1025" t="str">
        <f ca="1">+'Trial Deposits Engine'!S107</f>
        <v>Not OK</v>
      </c>
      <c r="U18" s="1025" t="str">
        <f ca="1">+'Trial Deposits Engine'!T107</f>
        <v>Not OK</v>
      </c>
      <c r="V18" s="1025" t="str">
        <f ca="1">+'Trial Deposits Engine'!U107</f>
        <v>Not OK</v>
      </c>
      <c r="W18" s="1025" t="str">
        <f ca="1">+'Trial Deposits Engine'!V107</f>
        <v>Not OK</v>
      </c>
      <c r="X18" s="1025" t="str">
        <f ca="1">+'Trial Deposits Engine'!W107</f>
        <v>Not OK</v>
      </c>
      <c r="Y18" s="1025" t="str">
        <f ca="1">+'Trial Deposits Engine'!X107</f>
        <v>Not OK</v>
      </c>
      <c r="Z18" s="1025" t="str">
        <f ca="1">+'Trial Deposits Engine'!Y107</f>
        <v>Not OK</v>
      </c>
      <c r="AA18" s="1025" t="str">
        <f ca="1">+'Trial Deposits Engine'!Z107</f>
        <v>Not OK</v>
      </c>
      <c r="AB18" s="1027" t="str">
        <f ca="1">+'Trial Deposits Engine'!AA107</f>
        <v>Not OK</v>
      </c>
      <c r="AC18" s="943"/>
      <c r="AD18" s="87"/>
      <c r="AE18" s="752"/>
    </row>
    <row r="19" spans="1:36" ht="26.25" customHeight="1" x14ac:dyDescent="0.45">
      <c r="A19" s="749"/>
      <c r="B19" s="827"/>
      <c r="C19" s="1194" t="s">
        <v>128</v>
      </c>
      <c r="D19" s="1194"/>
      <c r="E19" s="1194"/>
      <c r="F19" s="1194"/>
      <c r="G19" s="1194"/>
      <c r="H19" s="87"/>
      <c r="I19" s="1028" t="str">
        <f>+'Trial Deposits Engine'!H108</f>
        <v>N/A</v>
      </c>
      <c r="J19" s="1028" t="str">
        <f>+'Trial Deposits Engine'!I108</f>
        <v>N/A</v>
      </c>
      <c r="K19" s="1028" t="str">
        <f>+'Trial Deposits Engine'!J108</f>
        <v>N/A</v>
      </c>
      <c r="L19" s="1028" t="str">
        <f>+'Trial Deposits Engine'!K108</f>
        <v>N/A</v>
      </c>
      <c r="M19" s="1028" t="str">
        <f>+'Trial Deposits Engine'!L108</f>
        <v>N/A</v>
      </c>
      <c r="N19" s="1028" t="str">
        <f>+'Trial Deposits Engine'!M108</f>
        <v>N/A</v>
      </c>
      <c r="O19" s="1028" t="str">
        <f>+'Trial Deposits Engine'!N108</f>
        <v>N/A</v>
      </c>
      <c r="P19" s="1028" t="str">
        <f>+'Trial Deposits Engine'!O108</f>
        <v>N/A</v>
      </c>
      <c r="Q19" s="1028" t="str">
        <f>+'Trial Deposits Engine'!P108</f>
        <v>N/A</v>
      </c>
      <c r="R19" s="1028" t="str">
        <f>+'Trial Deposits Engine'!Q108</f>
        <v>N/A</v>
      </c>
      <c r="S19" s="1029" t="str">
        <f ca="1">+'Trial Deposits Engine'!R108</f>
        <v>Mitigated below</v>
      </c>
      <c r="T19" s="1030" t="str">
        <f ca="1">+'Trial Deposits Engine'!S108</f>
        <v>Mitigated below</v>
      </c>
      <c r="U19" s="1030" t="str">
        <f ca="1">+'Trial Deposits Engine'!T108</f>
        <v>Mitigated below</v>
      </c>
      <c r="V19" s="1030" t="str">
        <f ca="1">+'Trial Deposits Engine'!U108</f>
        <v>Mitigated below</v>
      </c>
      <c r="W19" s="1030" t="str">
        <f ca="1">+'Trial Deposits Engine'!V108</f>
        <v>Mitigated below</v>
      </c>
      <c r="X19" s="1030" t="str">
        <f ca="1">+'Trial Deposits Engine'!W108</f>
        <v>Mitigated below</v>
      </c>
      <c r="Y19" s="1030" t="str">
        <f ca="1">+'Trial Deposits Engine'!X108</f>
        <v>Mitigated below</v>
      </c>
      <c r="Z19" s="1030" t="str">
        <f ca="1">+'Trial Deposits Engine'!Y108</f>
        <v>Mitigated below</v>
      </c>
      <c r="AA19" s="1030" t="str">
        <f ca="1">+'Trial Deposits Engine'!Z108</f>
        <v>Mitigated below</v>
      </c>
      <c r="AB19" s="1030" t="str">
        <f ca="1">+'Trial Deposits Engine'!AA108</f>
        <v>Mitigated below</v>
      </c>
      <c r="AC19" s="839"/>
      <c r="AD19" s="87"/>
      <c r="AE19" s="752"/>
    </row>
    <row r="20" spans="1:36" ht="11.25" customHeight="1" x14ac:dyDescent="0.45">
      <c r="A20" s="749"/>
      <c r="B20" s="827"/>
      <c r="C20" s="1031"/>
      <c r="D20" s="87"/>
      <c r="E20" s="87"/>
      <c r="F20" s="1032"/>
      <c r="G20" s="1032"/>
      <c r="H20" s="87"/>
      <c r="I20" s="1033"/>
      <c r="J20" s="1033"/>
      <c r="K20" s="1033"/>
      <c r="L20" s="1033"/>
      <c r="M20" s="1033"/>
      <c r="N20" s="1033"/>
      <c r="O20" s="1033"/>
      <c r="P20" s="1033"/>
      <c r="Q20" s="1033"/>
      <c r="R20" s="1033"/>
      <c r="S20" s="1034"/>
      <c r="T20" s="1033"/>
      <c r="U20" s="1033"/>
      <c r="V20" s="1033"/>
      <c r="W20" s="1033"/>
      <c r="X20" s="1033"/>
      <c r="Y20" s="1033"/>
      <c r="Z20" s="1033"/>
      <c r="AA20" s="1033"/>
      <c r="AB20" s="1033"/>
      <c r="AC20" s="839"/>
      <c r="AD20" s="87"/>
      <c r="AE20" s="752"/>
    </row>
    <row r="21" spans="1:36" ht="15.75" x14ac:dyDescent="0.5">
      <c r="A21" s="749"/>
      <c r="B21" s="822"/>
      <c r="C21" s="1035" t="str">
        <f>+'Trial Deposits Engine'!C111</f>
        <v>Loan Amortization Test for Outyear Deficits-Yrs 11+</v>
      </c>
      <c r="D21" s="1036"/>
      <c r="E21" s="1036"/>
      <c r="F21" s="1037"/>
      <c r="G21" s="1037"/>
      <c r="H21" s="1036"/>
      <c r="I21" s="1038"/>
      <c r="J21" s="1038"/>
      <c r="K21" s="1038"/>
      <c r="L21" s="1038"/>
      <c r="M21" s="1038"/>
      <c r="N21" s="1038"/>
      <c r="O21" s="1038"/>
      <c r="P21" s="1038"/>
      <c r="Q21" s="1038"/>
      <c r="R21" s="1038"/>
      <c r="S21" s="1039"/>
      <c r="T21" s="1038"/>
      <c r="U21" s="1038"/>
      <c r="V21" s="1038"/>
      <c r="W21" s="1038"/>
      <c r="X21" s="1038"/>
      <c r="Y21" s="1038"/>
      <c r="Z21" s="1038"/>
      <c r="AA21" s="1038"/>
      <c r="AB21" s="1038"/>
      <c r="AC21" s="998"/>
      <c r="AD21" s="87"/>
      <c r="AE21" s="752"/>
    </row>
    <row r="22" spans="1:36" ht="18" customHeight="1" x14ac:dyDescent="0.45">
      <c r="A22" s="749"/>
      <c r="B22" s="827" t="s">
        <v>129</v>
      </c>
      <c r="C22" s="913"/>
      <c r="D22" s="87"/>
      <c r="E22" s="87"/>
      <c r="F22" s="1040" t="str">
        <f>+'Trial Deposits Engine'!F119</f>
        <v>Lowest margin, years 11-20</v>
      </c>
      <c r="G22" s="1041">
        <f ca="1">+'Trial Deposits Engine'!G119</f>
        <v>1303488.2318285233</v>
      </c>
      <c r="H22" s="921"/>
      <c r="I22" s="1003">
        <f>+'Trial Deposits Engine'!H118</f>
        <v>0</v>
      </c>
      <c r="J22" s="1003">
        <f>+'Trial Deposits Engine'!I118</f>
        <v>0</v>
      </c>
      <c r="K22" s="1003">
        <f>+'Trial Deposits Engine'!J118</f>
        <v>0</v>
      </c>
      <c r="L22" s="1003">
        <f>+'Trial Deposits Engine'!K118</f>
        <v>0</v>
      </c>
      <c r="M22" s="1003">
        <f>+'Trial Deposits Engine'!L118</f>
        <v>0</v>
      </c>
      <c r="N22" s="1003">
        <f>+'Trial Deposits Engine'!M118</f>
        <v>0</v>
      </c>
      <c r="O22" s="1003">
        <f>+'Trial Deposits Engine'!N118</f>
        <v>0</v>
      </c>
      <c r="P22" s="1003">
        <f>+'Trial Deposits Engine'!O118</f>
        <v>0</v>
      </c>
      <c r="Q22" s="1003">
        <f>+'Trial Deposits Engine'!P118</f>
        <v>0</v>
      </c>
      <c r="R22" s="1003">
        <f>+'Trial Deposits Engine'!Q118</f>
        <v>0</v>
      </c>
      <c r="S22" s="1004">
        <f ca="1">+'Trial Deposits Engine'!R118</f>
        <v>1744220.2562516606</v>
      </c>
      <c r="T22" s="1003">
        <f ca="1">+'Trial Deposits Engine'!S118</f>
        <v>1474069.1727360417</v>
      </c>
      <c r="U22" s="1003">
        <f ca="1">+'Trial Deposits Engine'!T118</f>
        <v>1303488.2318285233</v>
      </c>
      <c r="V22" s="1003">
        <f ca="1">+'Trial Deposits Engine'!U118</f>
        <v>1596968.3959915098</v>
      </c>
      <c r="W22" s="1003">
        <f ca="1">+'Trial Deposits Engine'!V118</f>
        <v>1470004.2880749786</v>
      </c>
      <c r="X22" s="1003">
        <f ca="1">+'Trial Deposits Engine'!W118</f>
        <v>1395644.7879051687</v>
      </c>
      <c r="Y22" s="1003">
        <f ca="1">+'Trial Deposits Engine'!X118</f>
        <v>1369812.5323204463</v>
      </c>
      <c r="Z22" s="1003">
        <f ca="1">+'Trial Deposits Engine'!Y118</f>
        <v>1683916.7987363208</v>
      </c>
      <c r="AA22" s="1003">
        <f ca="1">+'Trial Deposits Engine'!Z118</f>
        <v>2150954.8123235605</v>
      </c>
      <c r="AB22" s="1003">
        <f ca="1">+'Trial Deposits Engine'!AA118</f>
        <v>2647644.4468853804</v>
      </c>
      <c r="AC22" s="943"/>
      <c r="AD22" s="87"/>
      <c r="AE22" s="752"/>
    </row>
    <row r="23" spans="1:36" ht="25.5" customHeight="1" x14ac:dyDescent="0.45">
      <c r="A23" s="749"/>
      <c r="B23" s="827"/>
      <c r="C23" s="1042" t="str">
        <f>+'Trial Deposits Engine'!C120</f>
        <v>Are Shortfalls &lt;Allowed % of Principal Paydown</v>
      </c>
      <c r="D23" s="884" t="str">
        <f ca="1">+'Trial Deposits Engine'!D120</f>
        <v>PASS</v>
      </c>
      <c r="E23" s="87"/>
      <c r="F23" s="1043">
        <f ca="1">+'Trial Deposits Engine'!F120</f>
        <v>0</v>
      </c>
      <c r="G23" s="1043" t="str">
        <f>+'Trial Deposits Engine'!G120</f>
        <v>Violations</v>
      </c>
      <c r="H23" s="925"/>
      <c r="I23" s="1044" t="str">
        <f>+'Trial Deposits Engine'!H120</f>
        <v>N/A</v>
      </c>
      <c r="J23" s="1044" t="str">
        <f>+'Trial Deposits Engine'!I120</f>
        <v>N/A</v>
      </c>
      <c r="K23" s="1044" t="str">
        <f>+'Trial Deposits Engine'!J120</f>
        <v>N/A</v>
      </c>
      <c r="L23" s="1044" t="str">
        <f>+'Trial Deposits Engine'!K120</f>
        <v>N/A</v>
      </c>
      <c r="M23" s="1044" t="str">
        <f>+'Trial Deposits Engine'!L120</f>
        <v>N/A</v>
      </c>
      <c r="N23" s="1044" t="str">
        <f>+'Trial Deposits Engine'!M120</f>
        <v>N/A</v>
      </c>
      <c r="O23" s="1044" t="str">
        <f>+'Trial Deposits Engine'!N120</f>
        <v>N/A</v>
      </c>
      <c r="P23" s="1044" t="str">
        <f>+'Trial Deposits Engine'!O120</f>
        <v>N/A</v>
      </c>
      <c r="Q23" s="1044" t="str">
        <f>+'Trial Deposits Engine'!P120</f>
        <v>N/A</v>
      </c>
      <c r="R23" s="1044" t="str">
        <f>+'Trial Deposits Engine'!Q120</f>
        <v>N/A</v>
      </c>
      <c r="S23" s="1045" t="str">
        <f ca="1">+'Trial Deposits Engine'!R120</f>
        <v>OK</v>
      </c>
      <c r="T23" s="1044" t="str">
        <f ca="1">+'Trial Deposits Engine'!S120</f>
        <v>OK</v>
      </c>
      <c r="U23" s="1044" t="str">
        <f ca="1">+'Trial Deposits Engine'!T120</f>
        <v>OK</v>
      </c>
      <c r="V23" s="1044" t="str">
        <f ca="1">+'Trial Deposits Engine'!U120</f>
        <v>OK</v>
      </c>
      <c r="W23" s="1044" t="str">
        <f ca="1">+'Trial Deposits Engine'!V120</f>
        <v>OK</v>
      </c>
      <c r="X23" s="1044" t="str">
        <f ca="1">+'Trial Deposits Engine'!W120</f>
        <v>OK</v>
      </c>
      <c r="Y23" s="1044" t="str">
        <f ca="1">+'Trial Deposits Engine'!X120</f>
        <v>OK</v>
      </c>
      <c r="Z23" s="1044" t="str">
        <f ca="1">+'Trial Deposits Engine'!Y120</f>
        <v>OK</v>
      </c>
      <c r="AA23" s="1044" t="str">
        <f ca="1">+'Trial Deposits Engine'!Z120</f>
        <v>OK</v>
      </c>
      <c r="AB23" s="1044" t="str">
        <f ca="1">+'Trial Deposits Engine'!AA120</f>
        <v>OK</v>
      </c>
      <c r="AC23" s="943"/>
      <c r="AD23" s="87"/>
      <c r="AE23" s="752"/>
    </row>
    <row r="24" spans="1:36" x14ac:dyDescent="0.45">
      <c r="A24" s="749"/>
      <c r="B24" s="827"/>
      <c r="C24" s="924" t="s">
        <v>130</v>
      </c>
      <c r="D24" s="925"/>
      <c r="E24" s="87"/>
      <c r="F24" s="925"/>
      <c r="G24" s="925"/>
      <c r="H24" s="925"/>
      <c r="I24" s="1003">
        <f>-'Trial Deposits Engine'!H116</f>
        <v>362119.08842891193</v>
      </c>
      <c r="J24" s="1003">
        <f>-'Trial Deposits Engine'!I116</f>
        <v>733395.60984838603</v>
      </c>
      <c r="K24" s="1003">
        <f>-'Trial Deposits Engine'!J116</f>
        <v>1114061.1416086818</v>
      </c>
      <c r="L24" s="1003">
        <f>-'Trial Deposits Engine'!K116</f>
        <v>1504353.1172939183</v>
      </c>
      <c r="M24" s="1003">
        <f>-'Trial Deposits Engine'!L116</f>
        <v>1904514.974817194</v>
      </c>
      <c r="N24" s="1003">
        <f>-'Trial Deposits Engine'!M116</f>
        <v>2314796.3082607999</v>
      </c>
      <c r="O24" s="1003">
        <f>-'Trial Deposits Engine'!N116</f>
        <v>2735453.0235562408</v>
      </c>
      <c r="P24" s="1003">
        <f>-'Trial Deposits Engine'!O116</f>
        <v>3166747.4981011609</v>
      </c>
      <c r="Q24" s="1003">
        <f>-'Trial Deposits Engine'!P116</f>
        <v>3608948.7444127412</v>
      </c>
      <c r="R24" s="1003">
        <f>-'Trial Deposits Engine'!Q116</f>
        <v>4062332.5779196289</v>
      </c>
      <c r="S24" s="1046">
        <f>-'Trial Deposits Engine'!R116</f>
        <v>4527181.7889970746</v>
      </c>
      <c r="T24" s="1003">
        <f>-'Trial Deposits Engine'!S116</f>
        <v>5003786.3193525672</v>
      </c>
      <c r="U24" s="1003">
        <f>-'Trial Deposits Engine'!T116</f>
        <v>5492443.4428719953</v>
      </c>
      <c r="V24" s="1003">
        <f>-'Trial Deposits Engine'!U116</f>
        <v>5993457.9510391224</v>
      </c>
      <c r="W24" s="1003">
        <f>-'Trial Deposits Engine'!V116</f>
        <v>6507142.343044037</v>
      </c>
      <c r="X24" s="1003">
        <f>-'Trial Deposits Engine'!W116</f>
        <v>7033817.0206991546</v>
      </c>
      <c r="Y24" s="1003">
        <f>-'Trial Deposits Engine'!X116</f>
        <v>7573810.4882843411</v>
      </c>
      <c r="Z24" s="1003">
        <f>-'Trial Deposits Engine'!Y116</f>
        <v>8127459.5574458139</v>
      </c>
      <c r="AA24" s="1003">
        <f>-'Trial Deposits Engine'!Z116</f>
        <v>8695109.5572766121</v>
      </c>
      <c r="AB24" s="1003">
        <f>-'Trial Deposits Engine'!AA116</f>
        <v>9277114.5497096963</v>
      </c>
      <c r="AC24" s="943"/>
      <c r="AD24" s="87"/>
      <c r="AE24" s="752"/>
    </row>
    <row r="25" spans="1:36" x14ac:dyDescent="0.45">
      <c r="A25" s="749"/>
      <c r="B25" s="827"/>
      <c r="C25" s="924" t="s">
        <v>131</v>
      </c>
      <c r="D25" s="925"/>
      <c r="E25" s="87"/>
      <c r="F25" s="925"/>
      <c r="G25" s="925"/>
      <c r="H25" s="925"/>
      <c r="I25" s="1047" t="str">
        <f ca="1">+IF(I13&lt;0,-I13/I24,"N/A")</f>
        <v>N/A</v>
      </c>
      <c r="J25" s="1047" t="str">
        <f t="shared" ref="J25:R25" ca="1" si="0">+IF(J13&lt;0,-J13/J24,"N/A")</f>
        <v>N/A</v>
      </c>
      <c r="K25" s="1047" t="str">
        <f t="shared" ca="1" si="0"/>
        <v>N/A</v>
      </c>
      <c r="L25" s="1047" t="str">
        <f t="shared" ca="1" si="0"/>
        <v>N/A</v>
      </c>
      <c r="M25" s="1047" t="str">
        <f t="shared" ca="1" si="0"/>
        <v>N/A</v>
      </c>
      <c r="N25" s="1047" t="str">
        <f t="shared" ca="1" si="0"/>
        <v>N/A</v>
      </c>
      <c r="O25" s="1047" t="str">
        <f t="shared" ca="1" si="0"/>
        <v>N/A</v>
      </c>
      <c r="P25" s="1047" t="str">
        <f t="shared" ca="1" si="0"/>
        <v>N/A</v>
      </c>
      <c r="Q25" s="1047" t="str">
        <f t="shared" ca="1" si="0"/>
        <v>N/A</v>
      </c>
      <c r="R25" s="1048" t="str">
        <f t="shared" ca="1" si="0"/>
        <v>N/A</v>
      </c>
      <c r="S25" s="1047">
        <f ca="1">+IF(S16&lt;0,-S16/S24,"N/A")</f>
        <v>0.11472272651148277</v>
      </c>
      <c r="T25" s="1047">
        <f t="shared" ref="T25:AB25" ca="1" si="1">+IF(T16&lt;0,-T16/T24,"N/A")</f>
        <v>0.20540924838557664</v>
      </c>
      <c r="U25" s="1047">
        <f t="shared" ca="1" si="1"/>
        <v>0.26267607570540041</v>
      </c>
      <c r="V25" s="1047">
        <f t="shared" ca="1" si="1"/>
        <v>0.23354807708050515</v>
      </c>
      <c r="W25" s="1047">
        <f t="shared" ca="1" si="1"/>
        <v>0.27409372492882772</v>
      </c>
      <c r="X25" s="1047">
        <f t="shared" ca="1" si="1"/>
        <v>0.30158073720171313</v>
      </c>
      <c r="Y25" s="1047">
        <f t="shared" ca="1" si="1"/>
        <v>0.31913826145513402</v>
      </c>
      <c r="Z25" s="1047">
        <f t="shared" ca="1" si="1"/>
        <v>0.29281142073556882</v>
      </c>
      <c r="AA25" s="1047">
        <f t="shared" ca="1" si="1"/>
        <v>0.25262476014192292</v>
      </c>
      <c r="AB25" s="1049">
        <f t="shared" ca="1" si="1"/>
        <v>0.21460474776952801</v>
      </c>
      <c r="AC25" s="943"/>
      <c r="AD25" s="87"/>
      <c r="AE25" s="752"/>
    </row>
    <row r="26" spans="1:36" ht="21.75" customHeight="1" x14ac:dyDescent="0.45">
      <c r="A26" s="749"/>
      <c r="B26" s="945"/>
      <c r="C26" s="946"/>
      <c r="D26" s="946"/>
      <c r="E26" s="946"/>
      <c r="F26" s="946"/>
      <c r="G26" s="946"/>
      <c r="H26" s="946"/>
      <c r="I26" s="946"/>
      <c r="J26" s="946"/>
      <c r="K26" s="946"/>
      <c r="L26" s="946"/>
      <c r="M26" s="946"/>
      <c r="N26" s="946"/>
      <c r="O26" s="946"/>
      <c r="P26" s="946"/>
      <c r="Q26" s="946"/>
      <c r="R26" s="1050" t="str">
        <f>+'Trial Deposits Engine'!Q123</f>
        <v>% of RfR plus Req. Min. Bal. as % of Cum. Amort.</v>
      </c>
      <c r="S26" s="1051">
        <f ca="1">+'Trial Deposits Engine'!R123</f>
        <v>0.11472272651148277</v>
      </c>
      <c r="T26" s="1052">
        <f ca="1">+'Trial Deposits Engine'!S123</f>
        <v>0.20540924838557664</v>
      </c>
      <c r="U26" s="1052">
        <f ca="1">+'Trial Deposits Engine'!T123</f>
        <v>0.26267607570540041</v>
      </c>
      <c r="V26" s="1052">
        <f ca="1">+'Trial Deposits Engine'!U123</f>
        <v>0.23354807708050515</v>
      </c>
      <c r="W26" s="1052">
        <f ca="1">+'Trial Deposits Engine'!V123</f>
        <v>0.27409372492882772</v>
      </c>
      <c r="X26" s="1052">
        <f ca="1">+'Trial Deposits Engine'!W123</f>
        <v>0.30158073720171313</v>
      </c>
      <c r="Y26" s="1052">
        <f ca="1">+'Trial Deposits Engine'!X123</f>
        <v>0.31913826145513402</v>
      </c>
      <c r="Z26" s="1052">
        <f ca="1">+'Trial Deposits Engine'!Y123</f>
        <v>0.29281142073556882</v>
      </c>
      <c r="AA26" s="1052">
        <f ca="1">+'Trial Deposits Engine'!Z123</f>
        <v>0.25262476014192292</v>
      </c>
      <c r="AB26" s="1052">
        <f ca="1">+'Trial Deposits Engine'!AA123</f>
        <v>0.21460474776952801</v>
      </c>
      <c r="AC26" s="947"/>
      <c r="AD26" s="87"/>
      <c r="AE26" s="752"/>
    </row>
    <row r="27" spans="1:36" ht="7.5" customHeight="1" x14ac:dyDescent="0.45">
      <c r="A27" s="749"/>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752"/>
    </row>
    <row r="28" spans="1:36" x14ac:dyDescent="0.45">
      <c r="A28" s="749"/>
      <c r="B28" s="749"/>
      <c r="C28" s="749"/>
      <c r="D28" s="749"/>
      <c r="E28" s="749"/>
      <c r="F28" s="749"/>
      <c r="G28" s="1053" t="str">
        <f>+'Version Changes'!B3</f>
        <v>Version 3.0</v>
      </c>
      <c r="H28" s="749"/>
      <c r="I28" s="749"/>
      <c r="J28" s="749"/>
      <c r="K28" s="749"/>
      <c r="L28" s="749"/>
      <c r="M28" s="749"/>
      <c r="N28" s="749"/>
      <c r="O28" s="749"/>
      <c r="P28" s="749"/>
      <c r="Q28" s="749"/>
      <c r="R28" s="749"/>
      <c r="S28" s="749"/>
      <c r="T28" s="749"/>
      <c r="U28" s="749"/>
      <c r="V28" s="749"/>
      <c r="W28" s="749"/>
      <c r="X28" s="749"/>
      <c r="Y28" s="749"/>
      <c r="Z28" s="749"/>
      <c r="AA28" s="749"/>
      <c r="AB28" s="749"/>
      <c r="AC28" s="749"/>
      <c r="AD28" s="749"/>
      <c r="AE28" s="749"/>
      <c r="AF28" s="749"/>
      <c r="AG28" s="749"/>
      <c r="AH28" s="749"/>
      <c r="AI28" s="749"/>
      <c r="AJ28" s="749"/>
    </row>
    <row r="29" spans="1:36" x14ac:dyDescent="0.45">
      <c r="A29" s="952"/>
      <c r="B29" s="195"/>
      <c r="C29" s="195"/>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c r="AC29" s="195"/>
      <c r="AD29" s="195"/>
      <c r="AE29" s="195"/>
      <c r="AF29" s="195"/>
      <c r="AG29" s="195"/>
      <c r="AH29" s="195"/>
      <c r="AI29" s="195"/>
      <c r="AJ29" s="954"/>
    </row>
    <row r="30" spans="1:36" x14ac:dyDescent="0.45">
      <c r="A30" s="952"/>
      <c r="B30" s="195"/>
      <c r="C30" s="195" t="s">
        <v>132</v>
      </c>
      <c r="D30" s="195"/>
      <c r="E30" s="195"/>
      <c r="F30" s="195"/>
      <c r="G30" s="195"/>
      <c r="H30" s="195"/>
      <c r="I30" s="958">
        <f>+I6</f>
        <v>466925</v>
      </c>
      <c r="J30" s="958"/>
      <c r="K30" s="195"/>
      <c r="L30" s="195"/>
      <c r="M30" s="195"/>
      <c r="N30" s="195"/>
      <c r="O30" s="195"/>
      <c r="P30" s="195"/>
      <c r="Q30" s="195"/>
      <c r="R30" s="195"/>
      <c r="S30" s="958">
        <f>+S6</f>
        <v>0</v>
      </c>
      <c r="T30" s="195"/>
      <c r="U30" s="195"/>
      <c r="V30" s="195"/>
      <c r="W30" s="195"/>
      <c r="X30" s="195"/>
      <c r="Y30" s="195"/>
      <c r="Z30" s="195"/>
      <c r="AA30" s="195"/>
      <c r="AB30" s="195"/>
      <c r="AC30" s="1054">
        <f>SUM(I30:AB30)</f>
        <v>466925</v>
      </c>
      <c r="AD30" s="195"/>
      <c r="AE30" s="195"/>
      <c r="AF30" s="195"/>
      <c r="AG30" s="195"/>
      <c r="AH30" s="195"/>
      <c r="AI30" s="195"/>
      <c r="AJ30" s="954"/>
    </row>
    <row r="31" spans="1:36" x14ac:dyDescent="0.45">
      <c r="A31" s="952"/>
      <c r="B31" s="195"/>
      <c r="C31" s="1055" t="s">
        <v>133</v>
      </c>
      <c r="D31" s="1055"/>
      <c r="E31" s="1055"/>
      <c r="F31" s="1055"/>
      <c r="G31" s="1055"/>
      <c r="H31" s="1055"/>
      <c r="I31" s="1055"/>
      <c r="J31" s="1056">
        <f ca="1">+I35</f>
        <v>471594.25</v>
      </c>
      <c r="K31" s="1056">
        <f t="shared" ref="K31:S31" ca="1" si="2">+J35</f>
        <v>478845.55249999999</v>
      </c>
      <c r="L31" s="1056">
        <f t="shared" ca="1" si="2"/>
        <v>412394.81098750001</v>
      </c>
      <c r="M31" s="1056">
        <f t="shared" ca="1" si="2"/>
        <v>407468.8854403125</v>
      </c>
      <c r="N31" s="1056">
        <f t="shared" ca="1" si="2"/>
        <v>181601.75963967718</v>
      </c>
      <c r="O31" s="1056">
        <f t="shared" ca="1" si="2"/>
        <v>0</v>
      </c>
      <c r="P31" s="1056">
        <f t="shared" ca="1" si="2"/>
        <v>0</v>
      </c>
      <c r="Q31" s="1056">
        <f t="shared" ca="1" si="2"/>
        <v>5668.4110926783096</v>
      </c>
      <c r="R31" s="1056">
        <f t="shared" ca="1" si="2"/>
        <v>11690.951943243712</v>
      </c>
      <c r="S31" s="1056">
        <f t="shared" ca="1" si="2"/>
        <v>0</v>
      </c>
      <c r="T31" s="1056">
        <f t="shared" ref="T31:AB31" ca="1" si="3">+S35</f>
        <v>0</v>
      </c>
      <c r="U31" s="1056">
        <f t="shared" ca="1" si="3"/>
        <v>0</v>
      </c>
      <c r="V31" s="1056">
        <f t="shared" ca="1" si="3"/>
        <v>0</v>
      </c>
      <c r="W31" s="1056">
        <f t="shared" ca="1" si="3"/>
        <v>0</v>
      </c>
      <c r="X31" s="1056">
        <f t="shared" ca="1" si="3"/>
        <v>0</v>
      </c>
      <c r="Y31" s="1056">
        <f t="shared" ca="1" si="3"/>
        <v>0</v>
      </c>
      <c r="Z31" s="1056">
        <f t="shared" ca="1" si="3"/>
        <v>0</v>
      </c>
      <c r="AA31" s="1056">
        <f t="shared" ca="1" si="3"/>
        <v>0</v>
      </c>
      <c r="AB31" s="1056">
        <f t="shared" ca="1" si="3"/>
        <v>0</v>
      </c>
      <c r="AC31" s="1057"/>
      <c r="AD31" s="195"/>
      <c r="AE31" s="195"/>
      <c r="AF31" s="195"/>
      <c r="AG31" s="195"/>
      <c r="AH31" s="195"/>
      <c r="AI31" s="195"/>
      <c r="AJ31" s="954"/>
    </row>
    <row r="32" spans="1:36" x14ac:dyDescent="0.45">
      <c r="A32" s="952"/>
      <c r="B32" s="195"/>
      <c r="C32" s="195" t="s">
        <v>134</v>
      </c>
      <c r="D32" s="195"/>
      <c r="E32" s="195"/>
      <c r="F32" s="195"/>
      <c r="G32" s="195"/>
      <c r="H32" s="195"/>
      <c r="I32" s="1058">
        <f ca="1">+I8</f>
        <v>4669.25</v>
      </c>
      <c r="J32" s="1058">
        <f ca="1">+J8</f>
        <v>7251.3024999999998</v>
      </c>
      <c r="K32" s="1058">
        <f ca="1">+K8</f>
        <v>14864.824087499999</v>
      </c>
      <c r="L32" s="1058">
        <f ca="1">+L8</f>
        <v>13868.0629648125</v>
      </c>
      <c r="M32" s="1058">
        <f ca="1">+M8</f>
        <v>13794.174081604688</v>
      </c>
      <c r="N32" s="1058">
        <f t="shared" ref="N32:S32" ca="1" si="4">+N8</f>
        <v>10406.167194595157</v>
      </c>
      <c r="O32" s="1058">
        <f t="shared" ca="1" si="4"/>
        <v>7660.1303603158112</v>
      </c>
      <c r="P32" s="1058">
        <f t="shared" ca="1" si="4"/>
        <v>5668.4110926783096</v>
      </c>
      <c r="Q32" s="1058">
        <f t="shared" ca="1" si="4"/>
        <v>6022.5408505654032</v>
      </c>
      <c r="R32" s="1058">
        <f t="shared" ca="1" si="4"/>
        <v>7214.7290556507396</v>
      </c>
      <c r="S32" s="1058">
        <f t="shared" ca="1" si="4"/>
        <v>6506.6042336588962</v>
      </c>
      <c r="T32" s="1058">
        <f t="shared" ref="T32:AB32" ca="1" si="5">+T8</f>
        <v>0</v>
      </c>
      <c r="U32" s="1058">
        <f t="shared" ca="1" si="5"/>
        <v>0</v>
      </c>
      <c r="V32" s="1058">
        <f t="shared" ca="1" si="5"/>
        <v>0</v>
      </c>
      <c r="W32" s="1058">
        <f t="shared" ca="1" si="5"/>
        <v>0</v>
      </c>
      <c r="X32" s="1058">
        <f t="shared" ca="1" si="5"/>
        <v>0</v>
      </c>
      <c r="Y32" s="1058">
        <f t="shared" ca="1" si="5"/>
        <v>0</v>
      </c>
      <c r="Z32" s="1058">
        <f t="shared" ca="1" si="5"/>
        <v>0</v>
      </c>
      <c r="AA32" s="1058">
        <f t="shared" ca="1" si="5"/>
        <v>0</v>
      </c>
      <c r="AB32" s="1058">
        <f t="shared" ca="1" si="5"/>
        <v>0</v>
      </c>
      <c r="AC32" s="1059">
        <f ca="1">SUM(I32:AB32)</f>
        <v>97926.196421381508</v>
      </c>
      <c r="AD32" s="195"/>
      <c r="AE32" s="195"/>
      <c r="AF32" s="195"/>
      <c r="AG32" s="195"/>
      <c r="AH32" s="195"/>
      <c r="AI32" s="195"/>
      <c r="AJ32" s="954"/>
    </row>
    <row r="33" spans="1:36" x14ac:dyDescent="0.45">
      <c r="A33" s="952"/>
      <c r="B33" s="195"/>
      <c r="C33" s="195" t="s">
        <v>135</v>
      </c>
      <c r="D33" s="195"/>
      <c r="E33" s="195"/>
      <c r="F33" s="195"/>
      <c r="G33" s="195"/>
      <c r="H33" s="195"/>
      <c r="I33" s="958">
        <f ca="1">+I30+I32</f>
        <v>471594.25</v>
      </c>
      <c r="J33" s="958">
        <f t="shared" ref="J33:S33" ca="1" si="6">+J31+J32</f>
        <v>478845.55249999999</v>
      </c>
      <c r="K33" s="958">
        <f t="shared" ca="1" si="6"/>
        <v>493710.37658749998</v>
      </c>
      <c r="L33" s="958">
        <f t="shared" ca="1" si="6"/>
        <v>426262.87395231251</v>
      </c>
      <c r="M33" s="958">
        <f t="shared" ca="1" si="6"/>
        <v>421263.0595219172</v>
      </c>
      <c r="N33" s="958">
        <f t="shared" ca="1" si="6"/>
        <v>192007.92683427234</v>
      </c>
      <c r="O33" s="958">
        <f t="shared" ca="1" si="6"/>
        <v>7660.1303603158112</v>
      </c>
      <c r="P33" s="958">
        <f t="shared" ca="1" si="6"/>
        <v>5668.4110926783096</v>
      </c>
      <c r="Q33" s="958">
        <f t="shared" ca="1" si="6"/>
        <v>11690.951943243712</v>
      </c>
      <c r="R33" s="958">
        <f t="shared" ca="1" si="6"/>
        <v>18905.680998894451</v>
      </c>
      <c r="S33" s="958">
        <f t="shared" ca="1" si="6"/>
        <v>6506.6042336588962</v>
      </c>
      <c r="T33" s="958">
        <f t="shared" ref="T33:AB33" ca="1" si="7">+T31+T32</f>
        <v>0</v>
      </c>
      <c r="U33" s="958">
        <f t="shared" ca="1" si="7"/>
        <v>0</v>
      </c>
      <c r="V33" s="958">
        <f t="shared" ca="1" si="7"/>
        <v>0</v>
      </c>
      <c r="W33" s="958">
        <f t="shared" ca="1" si="7"/>
        <v>0</v>
      </c>
      <c r="X33" s="958">
        <f t="shared" ca="1" si="7"/>
        <v>0</v>
      </c>
      <c r="Y33" s="958">
        <f t="shared" ca="1" si="7"/>
        <v>0</v>
      </c>
      <c r="Z33" s="958">
        <f t="shared" ca="1" si="7"/>
        <v>0</v>
      </c>
      <c r="AA33" s="958">
        <f t="shared" ca="1" si="7"/>
        <v>0</v>
      </c>
      <c r="AB33" s="958">
        <f t="shared" ca="1" si="7"/>
        <v>0</v>
      </c>
      <c r="AC33" s="1057"/>
      <c r="AD33" s="195"/>
      <c r="AE33" s="195"/>
      <c r="AF33" s="195"/>
      <c r="AG33" s="195"/>
      <c r="AH33" s="195"/>
      <c r="AI33" s="195"/>
      <c r="AJ33" s="954"/>
    </row>
    <row r="34" spans="1:36" x14ac:dyDescent="0.45">
      <c r="A34" s="952"/>
      <c r="B34" s="195"/>
      <c r="C34" s="195" t="s">
        <v>136</v>
      </c>
      <c r="D34" s="1055"/>
      <c r="E34" s="1055"/>
      <c r="F34" s="1055"/>
      <c r="G34" s="1055"/>
      <c r="H34" s="1055"/>
      <c r="I34" s="1060">
        <f t="shared" ref="I34:S34" si="8">+I41</f>
        <v>0</v>
      </c>
      <c r="J34" s="1060">
        <f t="shared" ca="1" si="8"/>
        <v>0</v>
      </c>
      <c r="K34" s="1060">
        <f t="shared" ca="1" si="8"/>
        <v>-81315.565599999973</v>
      </c>
      <c r="L34" s="1060">
        <f t="shared" ca="1" si="8"/>
        <v>-18793.988512000011</v>
      </c>
      <c r="M34" s="1060">
        <f t="shared" ca="1" si="8"/>
        <v>-239661.29988224001</v>
      </c>
      <c r="N34" s="1060">
        <f t="shared" ca="1" si="8"/>
        <v>-192007.92683427234</v>
      </c>
      <c r="O34" s="1060">
        <f t="shared" ca="1" si="8"/>
        <v>-7660.1303603158112</v>
      </c>
      <c r="P34" s="1060">
        <f t="shared" ca="1" si="8"/>
        <v>0</v>
      </c>
      <c r="Q34" s="1060">
        <f t="shared" ca="1" si="8"/>
        <v>0</v>
      </c>
      <c r="R34" s="1060">
        <f t="shared" ca="1" si="8"/>
        <v>-18905.680998894451</v>
      </c>
      <c r="S34" s="1060">
        <f t="shared" ca="1" si="8"/>
        <v>-6506.6042336588962</v>
      </c>
      <c r="T34" s="1060">
        <f t="shared" ref="T34:AB34" ca="1" si="9">+T41</f>
        <v>0</v>
      </c>
      <c r="U34" s="1060">
        <f t="shared" ca="1" si="9"/>
        <v>0</v>
      </c>
      <c r="V34" s="1060">
        <f t="shared" ca="1" si="9"/>
        <v>0</v>
      </c>
      <c r="W34" s="1060">
        <f t="shared" ca="1" si="9"/>
        <v>0</v>
      </c>
      <c r="X34" s="1060">
        <f t="shared" ca="1" si="9"/>
        <v>0</v>
      </c>
      <c r="Y34" s="1060">
        <f t="shared" ca="1" si="9"/>
        <v>0</v>
      </c>
      <c r="Z34" s="1060">
        <f t="shared" ca="1" si="9"/>
        <v>0</v>
      </c>
      <c r="AA34" s="1060">
        <f t="shared" ca="1" si="9"/>
        <v>0</v>
      </c>
      <c r="AB34" s="1060">
        <f t="shared" ca="1" si="9"/>
        <v>0</v>
      </c>
      <c r="AC34" s="1057"/>
      <c r="AD34" s="195"/>
      <c r="AE34" s="195"/>
      <c r="AF34" s="195"/>
      <c r="AG34" s="195"/>
      <c r="AH34" s="195"/>
      <c r="AI34" s="195"/>
      <c r="AJ34" s="954"/>
    </row>
    <row r="35" spans="1:36" x14ac:dyDescent="0.45">
      <c r="A35" s="952"/>
      <c r="B35" s="195"/>
      <c r="C35" s="1055" t="s">
        <v>137</v>
      </c>
      <c r="D35" s="1055"/>
      <c r="E35" s="1055"/>
      <c r="F35" s="1055"/>
      <c r="G35" s="1055"/>
      <c r="H35" s="1055"/>
      <c r="I35" s="1056">
        <f ca="1">+I33+I34</f>
        <v>471594.25</v>
      </c>
      <c r="J35" s="1056">
        <f ca="1">+J33+J34</f>
        <v>478845.55249999999</v>
      </c>
      <c r="K35" s="1056">
        <f ca="1">+K33+K34</f>
        <v>412394.81098750001</v>
      </c>
      <c r="L35" s="1056">
        <f ca="1">+L33+L34</f>
        <v>407468.8854403125</v>
      </c>
      <c r="M35" s="1056">
        <f ca="1">+M33+M34</f>
        <v>181601.75963967718</v>
      </c>
      <c r="N35" s="1056">
        <f t="shared" ref="N35:S35" ca="1" si="10">+N33+N34</f>
        <v>0</v>
      </c>
      <c r="O35" s="1056">
        <f t="shared" ca="1" si="10"/>
        <v>0</v>
      </c>
      <c r="P35" s="1056">
        <f t="shared" ca="1" si="10"/>
        <v>5668.4110926783096</v>
      </c>
      <c r="Q35" s="1056">
        <f t="shared" ca="1" si="10"/>
        <v>11690.951943243712</v>
      </c>
      <c r="R35" s="1056">
        <f t="shared" ca="1" si="10"/>
        <v>0</v>
      </c>
      <c r="S35" s="1056">
        <f t="shared" ca="1" si="10"/>
        <v>0</v>
      </c>
      <c r="T35" s="1056">
        <f t="shared" ref="T35" ca="1" si="11">+T33+T34</f>
        <v>0</v>
      </c>
      <c r="U35" s="1056">
        <f t="shared" ref="U35" ca="1" si="12">+U33+U34</f>
        <v>0</v>
      </c>
      <c r="V35" s="1056">
        <f t="shared" ref="V35" ca="1" si="13">+V33+V34</f>
        <v>0</v>
      </c>
      <c r="W35" s="1056">
        <f t="shared" ref="W35" ca="1" si="14">+W33+W34</f>
        <v>0</v>
      </c>
      <c r="X35" s="1056">
        <f t="shared" ref="X35" ca="1" si="15">+X33+X34</f>
        <v>0</v>
      </c>
      <c r="Y35" s="1056">
        <f t="shared" ref="Y35" ca="1" si="16">+Y33+Y34</f>
        <v>0</v>
      </c>
      <c r="Z35" s="1056">
        <f t="shared" ref="Z35" ca="1" si="17">+Z33+Z34</f>
        <v>0</v>
      </c>
      <c r="AA35" s="1056">
        <f t="shared" ref="AA35" ca="1" si="18">+AA33+AA34</f>
        <v>0</v>
      </c>
      <c r="AB35" s="1056">
        <f t="shared" ref="AB35" ca="1" si="19">+AB33+AB34</f>
        <v>0</v>
      </c>
      <c r="AC35" s="1057"/>
      <c r="AD35" s="195"/>
      <c r="AE35" s="195"/>
      <c r="AF35" s="195"/>
      <c r="AG35" s="195"/>
      <c r="AH35" s="195"/>
      <c r="AI35" s="195"/>
      <c r="AJ35" s="954"/>
    </row>
    <row r="36" spans="1:36" x14ac:dyDescent="0.45">
      <c r="A36" s="952"/>
      <c r="B36" s="195"/>
      <c r="C36" s="1055"/>
      <c r="D36" s="1055"/>
      <c r="E36" s="1055"/>
      <c r="F36" s="1055"/>
      <c r="G36" s="1055"/>
      <c r="H36" s="1055"/>
      <c r="I36" s="1055"/>
      <c r="J36" s="1055"/>
      <c r="K36" s="1055"/>
      <c r="L36" s="1055"/>
      <c r="M36" s="1055"/>
      <c r="N36" s="1055"/>
      <c r="O36" s="1055"/>
      <c r="P36" s="1055"/>
      <c r="Q36" s="1055"/>
      <c r="R36" s="1055"/>
      <c r="S36" s="1055"/>
      <c r="T36" s="1055"/>
      <c r="U36" s="1055"/>
      <c r="V36" s="1055"/>
      <c r="W36" s="1055"/>
      <c r="X36" s="1055"/>
      <c r="Y36" s="1055"/>
      <c r="Z36" s="1055"/>
      <c r="AA36" s="1055"/>
      <c r="AB36" s="1055"/>
      <c r="AC36" s="1057"/>
      <c r="AD36" s="195"/>
      <c r="AE36" s="195"/>
      <c r="AF36" s="195"/>
      <c r="AG36" s="195"/>
      <c r="AH36" s="195"/>
      <c r="AI36" s="195"/>
      <c r="AJ36" s="954"/>
    </row>
    <row r="37" spans="1:36" x14ac:dyDescent="0.45">
      <c r="A37" s="952"/>
      <c r="B37" s="195"/>
      <c r="C37" s="195" t="s">
        <v>138</v>
      </c>
      <c r="D37" s="195"/>
      <c r="E37" s="195"/>
      <c r="F37" s="195"/>
      <c r="G37" s="195"/>
      <c r="H37" s="195"/>
      <c r="I37" s="958">
        <f t="shared" ref="I37:S37" si="20">+I10</f>
        <v>253536</v>
      </c>
      <c r="J37" s="958">
        <f t="shared" ca="1" si="20"/>
        <v>258606.72</v>
      </c>
      <c r="K37" s="958">
        <f t="shared" ca="1" si="20"/>
        <v>263778.85440000001</v>
      </c>
      <c r="L37" s="958">
        <f t="shared" ca="1" si="20"/>
        <v>269054.43148799997</v>
      </c>
      <c r="M37" s="958">
        <f t="shared" ca="1" si="20"/>
        <v>274435.52011776</v>
      </c>
      <c r="N37" s="958">
        <f t="shared" ca="1" si="20"/>
        <v>279924.23052011523</v>
      </c>
      <c r="O37" s="958">
        <f t="shared" ca="1" si="20"/>
        <v>285522.71513051749</v>
      </c>
      <c r="P37" s="958">
        <f t="shared" ca="1" si="20"/>
        <v>291233.16943312786</v>
      </c>
      <c r="Q37" s="958">
        <f t="shared" ca="1" si="20"/>
        <v>297057.83282179048</v>
      </c>
      <c r="R37" s="958">
        <f t="shared" ca="1" si="20"/>
        <v>302998.98947822629</v>
      </c>
      <c r="S37" s="958">
        <f t="shared" ca="1" si="20"/>
        <v>309058.96926779079</v>
      </c>
      <c r="T37" s="958">
        <f t="shared" ref="T37:AB37" ca="1" si="21">+T10</f>
        <v>315240.14865314658</v>
      </c>
      <c r="U37" s="958">
        <f t="shared" ca="1" si="21"/>
        <v>321544.95162620954</v>
      </c>
      <c r="V37" s="958">
        <f t="shared" ca="1" si="21"/>
        <v>327975.85065873369</v>
      </c>
      <c r="W37" s="958">
        <f t="shared" ca="1" si="21"/>
        <v>334535.3676719084</v>
      </c>
      <c r="X37" s="958">
        <f t="shared" ca="1" si="21"/>
        <v>341226.0750253466</v>
      </c>
      <c r="Y37" s="958">
        <f t="shared" ca="1" si="21"/>
        <v>348050.5965258535</v>
      </c>
      <c r="Z37" s="958">
        <f t="shared" ca="1" si="21"/>
        <v>355011.60845637065</v>
      </c>
      <c r="AA37" s="958">
        <f t="shared" ca="1" si="21"/>
        <v>362111.84062549804</v>
      </c>
      <c r="AB37" s="958">
        <f t="shared" ca="1" si="21"/>
        <v>369354.07743800798</v>
      </c>
      <c r="AC37" s="1061">
        <f ca="1">SUM(I37:AB37)</f>
        <v>6160257.9493384035</v>
      </c>
      <c r="AD37" s="958">
        <f ca="1">+AC30+AC32+AC37</f>
        <v>6725109.1457597855</v>
      </c>
      <c r="AE37" s="195"/>
      <c r="AF37" s="195"/>
      <c r="AG37" s="195"/>
      <c r="AH37" s="195"/>
      <c r="AI37" s="195"/>
      <c r="AJ37" s="954"/>
    </row>
    <row r="38" spans="1:36" x14ac:dyDescent="0.45">
      <c r="A38" s="952"/>
      <c r="B38" s="195"/>
      <c r="C38" s="195" t="s">
        <v>139</v>
      </c>
      <c r="D38" s="195"/>
      <c r="E38" s="195"/>
      <c r="F38" s="195"/>
      <c r="G38" s="958">
        <f>SUM(I38:AB38)</f>
        <v>-8227626.6399999997</v>
      </c>
      <c r="H38" s="195"/>
      <c r="I38" s="1058">
        <f t="shared" ref="I38:S38" si="22">+I12</f>
        <v>0</v>
      </c>
      <c r="J38" s="1058">
        <f t="shared" si="22"/>
        <v>0</v>
      </c>
      <c r="K38" s="1058">
        <f t="shared" si="22"/>
        <v>-345094.42</v>
      </c>
      <c r="L38" s="1058">
        <f t="shared" si="22"/>
        <v>-287848.42</v>
      </c>
      <c r="M38" s="1058">
        <f t="shared" si="22"/>
        <v>-514096.82</v>
      </c>
      <c r="N38" s="1058">
        <f t="shared" si="22"/>
        <v>-473399.52</v>
      </c>
      <c r="O38" s="1058">
        <f t="shared" si="22"/>
        <v>-425964.13</v>
      </c>
      <c r="P38" s="1058">
        <f t="shared" si="22"/>
        <v>-273292.93</v>
      </c>
      <c r="Q38" s="1058">
        <f t="shared" si="22"/>
        <v>-223601.16</v>
      </c>
      <c r="R38" s="1058">
        <f t="shared" si="22"/>
        <v>-357422.04</v>
      </c>
      <c r="S38" s="1058">
        <f t="shared" si="22"/>
        <v>-860042.46</v>
      </c>
      <c r="T38" s="1058">
        <f t="shared" ref="T38:AB38" si="23">+T12</f>
        <v>-815520.15</v>
      </c>
      <c r="U38" s="1058">
        <f t="shared" si="23"/>
        <v>-728117.64</v>
      </c>
      <c r="V38" s="1058">
        <f t="shared" si="23"/>
        <v>-276499.39</v>
      </c>
      <c r="W38" s="1058">
        <f t="shared" si="23"/>
        <v>-709668.05</v>
      </c>
      <c r="X38" s="1058">
        <f t="shared" si="23"/>
        <v>-670075.81999999995</v>
      </c>
      <c r="Y38" s="1058">
        <f t="shared" si="23"/>
        <v>-634855.55000000005</v>
      </c>
      <c r="Z38" s="1058">
        <f t="shared" si="23"/>
        <v>-308527.35999999999</v>
      </c>
      <c r="AA38" s="1058">
        <f t="shared" si="23"/>
        <v>-169510.22</v>
      </c>
      <c r="AB38" s="1058">
        <f t="shared" si="23"/>
        <v>-154090.56</v>
      </c>
      <c r="AC38" s="958">
        <f>SUM(I38:AB38)</f>
        <v>-8227626.6399999997</v>
      </c>
      <c r="AD38" s="195"/>
      <c r="AE38" s="195"/>
      <c r="AF38" s="195"/>
      <c r="AG38" s="195"/>
      <c r="AH38" s="195"/>
      <c r="AI38" s="195"/>
      <c r="AJ38" s="954"/>
    </row>
    <row r="39" spans="1:36" x14ac:dyDescent="0.45">
      <c r="A39" s="952"/>
      <c r="B39" s="195"/>
      <c r="C39" s="195" t="s">
        <v>140</v>
      </c>
      <c r="D39" s="195"/>
      <c r="E39" s="195"/>
      <c r="F39" s="195"/>
      <c r="G39" s="195"/>
      <c r="H39" s="195"/>
      <c r="I39" s="958">
        <f>+I38+I37</f>
        <v>253536</v>
      </c>
      <c r="J39" s="958">
        <f ca="1">+J38+J37</f>
        <v>258606.72</v>
      </c>
      <c r="K39" s="958">
        <f t="shared" ref="K39:S39" ca="1" si="24">+K38+K37</f>
        <v>-81315.565599999973</v>
      </c>
      <c r="L39" s="958">
        <f t="shared" ca="1" si="24"/>
        <v>-18793.988512000011</v>
      </c>
      <c r="M39" s="958">
        <f t="shared" ca="1" si="24"/>
        <v>-239661.29988224001</v>
      </c>
      <c r="N39" s="958">
        <f t="shared" ca="1" si="24"/>
        <v>-193475.28947988478</v>
      </c>
      <c r="O39" s="958">
        <f t="shared" ca="1" si="24"/>
        <v>-140441.41486948251</v>
      </c>
      <c r="P39" s="958">
        <f t="shared" ca="1" si="24"/>
        <v>17940.239433127863</v>
      </c>
      <c r="Q39" s="958">
        <f t="shared" ca="1" si="24"/>
        <v>73456.672821790475</v>
      </c>
      <c r="R39" s="958">
        <f t="shared" ca="1" si="24"/>
        <v>-54423.050521773694</v>
      </c>
      <c r="S39" s="958">
        <f t="shared" ca="1" si="24"/>
        <v>-550983.49073220917</v>
      </c>
      <c r="T39" s="958">
        <f t="shared" ref="T39" ca="1" si="25">+T38+T37</f>
        <v>-500280.00134685345</v>
      </c>
      <c r="U39" s="958">
        <f t="shared" ref="U39" ca="1" si="26">+U38+U37</f>
        <v>-406572.68837379047</v>
      </c>
      <c r="V39" s="958">
        <f t="shared" ref="V39" ca="1" si="27">+V38+V37</f>
        <v>51476.460658733675</v>
      </c>
      <c r="W39" s="958">
        <f t="shared" ref="W39" ca="1" si="28">+W38+W37</f>
        <v>-375132.68232809164</v>
      </c>
      <c r="X39" s="958">
        <f t="shared" ref="X39" ca="1" si="29">+X38+X37</f>
        <v>-328849.74497465335</v>
      </c>
      <c r="Y39" s="958">
        <f t="shared" ref="Y39" ca="1" si="30">+Y38+Y37</f>
        <v>-286804.95347414655</v>
      </c>
      <c r="Z39" s="958">
        <f t="shared" ref="Z39" ca="1" si="31">+Z38+Z37</f>
        <v>46484.248456370668</v>
      </c>
      <c r="AA39" s="958">
        <f t="shared" ref="AA39" ca="1" si="32">+AA38+AA37</f>
        <v>192601.62062549804</v>
      </c>
      <c r="AB39" s="958">
        <f t="shared" ref="AB39" ca="1" si="33">+AB38+AB37</f>
        <v>215263.51743800798</v>
      </c>
      <c r="AC39" s="195"/>
      <c r="AD39" s="195"/>
      <c r="AE39" s="195"/>
      <c r="AF39" s="195"/>
      <c r="AG39" s="195"/>
      <c r="AH39" s="195"/>
      <c r="AI39" s="195"/>
      <c r="AJ39" s="954"/>
    </row>
    <row r="40" spans="1:36" x14ac:dyDescent="0.45">
      <c r="A40" s="952"/>
      <c r="B40" s="195"/>
      <c r="C40" s="195" t="s">
        <v>141</v>
      </c>
      <c r="D40" s="1055"/>
      <c r="E40" s="1055"/>
      <c r="F40" s="195"/>
      <c r="G40" s="195"/>
      <c r="H40" s="195"/>
      <c r="I40" s="958">
        <f t="shared" ref="I40:S40" ca="1" si="34">+I33</f>
        <v>471594.25</v>
      </c>
      <c r="J40" s="958">
        <f t="shared" ca="1" si="34"/>
        <v>478845.55249999999</v>
      </c>
      <c r="K40" s="958">
        <f t="shared" ca="1" si="34"/>
        <v>493710.37658749998</v>
      </c>
      <c r="L40" s="958">
        <f t="shared" ca="1" si="34"/>
        <v>426262.87395231251</v>
      </c>
      <c r="M40" s="958">
        <f t="shared" ca="1" si="34"/>
        <v>421263.0595219172</v>
      </c>
      <c r="N40" s="958">
        <f t="shared" ca="1" si="34"/>
        <v>192007.92683427234</v>
      </c>
      <c r="O40" s="958">
        <f t="shared" ca="1" si="34"/>
        <v>7660.1303603158112</v>
      </c>
      <c r="P40" s="958">
        <f t="shared" ca="1" si="34"/>
        <v>5668.4110926783096</v>
      </c>
      <c r="Q40" s="958">
        <f t="shared" ca="1" si="34"/>
        <v>11690.951943243712</v>
      </c>
      <c r="R40" s="958">
        <f t="shared" ca="1" si="34"/>
        <v>18905.680998894451</v>
      </c>
      <c r="S40" s="958">
        <f t="shared" ca="1" si="34"/>
        <v>6506.6042336588962</v>
      </c>
      <c r="T40" s="958">
        <f t="shared" ref="T40:AB40" ca="1" si="35">+T33</f>
        <v>0</v>
      </c>
      <c r="U40" s="958">
        <f t="shared" ca="1" si="35"/>
        <v>0</v>
      </c>
      <c r="V40" s="958">
        <f t="shared" ca="1" si="35"/>
        <v>0</v>
      </c>
      <c r="W40" s="958">
        <f t="shared" ca="1" si="35"/>
        <v>0</v>
      </c>
      <c r="X40" s="958">
        <f t="shared" ca="1" si="35"/>
        <v>0</v>
      </c>
      <c r="Y40" s="958">
        <f t="shared" ca="1" si="35"/>
        <v>0</v>
      </c>
      <c r="Z40" s="958">
        <f t="shared" ca="1" si="35"/>
        <v>0</v>
      </c>
      <c r="AA40" s="958">
        <f t="shared" ca="1" si="35"/>
        <v>0</v>
      </c>
      <c r="AB40" s="958">
        <f t="shared" ca="1" si="35"/>
        <v>0</v>
      </c>
      <c r="AC40" s="195"/>
      <c r="AD40" s="195"/>
      <c r="AE40" s="195"/>
      <c r="AF40" s="195"/>
      <c r="AG40" s="195"/>
      <c r="AH40" s="195"/>
      <c r="AI40" s="195"/>
      <c r="AJ40" s="954"/>
    </row>
    <row r="41" spans="1:36" x14ac:dyDescent="0.45">
      <c r="A41" s="952"/>
      <c r="B41" s="195"/>
      <c r="C41" s="195" t="s">
        <v>142</v>
      </c>
      <c r="D41" s="1055"/>
      <c r="E41" s="1055"/>
      <c r="F41" s="1055"/>
      <c r="G41" s="1055"/>
      <c r="H41" s="1055"/>
      <c r="I41" s="1056">
        <f t="shared" ref="I41:S41" si="36">+IF(I39&gt;0,0,+IF(-I39&lt;I40,I39,IF(I40&lt;=0,0,-I40)))</f>
        <v>0</v>
      </c>
      <c r="J41" s="1056">
        <f t="shared" ca="1" si="36"/>
        <v>0</v>
      </c>
      <c r="K41" s="1056">
        <f t="shared" ca="1" si="36"/>
        <v>-81315.565599999973</v>
      </c>
      <c r="L41" s="1056">
        <f t="shared" ca="1" si="36"/>
        <v>-18793.988512000011</v>
      </c>
      <c r="M41" s="1056">
        <f t="shared" ca="1" si="36"/>
        <v>-239661.29988224001</v>
      </c>
      <c r="N41" s="1056">
        <f t="shared" ca="1" si="36"/>
        <v>-192007.92683427234</v>
      </c>
      <c r="O41" s="1056">
        <f t="shared" ca="1" si="36"/>
        <v>-7660.1303603158112</v>
      </c>
      <c r="P41" s="1056">
        <f t="shared" ca="1" si="36"/>
        <v>0</v>
      </c>
      <c r="Q41" s="1056">
        <f t="shared" ca="1" si="36"/>
        <v>0</v>
      </c>
      <c r="R41" s="1056">
        <f t="shared" ca="1" si="36"/>
        <v>-18905.680998894451</v>
      </c>
      <c r="S41" s="1056">
        <f t="shared" ca="1" si="36"/>
        <v>-6506.6042336588962</v>
      </c>
      <c r="T41" s="1056">
        <f t="shared" ref="T41:AB41" ca="1" si="37">+IF(T39&gt;0,0,+IF(-T39&lt;T40,T39,IF(T40&lt;=0,0,-T40)))</f>
        <v>0</v>
      </c>
      <c r="U41" s="1056">
        <f t="shared" ca="1" si="37"/>
        <v>0</v>
      </c>
      <c r="V41" s="1056">
        <f t="shared" ca="1" si="37"/>
        <v>0</v>
      </c>
      <c r="W41" s="1056">
        <f t="shared" ca="1" si="37"/>
        <v>0</v>
      </c>
      <c r="X41" s="1056">
        <f t="shared" ca="1" si="37"/>
        <v>0</v>
      </c>
      <c r="Y41" s="1056">
        <f t="shared" ca="1" si="37"/>
        <v>0</v>
      </c>
      <c r="Z41" s="1056">
        <f t="shared" ca="1" si="37"/>
        <v>0</v>
      </c>
      <c r="AA41" s="1056">
        <f t="shared" ca="1" si="37"/>
        <v>0</v>
      </c>
      <c r="AB41" s="1056">
        <f t="shared" ca="1" si="37"/>
        <v>0</v>
      </c>
      <c r="AC41" s="195"/>
      <c r="AD41" s="195"/>
      <c r="AE41" s="195"/>
      <c r="AF41" s="195"/>
      <c r="AG41" s="195"/>
      <c r="AH41" s="195"/>
      <c r="AI41" s="195"/>
      <c r="AJ41" s="954"/>
    </row>
    <row r="42" spans="1:36" x14ac:dyDescent="0.45">
      <c r="A42" s="952"/>
      <c r="B42" s="195"/>
      <c r="C42" s="1055"/>
      <c r="D42" s="1055"/>
      <c r="E42" s="1055"/>
      <c r="F42" s="1055"/>
      <c r="G42" s="1055"/>
      <c r="H42" s="1055"/>
      <c r="I42" s="1055"/>
      <c r="J42" s="1055"/>
      <c r="K42" s="1055"/>
      <c r="L42" s="1055"/>
      <c r="M42" s="1055"/>
      <c r="N42" s="1055"/>
      <c r="O42" s="1055"/>
      <c r="P42" s="1055"/>
      <c r="Q42" s="1055"/>
      <c r="R42" s="1055"/>
      <c r="S42" s="1055"/>
      <c r="T42" s="1055"/>
      <c r="U42" s="1055"/>
      <c r="V42" s="1055"/>
      <c r="W42" s="1055"/>
      <c r="X42" s="1055"/>
      <c r="Y42" s="1055"/>
      <c r="Z42" s="1055"/>
      <c r="AA42" s="1055"/>
      <c r="AB42" s="1055"/>
      <c r="AC42" s="195"/>
      <c r="AD42" s="195"/>
      <c r="AE42" s="195"/>
      <c r="AF42" s="195"/>
      <c r="AG42" s="195"/>
      <c r="AH42" s="195"/>
      <c r="AI42" s="195"/>
      <c r="AJ42" s="954"/>
    </row>
    <row r="43" spans="1:36" x14ac:dyDescent="0.45">
      <c r="A43" s="952"/>
      <c r="B43" s="195"/>
      <c r="C43" s="195" t="s">
        <v>143</v>
      </c>
      <c r="D43" s="1055"/>
      <c r="E43" s="1055"/>
      <c r="F43" s="1055"/>
      <c r="G43" s="1055"/>
      <c r="H43" s="1055"/>
      <c r="I43" s="1056">
        <f>+I39+I41</f>
        <v>253536</v>
      </c>
      <c r="J43" s="1056">
        <f ca="1">+J39-J41</f>
        <v>258606.72</v>
      </c>
      <c r="K43" s="1056">
        <f ca="1">+K39-K41</f>
        <v>0</v>
      </c>
      <c r="L43" s="1056">
        <f ca="1">+L39-L41</f>
        <v>0</v>
      </c>
      <c r="M43" s="1056">
        <f t="shared" ref="M43:AB43" ca="1" si="38">+M39-M41</f>
        <v>0</v>
      </c>
      <c r="N43" s="1056">
        <f t="shared" ca="1" si="38"/>
        <v>-1467.3626456124475</v>
      </c>
      <c r="O43" s="1056">
        <f t="shared" ca="1" si="38"/>
        <v>-132781.2845091667</v>
      </c>
      <c r="P43" s="1056">
        <f t="shared" ca="1" si="38"/>
        <v>17940.239433127863</v>
      </c>
      <c r="Q43" s="1056">
        <f t="shared" ca="1" si="38"/>
        <v>73456.672821790475</v>
      </c>
      <c r="R43" s="1056">
        <f t="shared" ca="1" si="38"/>
        <v>-35517.369522879242</v>
      </c>
      <c r="S43" s="1056">
        <f t="shared" ca="1" si="38"/>
        <v>-544476.8864985503</v>
      </c>
      <c r="T43" s="1056">
        <f t="shared" ca="1" si="38"/>
        <v>-500280.00134685345</v>
      </c>
      <c r="U43" s="1056">
        <f t="shared" ca="1" si="38"/>
        <v>-406572.68837379047</v>
      </c>
      <c r="V43" s="1056">
        <f t="shared" ca="1" si="38"/>
        <v>51476.460658733675</v>
      </c>
      <c r="W43" s="1056">
        <f t="shared" ca="1" si="38"/>
        <v>-375132.68232809164</v>
      </c>
      <c r="X43" s="1056">
        <f t="shared" ca="1" si="38"/>
        <v>-328849.74497465335</v>
      </c>
      <c r="Y43" s="1056">
        <f t="shared" ca="1" si="38"/>
        <v>-286804.95347414655</v>
      </c>
      <c r="Z43" s="1056">
        <f t="shared" ca="1" si="38"/>
        <v>46484.248456370668</v>
      </c>
      <c r="AA43" s="1056">
        <f t="shared" ca="1" si="38"/>
        <v>192601.62062549804</v>
      </c>
      <c r="AB43" s="1056">
        <f t="shared" ca="1" si="38"/>
        <v>215263.51743800798</v>
      </c>
      <c r="AC43" s="195"/>
      <c r="AD43" s="195"/>
      <c r="AE43" s="195"/>
      <c r="AF43" s="195"/>
      <c r="AG43" s="195"/>
      <c r="AH43" s="195"/>
      <c r="AI43" s="195"/>
      <c r="AJ43" s="954"/>
    </row>
    <row r="44" spans="1:36" x14ac:dyDescent="0.45">
      <c r="A44" s="952"/>
      <c r="B44" s="195"/>
      <c r="C44" s="195"/>
      <c r="D44" s="1055"/>
      <c r="E44" s="1055"/>
      <c r="F44" s="1055"/>
      <c r="G44" s="1055"/>
      <c r="H44" s="1055"/>
      <c r="I44" s="1056"/>
      <c r="J44" s="1056"/>
      <c r="K44" s="1056"/>
      <c r="L44" s="1056"/>
      <c r="M44" s="1056"/>
      <c r="N44" s="1056"/>
      <c r="O44" s="1056"/>
      <c r="P44" s="1056"/>
      <c r="Q44" s="1056"/>
      <c r="R44" s="1056"/>
      <c r="S44" s="1056"/>
      <c r="T44" s="1056"/>
      <c r="U44" s="1056"/>
      <c r="V44" s="1056"/>
      <c r="W44" s="1056"/>
      <c r="X44" s="1056"/>
      <c r="Y44" s="1056"/>
      <c r="Z44" s="1056"/>
      <c r="AA44" s="1056"/>
      <c r="AB44" s="1056"/>
      <c r="AC44" s="195"/>
      <c r="AD44" s="195"/>
      <c r="AE44" s="195"/>
      <c r="AF44" s="195"/>
      <c r="AG44" s="195"/>
      <c r="AH44" s="195"/>
      <c r="AI44" s="195"/>
      <c r="AJ44" s="954"/>
    </row>
    <row r="45" spans="1:36" x14ac:dyDescent="0.45">
      <c r="A45" s="952"/>
      <c r="B45" s="195"/>
      <c r="C45" s="195" t="s">
        <v>144</v>
      </c>
      <c r="D45" s="1055"/>
      <c r="E45" s="1055"/>
      <c r="F45" s="1055"/>
      <c r="G45" s="1055"/>
      <c r="H45" s="1055"/>
      <c r="I45" s="1056">
        <v>0</v>
      </c>
      <c r="J45" s="1056">
        <f>+I47</f>
        <v>253536</v>
      </c>
      <c r="K45" s="1056">
        <f t="shared" ref="K45:T45" ca="1" si="39">+J47</f>
        <v>512142.72</v>
      </c>
      <c r="L45" s="1056">
        <f t="shared" ca="1" si="39"/>
        <v>512142.72</v>
      </c>
      <c r="M45" s="1056">
        <f t="shared" ca="1" si="39"/>
        <v>512142.72</v>
      </c>
      <c r="N45" s="1056">
        <f t="shared" ca="1" si="39"/>
        <v>512142.72</v>
      </c>
      <c r="O45" s="1056">
        <f t="shared" ca="1" si="39"/>
        <v>510675.35735438752</v>
      </c>
      <c r="P45" s="1056">
        <f t="shared" ca="1" si="39"/>
        <v>377894.0728452208</v>
      </c>
      <c r="Q45" s="1056">
        <f t="shared" ca="1" si="39"/>
        <v>395834.31227834866</v>
      </c>
      <c r="R45" s="1056">
        <f t="shared" ca="1" si="39"/>
        <v>469290.98510013917</v>
      </c>
      <c r="S45" s="1056">
        <f t="shared" ca="1" si="39"/>
        <v>433773.61557725992</v>
      </c>
      <c r="T45" s="1056">
        <f t="shared" ca="1" si="39"/>
        <v>-110703.27092129039</v>
      </c>
      <c r="U45" s="1056">
        <f ca="1">+T47</f>
        <v>-610983.27226814383</v>
      </c>
      <c r="V45" s="1056">
        <f t="shared" ref="V45:AB45" ca="1" si="40">+U47</f>
        <v>-1017555.9606419343</v>
      </c>
      <c r="W45" s="1056">
        <f t="shared" ca="1" si="40"/>
        <v>-966079.49998320057</v>
      </c>
      <c r="X45" s="1056">
        <f t="shared" ca="1" si="40"/>
        <v>-1341212.1823112923</v>
      </c>
      <c r="Y45" s="1056">
        <f t="shared" ca="1" si="40"/>
        <v>-1670061.9272859455</v>
      </c>
      <c r="Z45" s="1056">
        <f t="shared" ca="1" si="40"/>
        <v>-1956866.8807600921</v>
      </c>
      <c r="AA45" s="1056">
        <f t="shared" ca="1" si="40"/>
        <v>-1910382.6323037213</v>
      </c>
      <c r="AB45" s="1056">
        <f t="shared" ca="1" si="40"/>
        <v>-1717781.0116782233</v>
      </c>
      <c r="AC45" s="195"/>
      <c r="AD45" s="195"/>
      <c r="AE45" s="195"/>
      <c r="AF45" s="195"/>
      <c r="AG45" s="195"/>
      <c r="AH45" s="195"/>
      <c r="AI45" s="195"/>
      <c r="AJ45" s="954"/>
    </row>
    <row r="46" spans="1:36" x14ac:dyDescent="0.45">
      <c r="A46" s="952"/>
      <c r="B46" s="195"/>
      <c r="C46" s="1055" t="s">
        <v>145</v>
      </c>
      <c r="D46" s="1055"/>
      <c r="E46" s="1055"/>
      <c r="F46" s="1055"/>
      <c r="G46" s="1055"/>
      <c r="H46" s="1055"/>
      <c r="I46" s="1060">
        <f>+I43</f>
        <v>253536</v>
      </c>
      <c r="J46" s="1060">
        <f ca="1">+J43</f>
        <v>258606.72</v>
      </c>
      <c r="K46" s="1060">
        <f t="shared" ref="K46:AB46" ca="1" si="41">+K43</f>
        <v>0</v>
      </c>
      <c r="L46" s="1060">
        <f t="shared" ca="1" si="41"/>
        <v>0</v>
      </c>
      <c r="M46" s="1060">
        <f t="shared" ca="1" si="41"/>
        <v>0</v>
      </c>
      <c r="N46" s="1060">
        <f t="shared" ca="1" si="41"/>
        <v>-1467.3626456124475</v>
      </c>
      <c r="O46" s="1060">
        <f t="shared" ca="1" si="41"/>
        <v>-132781.2845091667</v>
      </c>
      <c r="P46" s="1060">
        <f t="shared" ca="1" si="41"/>
        <v>17940.239433127863</v>
      </c>
      <c r="Q46" s="1060">
        <f t="shared" ca="1" si="41"/>
        <v>73456.672821790475</v>
      </c>
      <c r="R46" s="1060">
        <f t="shared" ca="1" si="41"/>
        <v>-35517.369522879242</v>
      </c>
      <c r="S46" s="1060">
        <f t="shared" ca="1" si="41"/>
        <v>-544476.8864985503</v>
      </c>
      <c r="T46" s="1060">
        <f t="shared" ca="1" si="41"/>
        <v>-500280.00134685345</v>
      </c>
      <c r="U46" s="1060">
        <f t="shared" ca="1" si="41"/>
        <v>-406572.68837379047</v>
      </c>
      <c r="V46" s="1060">
        <f t="shared" ca="1" si="41"/>
        <v>51476.460658733675</v>
      </c>
      <c r="W46" s="1060">
        <f t="shared" ca="1" si="41"/>
        <v>-375132.68232809164</v>
      </c>
      <c r="X46" s="1060">
        <f t="shared" ca="1" si="41"/>
        <v>-328849.74497465335</v>
      </c>
      <c r="Y46" s="1060">
        <f t="shared" ca="1" si="41"/>
        <v>-286804.95347414655</v>
      </c>
      <c r="Z46" s="1060">
        <f t="shared" ca="1" si="41"/>
        <v>46484.248456370668</v>
      </c>
      <c r="AA46" s="1060">
        <f t="shared" ca="1" si="41"/>
        <v>192601.62062549804</v>
      </c>
      <c r="AB46" s="1060">
        <f t="shared" ca="1" si="41"/>
        <v>215263.51743800798</v>
      </c>
      <c r="AC46" s="195"/>
      <c r="AD46" s="195"/>
      <c r="AE46" s="195"/>
      <c r="AF46" s="195"/>
      <c r="AG46" s="195"/>
      <c r="AH46" s="195"/>
      <c r="AI46" s="195"/>
      <c r="AJ46" s="954"/>
    </row>
    <row r="47" spans="1:36" x14ac:dyDescent="0.45">
      <c r="A47" s="952"/>
      <c r="B47" s="195"/>
      <c r="C47" s="195" t="s">
        <v>146</v>
      </c>
      <c r="D47" s="195"/>
      <c r="E47" s="195"/>
      <c r="F47" s="195"/>
      <c r="G47" s="195"/>
      <c r="H47" s="195"/>
      <c r="I47" s="958">
        <f>+I45+I46</f>
        <v>253536</v>
      </c>
      <c r="J47" s="958">
        <f ca="1">+J45+J46</f>
        <v>512142.72</v>
      </c>
      <c r="K47" s="958">
        <f t="shared" ref="K47:U47" ca="1" si="42">+K45+K46</f>
        <v>512142.72</v>
      </c>
      <c r="L47" s="958">
        <f t="shared" ca="1" si="42"/>
        <v>512142.72</v>
      </c>
      <c r="M47" s="958">
        <f t="shared" ca="1" si="42"/>
        <v>512142.72</v>
      </c>
      <c r="N47" s="958">
        <f t="shared" ca="1" si="42"/>
        <v>510675.35735438752</v>
      </c>
      <c r="O47" s="958">
        <f t="shared" ca="1" si="42"/>
        <v>377894.0728452208</v>
      </c>
      <c r="P47" s="958">
        <f t="shared" ca="1" si="42"/>
        <v>395834.31227834866</v>
      </c>
      <c r="Q47" s="958">
        <f t="shared" ca="1" si="42"/>
        <v>469290.98510013917</v>
      </c>
      <c r="R47" s="958">
        <f t="shared" ca="1" si="42"/>
        <v>433773.61557725992</v>
      </c>
      <c r="S47" s="958">
        <f t="shared" ca="1" si="42"/>
        <v>-110703.27092129039</v>
      </c>
      <c r="T47" s="958">
        <f t="shared" ca="1" si="42"/>
        <v>-610983.27226814383</v>
      </c>
      <c r="U47" s="958">
        <f t="shared" ca="1" si="42"/>
        <v>-1017555.9606419343</v>
      </c>
      <c r="V47" s="958">
        <f t="shared" ref="V47:AB47" ca="1" si="43">U47++V39</f>
        <v>-966079.49998320057</v>
      </c>
      <c r="W47" s="958">
        <f t="shared" ca="1" si="43"/>
        <v>-1341212.1823112923</v>
      </c>
      <c r="X47" s="958">
        <f t="shared" ca="1" si="43"/>
        <v>-1670061.9272859455</v>
      </c>
      <c r="Y47" s="958">
        <f t="shared" ca="1" si="43"/>
        <v>-1956866.8807600921</v>
      </c>
      <c r="Z47" s="958">
        <f t="shared" ca="1" si="43"/>
        <v>-1910382.6323037213</v>
      </c>
      <c r="AA47" s="958">
        <f t="shared" ca="1" si="43"/>
        <v>-1717781.0116782233</v>
      </c>
      <c r="AB47" s="958">
        <f t="shared" ca="1" si="43"/>
        <v>-1502517.4942402153</v>
      </c>
      <c r="AC47" s="195"/>
      <c r="AD47" s="195"/>
      <c r="AE47" s="195"/>
      <c r="AF47" s="195"/>
      <c r="AG47" s="195"/>
      <c r="AH47" s="195"/>
      <c r="AI47" s="195"/>
      <c r="AJ47" s="954"/>
    </row>
    <row r="48" spans="1:36" x14ac:dyDescent="0.45">
      <c r="A48" s="952"/>
      <c r="B48" s="195"/>
      <c r="C48" s="1055"/>
      <c r="D48" s="1055"/>
      <c r="E48" s="1055"/>
      <c r="F48" s="1055"/>
      <c r="G48" s="1055"/>
      <c r="H48" s="1055"/>
      <c r="I48" s="1055"/>
      <c r="J48" s="958"/>
      <c r="K48" s="195"/>
      <c r="L48" s="195"/>
      <c r="M48" s="195"/>
      <c r="N48" s="195"/>
      <c r="O48" s="195"/>
      <c r="P48" s="195"/>
      <c r="Q48" s="195"/>
      <c r="R48" s="195"/>
      <c r="S48" s="195"/>
      <c r="T48" s="195"/>
      <c r="U48" s="195"/>
      <c r="V48" s="195"/>
      <c r="W48" s="195"/>
      <c r="X48" s="195"/>
      <c r="Y48" s="195"/>
      <c r="Z48" s="195"/>
      <c r="AA48" s="195"/>
      <c r="AB48" s="195"/>
      <c r="AC48" s="195"/>
      <c r="AD48" s="195"/>
      <c r="AE48" s="195"/>
      <c r="AF48" s="195"/>
      <c r="AG48" s="195"/>
      <c r="AH48" s="195"/>
      <c r="AI48" s="195"/>
      <c r="AJ48" s="954"/>
    </row>
    <row r="49" spans="1:36" x14ac:dyDescent="0.45">
      <c r="A49" s="965"/>
      <c r="B49" s="966"/>
      <c r="C49" s="966" t="s">
        <v>147</v>
      </c>
      <c r="D49" s="966"/>
      <c r="E49" s="966"/>
      <c r="F49" s="966"/>
      <c r="G49" s="966"/>
      <c r="H49" s="966"/>
      <c r="I49" s="1062">
        <f ca="1">+I35+I47</f>
        <v>725130.25</v>
      </c>
      <c r="J49" s="1062">
        <f t="shared" ref="J49:AB49" ca="1" si="44">+J35+J47</f>
        <v>990988.27249999996</v>
      </c>
      <c r="K49" s="1062">
        <f t="shared" ca="1" si="44"/>
        <v>924537.53098749998</v>
      </c>
      <c r="L49" s="1062">
        <f t="shared" ca="1" si="44"/>
        <v>919611.60544031253</v>
      </c>
      <c r="M49" s="1062">
        <f t="shared" ca="1" si="44"/>
        <v>693744.4796396771</v>
      </c>
      <c r="N49" s="1062">
        <f t="shared" ca="1" si="44"/>
        <v>510675.35735438752</v>
      </c>
      <c r="O49" s="1062">
        <f t="shared" ca="1" si="44"/>
        <v>377894.0728452208</v>
      </c>
      <c r="P49" s="1062">
        <f t="shared" ca="1" si="44"/>
        <v>401502.72337102698</v>
      </c>
      <c r="Q49" s="1062">
        <f t="shared" ca="1" si="44"/>
        <v>480981.9370433829</v>
      </c>
      <c r="R49" s="1062">
        <f t="shared" ca="1" si="44"/>
        <v>433773.61557725992</v>
      </c>
      <c r="S49" s="1062">
        <f t="shared" ca="1" si="44"/>
        <v>-110703.27092129039</v>
      </c>
      <c r="T49" s="1062">
        <f t="shared" ca="1" si="44"/>
        <v>-610983.27226814383</v>
      </c>
      <c r="U49" s="1062">
        <f t="shared" ca="1" si="44"/>
        <v>-1017555.9606419343</v>
      </c>
      <c r="V49" s="1062">
        <f t="shared" ca="1" si="44"/>
        <v>-966079.49998320057</v>
      </c>
      <c r="W49" s="1062">
        <f t="shared" ca="1" si="44"/>
        <v>-1341212.1823112923</v>
      </c>
      <c r="X49" s="1062">
        <f t="shared" ca="1" si="44"/>
        <v>-1670061.9272859455</v>
      </c>
      <c r="Y49" s="1062">
        <f t="shared" ca="1" si="44"/>
        <v>-1956866.8807600921</v>
      </c>
      <c r="Z49" s="1062">
        <f t="shared" ca="1" si="44"/>
        <v>-1910382.6323037213</v>
      </c>
      <c r="AA49" s="1062">
        <f t="shared" ca="1" si="44"/>
        <v>-1717781.0116782233</v>
      </c>
      <c r="AB49" s="1062">
        <f t="shared" ca="1" si="44"/>
        <v>-1502517.4942402153</v>
      </c>
      <c r="AC49" s="966"/>
      <c r="AD49" s="966"/>
      <c r="AE49" s="966"/>
      <c r="AF49" s="966"/>
      <c r="AG49" s="966"/>
      <c r="AH49" s="966"/>
      <c r="AI49" s="966"/>
      <c r="AJ49" s="967"/>
    </row>
    <row r="50" spans="1:36" x14ac:dyDescent="0.45">
      <c r="A50" s="1063"/>
      <c r="B50" s="1064"/>
      <c r="C50" s="1064" t="s">
        <v>148</v>
      </c>
      <c r="D50" s="1064"/>
      <c r="E50" s="1064"/>
      <c r="F50" s="1064"/>
      <c r="G50" s="1064"/>
      <c r="H50" s="1064"/>
      <c r="I50" s="1065">
        <f t="shared" ref="I50:AB50" ca="1" si="45">+I13</f>
        <v>725130.25</v>
      </c>
      <c r="J50" s="1065">
        <f t="shared" ca="1" si="45"/>
        <v>990988.27249999996</v>
      </c>
      <c r="K50" s="1065">
        <f t="shared" ca="1" si="45"/>
        <v>924537.53098749998</v>
      </c>
      <c r="L50" s="1065">
        <f t="shared" ca="1" si="45"/>
        <v>919611.60544031253</v>
      </c>
      <c r="M50" s="1065">
        <f t="shared" ca="1" si="45"/>
        <v>693744.4796396771</v>
      </c>
      <c r="N50" s="1065">
        <f t="shared" ca="1" si="45"/>
        <v>510675.35735438741</v>
      </c>
      <c r="O50" s="1065">
        <f t="shared" ca="1" si="45"/>
        <v>377894.07284522068</v>
      </c>
      <c r="P50" s="1065">
        <f t="shared" ca="1" si="45"/>
        <v>401502.72337102686</v>
      </c>
      <c r="Q50" s="1065">
        <f t="shared" ca="1" si="45"/>
        <v>480981.93704338267</v>
      </c>
      <c r="R50" s="1065">
        <f t="shared" ca="1" si="45"/>
        <v>433773.61557725974</v>
      </c>
      <c r="S50" s="1065">
        <f t="shared" ca="1" si="45"/>
        <v>-110703.27092129062</v>
      </c>
      <c r="T50" s="1065">
        <f t="shared" ca="1" si="45"/>
        <v>-610983.27226814406</v>
      </c>
      <c r="U50" s="1065">
        <f t="shared" ca="1" si="45"/>
        <v>-1017555.9606419345</v>
      </c>
      <c r="V50" s="1065">
        <f t="shared" ca="1" si="45"/>
        <v>-966079.49998320092</v>
      </c>
      <c r="W50" s="1065">
        <f t="shared" ca="1" si="45"/>
        <v>-1341212.1823112925</v>
      </c>
      <c r="X50" s="1065">
        <f t="shared" ca="1" si="45"/>
        <v>-1670061.927285946</v>
      </c>
      <c r="Y50" s="1065">
        <f t="shared" ca="1" si="45"/>
        <v>-1956866.8807600925</v>
      </c>
      <c r="Z50" s="1065">
        <f t="shared" ca="1" si="45"/>
        <v>-1910382.6323037217</v>
      </c>
      <c r="AA50" s="1065">
        <f t="shared" ca="1" si="45"/>
        <v>-1717781.0116782237</v>
      </c>
      <c r="AB50" s="1065">
        <f t="shared" ca="1" si="45"/>
        <v>-1502517.4942402157</v>
      </c>
      <c r="AC50" s="1064"/>
      <c r="AD50" s="1064"/>
      <c r="AE50" s="1064"/>
      <c r="AF50" s="1064"/>
      <c r="AG50" s="1064"/>
      <c r="AH50" s="1064"/>
      <c r="AI50" s="1064"/>
      <c r="AJ50" s="1066"/>
    </row>
    <row r="51" spans="1:36" x14ac:dyDescent="0.45">
      <c r="A51" s="195"/>
      <c r="B51" s="195"/>
      <c r="C51" s="195"/>
      <c r="D51" s="195"/>
      <c r="E51" s="195"/>
      <c r="F51" s="195"/>
      <c r="G51" s="195"/>
      <c r="H51" s="195"/>
      <c r="I51" s="958"/>
      <c r="J51" s="958"/>
      <c r="K51" s="958"/>
      <c r="L51" s="958"/>
      <c r="M51" s="958"/>
      <c r="N51" s="958"/>
      <c r="O51" s="958"/>
      <c r="P51" s="958"/>
      <c r="Q51" s="958"/>
      <c r="R51" s="958"/>
      <c r="S51" s="958"/>
      <c r="T51" s="958"/>
      <c r="U51" s="958"/>
      <c r="V51" s="958"/>
      <c r="W51" s="958"/>
      <c r="X51" s="958"/>
      <c r="Y51" s="958"/>
      <c r="Z51" s="958"/>
      <c r="AA51" s="958"/>
      <c r="AB51" s="958"/>
      <c r="AC51" s="195"/>
      <c r="AD51" s="195"/>
      <c r="AE51" s="195"/>
      <c r="AF51" s="195"/>
      <c r="AG51" s="195"/>
      <c r="AH51" s="195"/>
      <c r="AI51" s="195"/>
      <c r="AJ51" s="195"/>
    </row>
    <row r="52" spans="1:36" x14ac:dyDescent="0.45">
      <c r="A52" s="1055"/>
      <c r="B52" s="1055"/>
      <c r="C52" s="1055" t="s">
        <v>149</v>
      </c>
      <c r="D52" s="1055"/>
      <c r="E52" s="1055"/>
      <c r="F52" s="1055"/>
      <c r="G52" s="1055"/>
      <c r="H52" s="1055"/>
      <c r="I52" s="1056">
        <f t="shared" ref="I52:AB52" ca="1" si="46">+I30+I32+I37</f>
        <v>725130.25</v>
      </c>
      <c r="J52" s="1056">
        <f t="shared" ca="1" si="46"/>
        <v>265858.02250000002</v>
      </c>
      <c r="K52" s="1056">
        <f t="shared" ca="1" si="46"/>
        <v>278643.6784875</v>
      </c>
      <c r="L52" s="1056">
        <f t="shared" ca="1" si="46"/>
        <v>282922.49445281248</v>
      </c>
      <c r="M52" s="1056">
        <f t="shared" ca="1" si="46"/>
        <v>288229.69419936469</v>
      </c>
      <c r="N52" s="1056">
        <f t="shared" ca="1" si="46"/>
        <v>290330.39771471039</v>
      </c>
      <c r="O52" s="1056">
        <f t="shared" ca="1" si="46"/>
        <v>293182.84549083328</v>
      </c>
      <c r="P52" s="1056">
        <f t="shared" ca="1" si="46"/>
        <v>296901.58052580617</v>
      </c>
      <c r="Q52" s="1056">
        <f t="shared" ca="1" si="46"/>
        <v>303080.3736723559</v>
      </c>
      <c r="R52" s="1056">
        <f t="shared" ca="1" si="46"/>
        <v>310213.71853387705</v>
      </c>
      <c r="S52" s="1056">
        <f t="shared" ca="1" si="46"/>
        <v>315565.57350144966</v>
      </c>
      <c r="T52" s="1056">
        <f t="shared" ca="1" si="46"/>
        <v>315240.14865314658</v>
      </c>
      <c r="U52" s="1056">
        <f t="shared" ca="1" si="46"/>
        <v>321544.95162620954</v>
      </c>
      <c r="V52" s="1056">
        <f t="shared" ca="1" si="46"/>
        <v>327975.85065873369</v>
      </c>
      <c r="W52" s="1056">
        <f t="shared" ca="1" si="46"/>
        <v>334535.3676719084</v>
      </c>
      <c r="X52" s="1056">
        <f t="shared" ca="1" si="46"/>
        <v>341226.0750253466</v>
      </c>
      <c r="Y52" s="1056">
        <f t="shared" ca="1" si="46"/>
        <v>348050.5965258535</v>
      </c>
      <c r="Z52" s="1056">
        <f t="shared" ca="1" si="46"/>
        <v>355011.60845637065</v>
      </c>
      <c r="AA52" s="1056">
        <f t="shared" ca="1" si="46"/>
        <v>362111.84062549804</v>
      </c>
      <c r="AB52" s="1056">
        <f t="shared" ca="1" si="46"/>
        <v>369354.07743800798</v>
      </c>
      <c r="AC52" s="1056">
        <f ca="1">SUM(I52:AB52)</f>
        <v>6725109.1457597846</v>
      </c>
      <c r="AD52" s="1055"/>
      <c r="AE52" s="1055"/>
      <c r="AF52" s="1055"/>
      <c r="AG52" s="1055"/>
      <c r="AH52" s="1055"/>
      <c r="AI52" s="1055"/>
      <c r="AJ52" s="1055"/>
    </row>
    <row r="53" spans="1:36" x14ac:dyDescent="0.45">
      <c r="A53" s="1055"/>
      <c r="B53" s="1055"/>
      <c r="C53" s="1055" t="s">
        <v>150</v>
      </c>
      <c r="D53" s="1055"/>
      <c r="E53" s="1055"/>
      <c r="F53" s="1055"/>
      <c r="G53" s="1055"/>
      <c r="H53" s="1055"/>
      <c r="I53" s="1056">
        <f ca="1">+I52</f>
        <v>725130.25</v>
      </c>
      <c r="J53" s="1056">
        <f ca="1">+I53+J52</f>
        <v>990988.27249999996</v>
      </c>
      <c r="K53" s="1056">
        <f t="shared" ref="K53:AB53" ca="1" si="47">+J53+K52</f>
        <v>1269631.9509874999</v>
      </c>
      <c r="L53" s="1056">
        <f t="shared" ca="1" si="47"/>
        <v>1552554.4454403124</v>
      </c>
      <c r="M53" s="1056">
        <f t="shared" ca="1" si="47"/>
        <v>1840784.139639677</v>
      </c>
      <c r="N53" s="1056">
        <f t="shared" ca="1" si="47"/>
        <v>2131114.5373543873</v>
      </c>
      <c r="O53" s="1056">
        <f t="shared" ca="1" si="47"/>
        <v>2424297.3828452206</v>
      </c>
      <c r="P53" s="1056">
        <f t="shared" ca="1" si="47"/>
        <v>2721198.9633710268</v>
      </c>
      <c r="Q53" s="1056">
        <f t="shared" ca="1" si="47"/>
        <v>3024279.3370433827</v>
      </c>
      <c r="R53" s="1056">
        <f t="shared" ca="1" si="47"/>
        <v>3334493.0555772595</v>
      </c>
      <c r="S53" s="1056">
        <f t="shared" ca="1" si="47"/>
        <v>3650058.6290787091</v>
      </c>
      <c r="T53" s="1056">
        <f t="shared" ca="1" si="47"/>
        <v>3965298.7777318554</v>
      </c>
      <c r="U53" s="1056">
        <f t="shared" ca="1" si="47"/>
        <v>4286843.7293580649</v>
      </c>
      <c r="V53" s="1056">
        <f t="shared" ca="1" si="47"/>
        <v>4614819.5800167983</v>
      </c>
      <c r="W53" s="1056">
        <f t="shared" ca="1" si="47"/>
        <v>4949354.9476887072</v>
      </c>
      <c r="X53" s="1056">
        <f t="shared" ca="1" si="47"/>
        <v>5290581.0227140542</v>
      </c>
      <c r="Y53" s="1056">
        <f t="shared" ca="1" si="47"/>
        <v>5638631.6192399077</v>
      </c>
      <c r="Z53" s="1056">
        <f t="shared" ca="1" si="47"/>
        <v>5993643.2276962781</v>
      </c>
      <c r="AA53" s="1056">
        <f t="shared" ca="1" si="47"/>
        <v>6355755.0683217766</v>
      </c>
      <c r="AB53" s="1056">
        <f t="shared" ca="1" si="47"/>
        <v>6725109.1457597846</v>
      </c>
      <c r="AC53" s="1056"/>
      <c r="AD53" s="1055"/>
      <c r="AE53" s="1055"/>
      <c r="AF53" s="1055"/>
      <c r="AG53" s="1055"/>
      <c r="AH53" s="1055"/>
      <c r="AI53" s="1055"/>
      <c r="AJ53" s="1055"/>
    </row>
    <row r="54" spans="1:36" x14ac:dyDescent="0.45">
      <c r="A54" s="1055"/>
      <c r="B54" s="1055"/>
      <c r="C54" s="1055" t="s">
        <v>151</v>
      </c>
      <c r="D54" s="1055"/>
      <c r="E54" s="1055"/>
      <c r="F54" s="1055"/>
      <c r="G54" s="1055"/>
      <c r="H54" s="1055"/>
      <c r="I54" s="1056">
        <f>+I38</f>
        <v>0</v>
      </c>
      <c r="J54" s="1056">
        <f>+I54+J38</f>
        <v>0</v>
      </c>
      <c r="K54" s="1056">
        <f t="shared" ref="K54:AB54" si="48">+J54+K38</f>
        <v>-345094.42</v>
      </c>
      <c r="L54" s="1056">
        <f t="shared" si="48"/>
        <v>-632942.84</v>
      </c>
      <c r="M54" s="1056">
        <f t="shared" si="48"/>
        <v>-1147039.6599999999</v>
      </c>
      <c r="N54" s="1056">
        <f t="shared" si="48"/>
        <v>-1620439.18</v>
      </c>
      <c r="O54" s="1056">
        <f t="shared" si="48"/>
        <v>-2046403.31</v>
      </c>
      <c r="P54" s="1056">
        <f t="shared" si="48"/>
        <v>-2319696.2400000002</v>
      </c>
      <c r="Q54" s="1056">
        <f t="shared" si="48"/>
        <v>-2543297.4000000004</v>
      </c>
      <c r="R54" s="1056">
        <f t="shared" si="48"/>
        <v>-2900719.4400000004</v>
      </c>
      <c r="S54" s="1056">
        <f t="shared" si="48"/>
        <v>-3760761.9000000004</v>
      </c>
      <c r="T54" s="1056">
        <f t="shared" si="48"/>
        <v>-4576282.0500000007</v>
      </c>
      <c r="U54" s="1056">
        <f t="shared" si="48"/>
        <v>-5304399.6900000004</v>
      </c>
      <c r="V54" s="1056">
        <f t="shared" si="48"/>
        <v>-5580899.0800000001</v>
      </c>
      <c r="W54" s="1056">
        <f t="shared" si="48"/>
        <v>-6290567.1299999999</v>
      </c>
      <c r="X54" s="1056">
        <f t="shared" si="48"/>
        <v>-6960642.9500000002</v>
      </c>
      <c r="Y54" s="1056">
        <f t="shared" si="48"/>
        <v>-7595498.5</v>
      </c>
      <c r="Z54" s="1056">
        <f t="shared" si="48"/>
        <v>-7904025.8600000003</v>
      </c>
      <c r="AA54" s="1056">
        <f t="shared" si="48"/>
        <v>-8073536.0800000001</v>
      </c>
      <c r="AB54" s="1056">
        <f t="shared" si="48"/>
        <v>-8227626.6399999997</v>
      </c>
      <c r="AC54" s="1056"/>
      <c r="AD54" s="1055"/>
      <c r="AE54" s="1055"/>
      <c r="AF54" s="1055"/>
      <c r="AG54" s="1055"/>
      <c r="AH54" s="1055"/>
      <c r="AI54" s="1055"/>
      <c r="AJ54" s="1055"/>
    </row>
    <row r="55" spans="1:36" x14ac:dyDescent="0.45">
      <c r="A55" s="1055"/>
      <c r="B55" s="1055"/>
      <c r="C55" s="1055" t="s">
        <v>152</v>
      </c>
      <c r="D55" s="1055"/>
      <c r="E55" s="1055"/>
      <c r="F55" s="1055"/>
      <c r="G55" s="1055"/>
      <c r="H55" s="1055"/>
      <c r="I55" s="1056">
        <f ca="1">+I53+I54</f>
        <v>725130.25</v>
      </c>
      <c r="J55" s="1056">
        <f t="shared" ref="J55:AB55" ca="1" si="49">+J53+J54</f>
        <v>990988.27249999996</v>
      </c>
      <c r="K55" s="1056">
        <f t="shared" ca="1" si="49"/>
        <v>924537.53098749998</v>
      </c>
      <c r="L55" s="1056">
        <f t="shared" ca="1" si="49"/>
        <v>919611.60544031241</v>
      </c>
      <c r="M55" s="1056">
        <f t="shared" ca="1" si="49"/>
        <v>693744.4796396771</v>
      </c>
      <c r="N55" s="1056">
        <f t="shared" ca="1" si="49"/>
        <v>510675.35735438741</v>
      </c>
      <c r="O55" s="1056">
        <f t="shared" ca="1" si="49"/>
        <v>377894.07284522057</v>
      </c>
      <c r="P55" s="1056">
        <f t="shared" ca="1" si="49"/>
        <v>401502.72337102657</v>
      </c>
      <c r="Q55" s="1056">
        <f t="shared" ca="1" si="49"/>
        <v>480981.93704338232</v>
      </c>
      <c r="R55" s="1056">
        <f t="shared" ca="1" si="49"/>
        <v>433773.6155772591</v>
      </c>
      <c r="S55" s="1056">
        <f t="shared" ca="1" si="49"/>
        <v>-110703.27092129132</v>
      </c>
      <c r="T55" s="1056">
        <f t="shared" ca="1" si="49"/>
        <v>-610983.27226814535</v>
      </c>
      <c r="U55" s="1056">
        <f t="shared" ca="1" si="49"/>
        <v>-1017555.9606419355</v>
      </c>
      <c r="V55" s="1056">
        <f t="shared" ca="1" si="49"/>
        <v>-966079.49998320173</v>
      </c>
      <c r="W55" s="1056">
        <f t="shared" ca="1" si="49"/>
        <v>-1341212.1823112927</v>
      </c>
      <c r="X55" s="1056">
        <f t="shared" ca="1" si="49"/>
        <v>-1670061.927285946</v>
      </c>
      <c r="Y55" s="1056">
        <f t="shared" ca="1" si="49"/>
        <v>-1956866.8807600923</v>
      </c>
      <c r="Z55" s="1056">
        <f t="shared" ca="1" si="49"/>
        <v>-1910382.6323037222</v>
      </c>
      <c r="AA55" s="1056">
        <f t="shared" ca="1" si="49"/>
        <v>-1717781.0116782235</v>
      </c>
      <c r="AB55" s="1056">
        <f t="shared" ca="1" si="49"/>
        <v>-1502517.494240215</v>
      </c>
      <c r="AC55" s="1056"/>
      <c r="AD55" s="1055"/>
      <c r="AE55" s="1055"/>
      <c r="AF55" s="1055"/>
      <c r="AG55" s="1055"/>
      <c r="AH55" s="1055"/>
      <c r="AI55" s="1055"/>
      <c r="AJ55" s="1055"/>
    </row>
    <row r="56" spans="1:36" x14ac:dyDescent="0.45">
      <c r="A56" s="1055"/>
      <c r="B56" s="1055"/>
      <c r="C56" s="1055" t="s">
        <v>153</v>
      </c>
      <c r="D56" s="1055"/>
      <c r="E56" s="1055"/>
      <c r="F56" s="1055"/>
      <c r="G56" s="1055"/>
      <c r="H56" s="1055"/>
      <c r="I56" s="1056"/>
      <c r="J56" s="1056">
        <f ca="1">+J55-I55</f>
        <v>265858.02249999996</v>
      </c>
      <c r="K56" s="1056">
        <f t="shared" ref="K56:AB56" ca="1" si="50">+K55-J55</f>
        <v>-66450.741512499982</v>
      </c>
      <c r="L56" s="1056">
        <f t="shared" ca="1" si="50"/>
        <v>-4925.9255471875658</v>
      </c>
      <c r="M56" s="1056">
        <f t="shared" ca="1" si="50"/>
        <v>-225867.12580063532</v>
      </c>
      <c r="N56" s="1056">
        <f t="shared" ca="1" si="50"/>
        <v>-183069.12228528969</v>
      </c>
      <c r="O56" s="1056">
        <f t="shared" ca="1" si="50"/>
        <v>-132781.28450916684</v>
      </c>
      <c r="P56" s="1056">
        <f t="shared" ca="1" si="50"/>
        <v>23608.650525806006</v>
      </c>
      <c r="Q56" s="1056">
        <f t="shared" ca="1" si="50"/>
        <v>79479.213672355749</v>
      </c>
      <c r="R56" s="1056">
        <f t="shared" ca="1" si="50"/>
        <v>-47208.32146612322</v>
      </c>
      <c r="S56" s="1056">
        <f t="shared" ca="1" si="50"/>
        <v>-544476.88649855042</v>
      </c>
      <c r="T56" s="1056">
        <f t="shared" ca="1" si="50"/>
        <v>-500280.00134685403</v>
      </c>
      <c r="U56" s="1056">
        <f t="shared" ca="1" si="50"/>
        <v>-406572.68837379012</v>
      </c>
      <c r="V56" s="1056">
        <f t="shared" ca="1" si="50"/>
        <v>51476.460658733733</v>
      </c>
      <c r="W56" s="1056">
        <f t="shared" ca="1" si="50"/>
        <v>-375132.682328091</v>
      </c>
      <c r="X56" s="1056">
        <f t="shared" ca="1" si="50"/>
        <v>-328849.74497465324</v>
      </c>
      <c r="Y56" s="1056">
        <f t="shared" ca="1" si="50"/>
        <v>-286804.95347414631</v>
      </c>
      <c r="Z56" s="1056">
        <f t="shared" ca="1" si="50"/>
        <v>46484.248456370085</v>
      </c>
      <c r="AA56" s="1056">
        <f t="shared" ca="1" si="50"/>
        <v>192601.6206254987</v>
      </c>
      <c r="AB56" s="1056">
        <f t="shared" ca="1" si="50"/>
        <v>215263.51743800845</v>
      </c>
      <c r="AC56" s="1056"/>
      <c r="AD56" s="1055"/>
      <c r="AE56" s="1055"/>
      <c r="AF56" s="1055"/>
      <c r="AG56" s="1055"/>
      <c r="AH56" s="1055"/>
      <c r="AI56" s="1055"/>
      <c r="AJ56" s="1055"/>
    </row>
    <row r="57" spans="1:36" x14ac:dyDescent="0.45">
      <c r="A57" s="1055"/>
      <c r="B57" s="1055"/>
      <c r="C57" s="1055"/>
      <c r="D57" s="1055"/>
      <c r="E57" s="1055"/>
      <c r="F57" s="1055"/>
      <c r="G57" s="1055"/>
      <c r="H57" s="1055"/>
      <c r="I57" s="1056"/>
      <c r="J57" s="1056"/>
      <c r="K57" s="1056"/>
      <c r="L57" s="1056"/>
      <c r="M57" s="1056"/>
      <c r="N57" s="1056"/>
      <c r="O57" s="1056"/>
      <c r="P57" s="1056"/>
      <c r="Q57" s="1056"/>
      <c r="R57" s="1056"/>
      <c r="S57" s="1056"/>
      <c r="T57" s="1056"/>
      <c r="U57" s="1056"/>
      <c r="V57" s="1056"/>
      <c r="W57" s="1056"/>
      <c r="X57" s="1056"/>
      <c r="Y57" s="1056"/>
      <c r="Z57" s="1056"/>
      <c r="AA57" s="1056"/>
      <c r="AB57" s="1056"/>
      <c r="AC57" s="1056"/>
      <c r="AD57" s="1055"/>
      <c r="AE57" s="1055"/>
      <c r="AF57" s="1055"/>
      <c r="AG57" s="1055"/>
      <c r="AH57" s="1055"/>
      <c r="AI57" s="1055"/>
      <c r="AJ57" s="1055"/>
    </row>
    <row r="58" spans="1:36" x14ac:dyDescent="0.45">
      <c r="A58" s="1055"/>
      <c r="B58" s="1055"/>
      <c r="C58" s="1055" t="s">
        <v>154</v>
      </c>
      <c r="D58" s="1055"/>
      <c r="E58" s="1055"/>
      <c r="F58" s="1055"/>
      <c r="G58" s="1055"/>
      <c r="H58" s="1055"/>
      <c r="I58" s="1067">
        <f ca="1">+IF(ISERR(+I53/-I54-1)=TRUE,0,+I53/-I54-1)</f>
        <v>0</v>
      </c>
      <c r="J58" s="1067">
        <f ca="1">+IF(ISERR(+J53/-J54-1)=TRUE,0,+J53/-J54-1)</f>
        <v>0</v>
      </c>
      <c r="K58" s="1067">
        <f t="shared" ref="K58:AB58" ca="1" si="51">+IF(ISERR(+K53/-K54-1)=TRUE,0,+K53/-K54-1)</f>
        <v>2.6790857151138519</v>
      </c>
      <c r="L58" s="1067">
        <f t="shared" ca="1" si="51"/>
        <v>1.4529141453599705</v>
      </c>
      <c r="M58" s="1067">
        <f t="shared" ca="1" si="51"/>
        <v>0.60481298409479334</v>
      </c>
      <c r="N58" s="1067">
        <f t="shared" ca="1" si="51"/>
        <v>0.31514626630688314</v>
      </c>
      <c r="O58" s="1067">
        <f t="shared" ca="1" si="51"/>
        <v>0.18466255942735965</v>
      </c>
      <c r="P58" s="1067">
        <f t="shared" ca="1" si="51"/>
        <v>0.17308418078525079</v>
      </c>
      <c r="Q58" s="1067">
        <f t="shared" ca="1" si="51"/>
        <v>0.18911745714181216</v>
      </c>
      <c r="R58" s="1067">
        <f t="shared" ca="1" si="51"/>
        <v>0.14954001052141019</v>
      </c>
      <c r="S58" s="1067">
        <f t="shared" ca="1" si="51"/>
        <v>-2.9436394503276397E-2</v>
      </c>
      <c r="T58" s="1067">
        <f t="shared" ca="1" si="51"/>
        <v>-0.13351084255572609</v>
      </c>
      <c r="U58" s="1067">
        <f t="shared" ca="1" si="51"/>
        <v>-0.19183244478357464</v>
      </c>
      <c r="V58" s="1067">
        <f t="shared" ca="1" si="51"/>
        <v>-0.17310463531678877</v>
      </c>
      <c r="W58" s="1067">
        <f t="shared" ca="1" si="51"/>
        <v>-0.21321005794771519</v>
      </c>
      <c r="X58" s="1067">
        <f t="shared" ca="1" si="51"/>
        <v>-0.2399292621791419</v>
      </c>
      <c r="Y58" s="1067">
        <f t="shared" ca="1" si="51"/>
        <v>-0.2576350822477409</v>
      </c>
      <c r="Z58" s="1067">
        <f t="shared" ca="1" si="51"/>
        <v>-0.24169741675209067</v>
      </c>
      <c r="AA58" s="1067">
        <f t="shared" ca="1" si="51"/>
        <v>-0.21276687125156479</v>
      </c>
      <c r="AB58" s="1067">
        <f t="shared" ca="1" si="51"/>
        <v>-0.18261858005751885</v>
      </c>
      <c r="AC58" s="1055"/>
      <c r="AD58" s="1055"/>
      <c r="AE58" s="1055"/>
      <c r="AF58" s="1055"/>
      <c r="AG58" s="1055"/>
      <c r="AH58" s="1055"/>
      <c r="AI58" s="1055"/>
      <c r="AJ58" s="1055"/>
    </row>
    <row r="59" spans="1:36" x14ac:dyDescent="0.45">
      <c r="A59" s="1055"/>
      <c r="B59" s="1055"/>
      <c r="C59" s="1055" t="s">
        <v>155</v>
      </c>
      <c r="D59" s="1055"/>
      <c r="E59" s="1055"/>
      <c r="F59" s="1055"/>
      <c r="G59" s="1055"/>
      <c r="H59" s="1055"/>
      <c r="I59" s="1067"/>
      <c r="J59" s="1067">
        <f ca="1">+J58-I58</f>
        <v>0</v>
      </c>
      <c r="K59" s="1067">
        <f t="shared" ref="K59:AB59" ca="1" si="52">+K58-J58</f>
        <v>2.6790857151138519</v>
      </c>
      <c r="L59" s="1067">
        <f t="shared" ca="1" si="52"/>
        <v>-1.2261715697538813</v>
      </c>
      <c r="M59" s="1067">
        <f t="shared" ca="1" si="52"/>
        <v>-0.84810116126517721</v>
      </c>
      <c r="N59" s="1067">
        <f t="shared" ca="1" si="52"/>
        <v>-0.2896667177879102</v>
      </c>
      <c r="O59" s="1067">
        <f t="shared" ca="1" si="52"/>
        <v>-0.13048370687952349</v>
      </c>
      <c r="P59" s="1067">
        <f t="shared" ca="1" si="52"/>
        <v>-1.1578378642108866E-2</v>
      </c>
      <c r="Q59" s="1067">
        <f t="shared" ca="1" si="52"/>
        <v>1.6033276356561377E-2</v>
      </c>
      <c r="R59" s="1067">
        <f t="shared" ca="1" si="52"/>
        <v>-3.9577446620401968E-2</v>
      </c>
      <c r="S59" s="1067">
        <f t="shared" ca="1" si="52"/>
        <v>-0.17897640502468659</v>
      </c>
      <c r="T59" s="1067">
        <f t="shared" ca="1" si="52"/>
        <v>-0.1040744480524497</v>
      </c>
      <c r="U59" s="1067">
        <f t="shared" ca="1" si="52"/>
        <v>-5.8321602227848546E-2</v>
      </c>
      <c r="V59" s="1067">
        <f t="shared" ca="1" si="52"/>
        <v>1.8727809466785872E-2</v>
      </c>
      <c r="W59" s="1067">
        <f t="shared" ca="1" si="52"/>
        <v>-4.0105422630926424E-2</v>
      </c>
      <c r="X59" s="1067">
        <f t="shared" ca="1" si="52"/>
        <v>-2.6719204231426708E-2</v>
      </c>
      <c r="Y59" s="1067">
        <f t="shared" ca="1" si="52"/>
        <v>-1.7705820068598999E-2</v>
      </c>
      <c r="Z59" s="1067">
        <f t="shared" ca="1" si="52"/>
        <v>1.5937665495650233E-2</v>
      </c>
      <c r="AA59" s="1067">
        <f t="shared" ca="1" si="52"/>
        <v>2.8930545500525873E-2</v>
      </c>
      <c r="AB59" s="1067">
        <f t="shared" ca="1" si="52"/>
        <v>3.014829119404594E-2</v>
      </c>
      <c r="AC59" s="1055"/>
      <c r="AD59" s="1055"/>
      <c r="AE59" s="1055"/>
      <c r="AF59" s="1055"/>
      <c r="AG59" s="1055"/>
      <c r="AH59" s="1055"/>
      <c r="AI59" s="1055"/>
      <c r="AJ59" s="1055"/>
    </row>
    <row r="60" spans="1:36" x14ac:dyDescent="0.45">
      <c r="A60" s="1055"/>
      <c r="B60" s="1055"/>
      <c r="C60" s="1055"/>
      <c r="D60" s="1055"/>
      <c r="E60" s="1055"/>
      <c r="F60" s="1055"/>
      <c r="G60" s="1055"/>
      <c r="H60" s="1055"/>
      <c r="I60" s="1055"/>
      <c r="J60" s="1055"/>
      <c r="K60" s="1055"/>
      <c r="L60" s="1055"/>
      <c r="M60" s="1055"/>
      <c r="N60" s="1055"/>
      <c r="O60" s="1055"/>
      <c r="P60" s="1055"/>
      <c r="Q60" s="1055"/>
      <c r="R60" s="1055"/>
      <c r="S60" s="1055"/>
      <c r="T60" s="1055"/>
      <c r="U60" s="1055"/>
      <c r="V60" s="1055"/>
      <c r="W60" s="1055"/>
      <c r="X60" s="1055"/>
      <c r="Y60" s="1055"/>
      <c r="Z60" s="1055"/>
      <c r="AA60" s="1055"/>
      <c r="AB60" s="1055"/>
      <c r="AC60" s="1055"/>
      <c r="AD60" s="1055"/>
      <c r="AE60" s="1055"/>
      <c r="AF60" s="1055"/>
      <c r="AG60" s="1055"/>
      <c r="AH60" s="1055"/>
      <c r="AI60" s="1055"/>
      <c r="AJ60" s="1055"/>
    </row>
    <row r="61" spans="1:36" x14ac:dyDescent="0.45">
      <c r="A61" s="1055"/>
      <c r="B61" s="1055"/>
      <c r="C61" s="1055"/>
      <c r="D61" s="1055"/>
      <c r="E61" s="1055"/>
      <c r="F61" s="1055"/>
      <c r="G61" s="1055"/>
      <c r="H61" s="1055"/>
      <c r="I61" s="1068">
        <f>+I5</f>
        <v>1</v>
      </c>
      <c r="J61" s="1068">
        <f t="shared" ref="J61:AB61" si="53">+J5</f>
        <v>2</v>
      </c>
      <c r="K61" s="1068">
        <f t="shared" si="53"/>
        <v>3</v>
      </c>
      <c r="L61" s="1068">
        <f t="shared" si="53"/>
        <v>4</v>
      </c>
      <c r="M61" s="1068">
        <f t="shared" si="53"/>
        <v>5</v>
      </c>
      <c r="N61" s="1068">
        <f t="shared" si="53"/>
        <v>6</v>
      </c>
      <c r="O61" s="1068">
        <f t="shared" si="53"/>
        <v>7</v>
      </c>
      <c r="P61" s="1068">
        <f t="shared" si="53"/>
        <v>8</v>
      </c>
      <c r="Q61" s="1068">
        <f t="shared" si="53"/>
        <v>9</v>
      </c>
      <c r="R61" s="1068">
        <f t="shared" si="53"/>
        <v>10</v>
      </c>
      <c r="S61" s="1068">
        <f t="shared" si="53"/>
        <v>11</v>
      </c>
      <c r="T61" s="1068">
        <f t="shared" si="53"/>
        <v>12</v>
      </c>
      <c r="U61" s="1068">
        <f t="shared" si="53"/>
        <v>13</v>
      </c>
      <c r="V61" s="1068">
        <f t="shared" si="53"/>
        <v>14</v>
      </c>
      <c r="W61" s="1068">
        <f t="shared" si="53"/>
        <v>15</v>
      </c>
      <c r="X61" s="1068">
        <f t="shared" si="53"/>
        <v>16</v>
      </c>
      <c r="Y61" s="1068">
        <f t="shared" si="53"/>
        <v>17</v>
      </c>
      <c r="Z61" s="1068">
        <f t="shared" si="53"/>
        <v>18</v>
      </c>
      <c r="AA61" s="1068">
        <f t="shared" si="53"/>
        <v>19</v>
      </c>
      <c r="AB61" s="1068">
        <f t="shared" si="53"/>
        <v>20</v>
      </c>
      <c r="AC61" s="1055"/>
      <c r="AD61" s="1055"/>
      <c r="AE61" s="1055"/>
      <c r="AF61" s="1055"/>
      <c r="AG61" s="1055"/>
      <c r="AH61" s="1055"/>
      <c r="AI61" s="1055"/>
      <c r="AJ61" s="1055"/>
    </row>
    <row r="62" spans="1:36" x14ac:dyDescent="0.45">
      <c r="A62" s="1055"/>
      <c r="B62" s="1055"/>
      <c r="C62" s="1055" t="s">
        <v>156</v>
      </c>
      <c r="D62" s="1055"/>
      <c r="E62" s="1055"/>
      <c r="F62" s="1055"/>
      <c r="G62" s="1055"/>
      <c r="H62" s="1055"/>
      <c r="I62" s="1069">
        <f>+I38/$G$38</f>
        <v>0</v>
      </c>
      <c r="J62" s="1069">
        <f t="shared" ref="J62:AB62" si="54">+J38/$G$38</f>
        <v>0</v>
      </c>
      <c r="K62" s="1069">
        <f t="shared" si="54"/>
        <v>4.1943373842739176E-2</v>
      </c>
      <c r="L62" s="1069">
        <f t="shared" si="54"/>
        <v>3.4985595797526366E-2</v>
      </c>
      <c r="M62" s="1069">
        <f t="shared" si="54"/>
        <v>6.2484218413683394E-2</v>
      </c>
      <c r="N62" s="1069">
        <f t="shared" si="54"/>
        <v>5.7537798044759121E-2</v>
      </c>
      <c r="O62" s="1069">
        <f t="shared" si="54"/>
        <v>5.1772418540372664E-2</v>
      </c>
      <c r="P62" s="1069">
        <f t="shared" si="54"/>
        <v>3.3216496318797473E-2</v>
      </c>
      <c r="Q62" s="1069">
        <f t="shared" si="54"/>
        <v>2.7176872478987455E-2</v>
      </c>
      <c r="R62" s="1069">
        <f t="shared" si="54"/>
        <v>4.3441694140851292E-2</v>
      </c>
      <c r="S62" s="1069">
        <f t="shared" si="54"/>
        <v>0.10453105101035552</v>
      </c>
      <c r="T62" s="1069">
        <f t="shared" si="54"/>
        <v>9.9119732297429583E-2</v>
      </c>
      <c r="U62" s="1069">
        <f t="shared" si="54"/>
        <v>8.8496679766693939E-2</v>
      </c>
      <c r="V62" s="1069">
        <f t="shared" si="54"/>
        <v>3.3606215023874737E-2</v>
      </c>
      <c r="W62" s="1069">
        <f t="shared" si="54"/>
        <v>8.6254284625632949E-2</v>
      </c>
      <c r="X62" s="1069">
        <f t="shared" si="54"/>
        <v>8.1442176379554337E-2</v>
      </c>
      <c r="Y62" s="1069">
        <f t="shared" si="54"/>
        <v>7.7161443728321649E-2</v>
      </c>
      <c r="Z62" s="1069">
        <f t="shared" si="54"/>
        <v>3.7498950000968929E-2</v>
      </c>
      <c r="AA62" s="1069">
        <f t="shared" si="54"/>
        <v>2.06025658937776E-2</v>
      </c>
      <c r="AB62" s="1069">
        <f t="shared" si="54"/>
        <v>1.8728433695673872E-2</v>
      </c>
      <c r="AC62" s="1055"/>
      <c r="AD62" s="1055"/>
      <c r="AE62" s="1055"/>
      <c r="AF62" s="1055"/>
      <c r="AG62" s="1055"/>
      <c r="AH62" s="1055"/>
      <c r="AI62" s="1055"/>
      <c r="AJ62" s="1055"/>
    </row>
    <row r="63" spans="1:36" x14ac:dyDescent="0.45">
      <c r="A63" s="1055"/>
      <c r="B63" s="1055"/>
      <c r="C63" s="1055" t="s">
        <v>157</v>
      </c>
      <c r="D63" s="1055"/>
      <c r="E63" s="1055"/>
      <c r="F63" s="1055"/>
      <c r="G63" s="1055"/>
      <c r="H63" s="1055"/>
      <c r="I63" s="1070">
        <f>+I62</f>
        <v>0</v>
      </c>
      <c r="J63" s="1070">
        <f>+I63+J62</f>
        <v>0</v>
      </c>
      <c r="K63" s="1070">
        <f t="shared" ref="K63:AB63" si="55">+J63+K62</f>
        <v>4.1943373842739176E-2</v>
      </c>
      <c r="L63" s="1070">
        <f t="shared" si="55"/>
        <v>7.6928969640265549E-2</v>
      </c>
      <c r="M63" s="1070">
        <f t="shared" si="55"/>
        <v>0.13941318805394895</v>
      </c>
      <c r="N63" s="1070">
        <f t="shared" si="55"/>
        <v>0.19695098609870806</v>
      </c>
      <c r="O63" s="1070">
        <f t="shared" si="55"/>
        <v>0.24872340463908071</v>
      </c>
      <c r="P63" s="1070">
        <f t="shared" si="55"/>
        <v>0.28193990095787819</v>
      </c>
      <c r="Q63" s="1070">
        <f t="shared" si="55"/>
        <v>0.30911677343686567</v>
      </c>
      <c r="R63" s="1070">
        <f t="shared" si="55"/>
        <v>0.35255846757771697</v>
      </c>
      <c r="S63" s="1070">
        <f t="shared" si="55"/>
        <v>0.45708951858807251</v>
      </c>
      <c r="T63" s="1070">
        <f t="shared" si="55"/>
        <v>0.5562092508855021</v>
      </c>
      <c r="U63" s="1070">
        <f t="shared" si="55"/>
        <v>0.64470593065219606</v>
      </c>
      <c r="V63" s="1070">
        <f t="shared" si="55"/>
        <v>0.67831214567607079</v>
      </c>
      <c r="W63" s="1070">
        <f t="shared" si="55"/>
        <v>0.76456643030170368</v>
      </c>
      <c r="X63" s="1070">
        <f t="shared" si="55"/>
        <v>0.84600860668125799</v>
      </c>
      <c r="Y63" s="1070">
        <f t="shared" si="55"/>
        <v>0.92317005040957967</v>
      </c>
      <c r="Z63" s="1070">
        <f t="shared" si="55"/>
        <v>0.96066900041054859</v>
      </c>
      <c r="AA63" s="1070">
        <f t="shared" si="55"/>
        <v>0.98127156630432621</v>
      </c>
      <c r="AB63" s="1070">
        <f t="shared" si="55"/>
        <v>1</v>
      </c>
      <c r="AC63" s="1055"/>
      <c r="AD63" s="1055"/>
      <c r="AE63" s="1055"/>
      <c r="AF63" s="1055"/>
      <c r="AG63" s="1055"/>
      <c r="AH63" s="1055"/>
      <c r="AI63" s="1055"/>
      <c r="AJ63" s="1055"/>
    </row>
    <row r="64" spans="1:36" x14ac:dyDescent="0.45">
      <c r="A64" s="1055"/>
      <c r="B64" s="1055"/>
      <c r="C64" s="1055"/>
      <c r="D64" s="1055"/>
      <c r="E64" s="1055"/>
      <c r="F64" s="1055"/>
      <c r="G64" s="1055"/>
      <c r="H64" s="1055"/>
      <c r="I64" s="1055"/>
      <c r="J64" s="1055"/>
      <c r="K64" s="1055"/>
      <c r="L64" s="1055"/>
      <c r="M64" s="1055"/>
      <c r="N64" s="1055"/>
      <c r="O64" s="1055"/>
      <c r="P64" s="1055"/>
      <c r="Q64" s="1055"/>
      <c r="R64" s="1055"/>
      <c r="S64" s="1055"/>
      <c r="T64" s="1055"/>
      <c r="U64" s="1055"/>
      <c r="V64" s="1055"/>
      <c r="W64" s="1055"/>
      <c r="X64" s="1055"/>
      <c r="Y64" s="1055"/>
      <c r="Z64" s="1055"/>
      <c r="AA64" s="1055"/>
      <c r="AB64" s="1055"/>
      <c r="AC64" s="1055"/>
      <c r="AD64" s="1055"/>
      <c r="AE64" s="1055"/>
      <c r="AF64" s="1055"/>
      <c r="AG64" s="1055"/>
      <c r="AH64" s="1055"/>
      <c r="AI64" s="1055"/>
      <c r="AJ64" s="1055"/>
    </row>
    <row r="65" spans="1:36" x14ac:dyDescent="0.45">
      <c r="A65" s="1055"/>
      <c r="B65" s="1055"/>
      <c r="C65" s="1055" t="s">
        <v>158</v>
      </c>
      <c r="D65" s="1055"/>
      <c r="E65" s="1055"/>
      <c r="F65" s="1055"/>
      <c r="G65" s="1055"/>
      <c r="H65" s="1055"/>
      <c r="I65" s="1070" t="e">
        <f>-+I37/I38</f>
        <v>#DIV/0!</v>
      </c>
      <c r="J65" s="1070" t="e">
        <f t="shared" ref="J65:AB65" ca="1" si="56">-+J37/J38</f>
        <v>#DIV/0!</v>
      </c>
      <c r="K65" s="1070">
        <f t="shared" ca="1" si="56"/>
        <v>0.7643671966646115</v>
      </c>
      <c r="L65" s="1070">
        <f t="shared" ca="1" si="56"/>
        <v>0.93470873138021737</v>
      </c>
      <c r="M65" s="1070">
        <f t="shared" ca="1" si="56"/>
        <v>0.53382069182563707</v>
      </c>
      <c r="N65" s="1070">
        <f t="shared" ca="1" si="56"/>
        <v>0.59130653643272646</v>
      </c>
      <c r="O65" s="1070">
        <f t="shared" ca="1" si="56"/>
        <v>0.67029755564281313</v>
      </c>
      <c r="P65" s="1070">
        <f t="shared" ca="1" si="56"/>
        <v>1.0656447257275476</v>
      </c>
      <c r="Q65" s="1070">
        <f t="shared" ca="1" si="56"/>
        <v>1.3285165104769157</v>
      </c>
      <c r="R65" s="1070">
        <f t="shared" ca="1" si="56"/>
        <v>0.84773448631826487</v>
      </c>
      <c r="S65" s="1070">
        <f t="shared" ca="1" si="56"/>
        <v>0.3593531524801587</v>
      </c>
      <c r="T65" s="1070">
        <f t="shared" ca="1" si="56"/>
        <v>0.38655102348255477</v>
      </c>
      <c r="U65" s="1070">
        <f t="shared" ca="1" si="56"/>
        <v>0.44161126439157489</v>
      </c>
      <c r="V65" s="1070">
        <f t="shared" ca="1" si="56"/>
        <v>1.186172058675188</v>
      </c>
      <c r="W65" s="1070">
        <f t="shared" ca="1" si="56"/>
        <v>0.47139696886721671</v>
      </c>
      <c r="X65" s="1070">
        <f t="shared" ca="1" si="56"/>
        <v>0.50923502212831173</v>
      </c>
      <c r="Y65" s="1070">
        <f t="shared" ca="1" si="56"/>
        <v>0.54823588850385485</v>
      </c>
      <c r="Z65" s="1070">
        <f t="shared" ca="1" si="56"/>
        <v>1.1506649149572039</v>
      </c>
      <c r="AA65" s="1070">
        <f t="shared" ca="1" si="56"/>
        <v>2.1362242384293881</v>
      </c>
      <c r="AB65" s="1070">
        <f t="shared" ca="1" si="56"/>
        <v>2.3969935435240677</v>
      </c>
      <c r="AC65" s="1055"/>
      <c r="AD65" s="1055"/>
      <c r="AE65" s="1055"/>
      <c r="AF65" s="1055"/>
      <c r="AG65" s="1055"/>
      <c r="AH65" s="1055"/>
      <c r="AI65" s="1055"/>
      <c r="AJ65" s="1055"/>
    </row>
    <row r="66" spans="1:36" x14ac:dyDescent="0.45">
      <c r="A66" s="1055"/>
      <c r="B66" s="1055"/>
      <c r="C66" s="1071"/>
      <c r="D66" s="1055"/>
      <c r="E66" s="1055"/>
      <c r="F66" s="1055"/>
      <c r="G66" s="1055"/>
      <c r="H66" s="1055"/>
      <c r="I66" s="1070"/>
      <c r="J66" s="1070"/>
      <c r="K66" s="1070"/>
      <c r="L66" s="1070"/>
      <c r="M66" s="1070"/>
      <c r="N66" s="1070"/>
      <c r="O66" s="1070"/>
      <c r="P66" s="1070"/>
      <c r="Q66" s="1070"/>
      <c r="R66" s="203" t="s">
        <v>159</v>
      </c>
      <c r="S66" s="1070">
        <f ca="1">-$AB$13/R24</f>
        <v>0.36986570287400589</v>
      </c>
      <c r="T66" s="1070">
        <f t="shared" ref="T66:AB66" ca="1" si="57">-$AB$13/S24</f>
        <v>0.33188804078774903</v>
      </c>
      <c r="U66" s="1070">
        <f t="shared" ca="1" si="57"/>
        <v>0.30027611059830878</v>
      </c>
      <c r="V66" s="1070">
        <f t="shared" ca="1" si="57"/>
        <v>0.27356084953230764</v>
      </c>
      <c r="W66" s="1070">
        <f t="shared" ca="1" si="57"/>
        <v>0.25069292326973197</v>
      </c>
      <c r="X66" s="1070">
        <f t="shared" ca="1" si="57"/>
        <v>0.2309028164792441</v>
      </c>
      <c r="Y66" s="1070">
        <f t="shared" ca="1" si="57"/>
        <v>0.2136133894041598</v>
      </c>
      <c r="Z66" s="1070">
        <f t="shared" ca="1" si="57"/>
        <v>0.19838329683115347</v>
      </c>
      <c r="AA66" s="1070">
        <f t="shared" ca="1" si="57"/>
        <v>0.1848692674039471</v>
      </c>
      <c r="AB66" s="1070">
        <f t="shared" ca="1" si="57"/>
        <v>0.17280029473381564</v>
      </c>
      <c r="AC66" s="1055"/>
      <c r="AD66" s="1055"/>
      <c r="AE66" s="1055"/>
      <c r="AF66" s="1055"/>
      <c r="AG66" s="1055"/>
      <c r="AH66" s="1055"/>
      <c r="AI66" s="1055"/>
      <c r="AJ66" s="1055"/>
    </row>
    <row r="67" spans="1:36" x14ac:dyDescent="0.45">
      <c r="A67" s="1055"/>
      <c r="B67" s="1055"/>
      <c r="C67" s="1055" t="s">
        <v>160</v>
      </c>
      <c r="D67" s="1055"/>
      <c r="E67" s="1055"/>
      <c r="F67" s="1055"/>
      <c r="G67" s="1055"/>
      <c r="H67" s="1055"/>
      <c r="I67" s="1072">
        <f>+I37/'Trial Deposits Engine'!$P$22</f>
        <v>556</v>
      </c>
      <c r="J67" s="1072">
        <f ca="1">+J37/'Trial Deposits Engine'!$P$22</f>
        <v>567.12</v>
      </c>
      <c r="K67" s="1072">
        <f ca="1">+K37/'Trial Deposits Engine'!$P$22</f>
        <v>578.4624</v>
      </c>
      <c r="L67" s="1072">
        <f ca="1">+L37/'Trial Deposits Engine'!$P$22</f>
        <v>590.0316479999999</v>
      </c>
      <c r="M67" s="1072">
        <f ca="1">+M37/'Trial Deposits Engine'!$P$22</f>
        <v>601.83228095999993</v>
      </c>
      <c r="N67" s="1072">
        <f ca="1">+N37/'Trial Deposits Engine'!$P$22</f>
        <v>613.86892657920009</v>
      </c>
      <c r="O67" s="1072">
        <f ca="1">+O37/'Trial Deposits Engine'!$P$22</f>
        <v>626.14630511078394</v>
      </c>
      <c r="P67" s="1072">
        <f ca="1">+P37/'Trial Deposits Engine'!$P$22</f>
        <v>638.66923121299965</v>
      </c>
      <c r="Q67" s="1072">
        <f ca="1">+Q37/'Trial Deposits Engine'!$P$22</f>
        <v>651.44261583725984</v>
      </c>
      <c r="R67" s="1072">
        <f ca="1">+R37/'Trial Deposits Engine'!$P$22</f>
        <v>664.47146815400504</v>
      </c>
      <c r="S67" s="1072">
        <f ca="1">+S37/'Trial Deposits Engine'!$P$22</f>
        <v>677.76089751708503</v>
      </c>
      <c r="T67" s="1072">
        <f ca="1">+T37/'Trial Deposits Engine'!$P$22</f>
        <v>691.3161154674267</v>
      </c>
      <c r="U67" s="1072">
        <f ca="1">+U37/'Trial Deposits Engine'!$P$22</f>
        <v>705.1424377767753</v>
      </c>
      <c r="V67" s="1072">
        <f ca="1">+V37/'Trial Deposits Engine'!$P$22</f>
        <v>719.24528653231073</v>
      </c>
      <c r="W67" s="1072">
        <f ca="1">+W37/'Trial Deposits Engine'!$P$22</f>
        <v>733.63019226295705</v>
      </c>
      <c r="X67" s="1072">
        <f ca="1">+X37/'Trial Deposits Engine'!$P$22</f>
        <v>748.30279610821617</v>
      </c>
      <c r="Y67" s="1072">
        <f ca="1">+Y37/'Trial Deposits Engine'!$P$22</f>
        <v>763.26885203038046</v>
      </c>
      <c r="Z67" s="1072">
        <f ca="1">+Z37/'Trial Deposits Engine'!$P$22</f>
        <v>778.53422907098832</v>
      </c>
      <c r="AA67" s="1072">
        <f ca="1">+AA37/'Trial Deposits Engine'!$P$22</f>
        <v>794.10491365240796</v>
      </c>
      <c r="AB67" s="1072">
        <f ca="1">+AB37/'Trial Deposits Engine'!$P$22</f>
        <v>809.98701192545604</v>
      </c>
      <c r="AC67" s="1055"/>
      <c r="AD67" s="1055"/>
      <c r="AE67" s="1055"/>
      <c r="AF67" s="1055"/>
      <c r="AG67" s="1055"/>
      <c r="AH67" s="1055"/>
      <c r="AI67" s="1055"/>
      <c r="AJ67" s="1055"/>
    </row>
    <row r="68" spans="1:36" x14ac:dyDescent="0.45">
      <c r="A68" s="1055"/>
      <c r="B68" s="1055"/>
      <c r="C68" s="1055" t="s">
        <v>161</v>
      </c>
      <c r="D68" s="1055"/>
      <c r="E68" s="1055"/>
      <c r="F68" s="1055"/>
      <c r="G68" s="1055"/>
      <c r="H68" s="1055"/>
      <c r="I68" s="1072">
        <f>-+I41/'Trial Deposits Engine'!$P$22</f>
        <v>0</v>
      </c>
      <c r="J68" s="1072">
        <f ca="1">-+J41/'Trial Deposits Engine'!$P$22</f>
        <v>0</v>
      </c>
      <c r="K68" s="1072">
        <f ca="1">-+K41/'Trial Deposits Engine'!$P$22</f>
        <v>178.32360877192977</v>
      </c>
      <c r="L68" s="1072">
        <f ca="1">-+L41/'Trial Deposits Engine'!$P$22</f>
        <v>41.214887087719319</v>
      </c>
      <c r="M68" s="1072">
        <f ca="1">-+M41/'Trial Deposits Engine'!$P$22</f>
        <v>525.57302605754387</v>
      </c>
      <c r="N68" s="1072">
        <f ca="1">-+N41/'Trial Deposits Engine'!$P$22</f>
        <v>421.07001498743932</v>
      </c>
      <c r="O68" s="1072">
        <f ca="1">-+O41/'Trial Deposits Engine'!$P$22</f>
        <v>16.798531491920638</v>
      </c>
      <c r="P68" s="1072">
        <f ca="1">-+P41/'Trial Deposits Engine'!$P$22</f>
        <v>0</v>
      </c>
      <c r="Q68" s="1072">
        <f ca="1">-+Q41/'Trial Deposits Engine'!$P$22</f>
        <v>0</v>
      </c>
      <c r="R68" s="1072">
        <f ca="1">-+R41/'Trial Deposits Engine'!$P$22</f>
        <v>41.459826751961515</v>
      </c>
      <c r="S68" s="1072">
        <f ca="1">-+S41/'Trial Deposits Engine'!$P$22</f>
        <v>14.268868933462493</v>
      </c>
      <c r="T68" s="1072">
        <f ca="1">-+T41/'Trial Deposits Engine'!$P$22</f>
        <v>0</v>
      </c>
      <c r="U68" s="1072">
        <f ca="1">-+U41/'Trial Deposits Engine'!$P$22</f>
        <v>0</v>
      </c>
      <c r="V68" s="1072">
        <f ca="1">-+V41/'Trial Deposits Engine'!$P$22</f>
        <v>0</v>
      </c>
      <c r="W68" s="1072">
        <f ca="1">-+W41/'Trial Deposits Engine'!$P$22</f>
        <v>0</v>
      </c>
      <c r="X68" s="1072">
        <f ca="1">-+X41/'Trial Deposits Engine'!$P$22</f>
        <v>0</v>
      </c>
      <c r="Y68" s="1072">
        <f ca="1">-+Y41/'Trial Deposits Engine'!$P$22</f>
        <v>0</v>
      </c>
      <c r="Z68" s="1072">
        <f ca="1">-+Z41/'Trial Deposits Engine'!$P$22</f>
        <v>0</v>
      </c>
      <c r="AA68" s="1072">
        <f ca="1">-+AA41/'Trial Deposits Engine'!$P$22</f>
        <v>0</v>
      </c>
      <c r="AB68" s="1072">
        <f ca="1">-+AB41/'Trial Deposits Engine'!$P$22</f>
        <v>0</v>
      </c>
      <c r="AC68" s="1055"/>
      <c r="AD68" s="1055"/>
      <c r="AE68" s="1055"/>
      <c r="AF68" s="1055"/>
      <c r="AG68" s="1055"/>
      <c r="AH68" s="1055"/>
      <c r="AI68" s="1055"/>
      <c r="AJ68" s="1055"/>
    </row>
    <row r="69" spans="1:36" x14ac:dyDescent="0.45">
      <c r="A69" s="1055"/>
      <c r="B69" s="1055"/>
      <c r="C69" s="1055" t="s">
        <v>162</v>
      </c>
      <c r="D69" s="1055"/>
      <c r="E69" s="1055"/>
      <c r="F69" s="1055"/>
      <c r="G69" s="1055"/>
      <c r="H69" s="1055"/>
      <c r="I69" s="1072">
        <f>+-I38/'Trial Deposits Engine'!$P$22</f>
        <v>0</v>
      </c>
      <c r="J69" s="1072">
        <f>+-J38/'Trial Deposits Engine'!$P$22</f>
        <v>0</v>
      </c>
      <c r="K69" s="1072">
        <f>+-K38/'Trial Deposits Engine'!$P$22</f>
        <v>756.7860087719298</v>
      </c>
      <c r="L69" s="1072">
        <f>+-L38/'Trial Deposits Engine'!$P$22</f>
        <v>631.24653508771928</v>
      </c>
      <c r="M69" s="1072">
        <f>+-M38/'Trial Deposits Engine'!$P$22</f>
        <v>1127.4053070175439</v>
      </c>
      <c r="N69" s="1072">
        <f>+-N38/'Trial Deposits Engine'!$P$22</f>
        <v>1038.1568421052632</v>
      </c>
      <c r="O69" s="1072">
        <f>+-O38/'Trial Deposits Engine'!$P$22</f>
        <v>934.13186403508769</v>
      </c>
      <c r="P69" s="1072">
        <f>+-P38/'Trial Deposits Engine'!$P$22</f>
        <v>599.32660087719296</v>
      </c>
      <c r="Q69" s="1072">
        <f>+-Q38/'Trial Deposits Engine'!$P$22</f>
        <v>490.35342105263157</v>
      </c>
      <c r="R69" s="1072">
        <f>+-R38/'Trial Deposits Engine'!$P$22</f>
        <v>783.82026315789471</v>
      </c>
      <c r="S69" s="1072">
        <f>+-S38/'Trial Deposits Engine'!$P$22</f>
        <v>1886.0580263157894</v>
      </c>
      <c r="T69" s="1072">
        <f>+-T38/'Trial Deposits Engine'!$P$22</f>
        <v>1788.4213815789474</v>
      </c>
      <c r="U69" s="1072">
        <f>+-U38/'Trial Deposits Engine'!$P$22</f>
        <v>1596.7492105263159</v>
      </c>
      <c r="V69" s="1072">
        <f>+-V38/'Trial Deposits Engine'!$P$22</f>
        <v>606.35831140350876</v>
      </c>
      <c r="W69" s="1072">
        <f>+-W38/'Trial Deposits Engine'!$P$22</f>
        <v>1556.2895833333334</v>
      </c>
      <c r="X69" s="1072">
        <f>+-X38/'Trial Deposits Engine'!$P$22</f>
        <v>1469.4645175438595</v>
      </c>
      <c r="Y69" s="1072">
        <f>+-Y38/'Trial Deposits Engine'!$P$22</f>
        <v>1392.2270833333334</v>
      </c>
      <c r="Z69" s="1072">
        <f>+-Z38/'Trial Deposits Engine'!$P$22</f>
        <v>676.59508771929825</v>
      </c>
      <c r="AA69" s="1072">
        <f>+-AA38/'Trial Deposits Engine'!$P$22</f>
        <v>371.73293859649124</v>
      </c>
      <c r="AB69" s="1072">
        <f>+-AB38/'Trial Deposits Engine'!$P$22</f>
        <v>337.91789473684207</v>
      </c>
      <c r="AC69" s="1055"/>
      <c r="AD69" s="1055"/>
      <c r="AE69" s="1055"/>
      <c r="AF69" s="1055"/>
      <c r="AG69" s="1055"/>
      <c r="AH69" s="1055"/>
      <c r="AI69" s="1055"/>
      <c r="AJ69" s="1055"/>
    </row>
    <row r="70" spans="1:36" x14ac:dyDescent="0.45">
      <c r="A70" s="1055"/>
      <c r="B70" s="1055"/>
      <c r="C70" s="1055" t="s">
        <v>163</v>
      </c>
      <c r="D70" s="1055"/>
      <c r="E70" s="1055"/>
      <c r="F70" s="1055"/>
      <c r="G70" s="1055"/>
      <c r="H70" s="1055"/>
      <c r="I70" s="1072">
        <f>+-I15/'Trial Deposits Engine'!$P$22</f>
        <v>735.1964473684211</v>
      </c>
      <c r="J70" s="1072">
        <f ca="1">+-J15/'Trial Deposits Engine'!$P$22</f>
        <v>749.90037631578957</v>
      </c>
      <c r="K70" s="1072">
        <f ca="1">+-K15/'Trial Deposits Engine'!$P$22</f>
        <v>764.89838384210532</v>
      </c>
      <c r="L70" s="1072">
        <f ca="1">+-L15/'Trial Deposits Engine'!$P$22</f>
        <v>780.19635151894727</v>
      </c>
      <c r="M70" s="1072">
        <f ca="1">+-M15/'Trial Deposits Engine'!$P$22</f>
        <v>795.80027854932644</v>
      </c>
      <c r="N70" s="1072">
        <f ca="1">+-N15/'Trial Deposits Engine'!$P$22</f>
        <v>811.71628412031293</v>
      </c>
      <c r="O70" s="1072">
        <f ca="1">+-O15/'Trial Deposits Engine'!$P$22</f>
        <v>827.95060980271921</v>
      </c>
      <c r="P70" s="1072">
        <f ca="1">+-P15/'Trial Deposits Engine'!$P$22</f>
        <v>844.50962199877358</v>
      </c>
      <c r="Q70" s="1072">
        <f ca="1">+-Q15/'Trial Deposits Engine'!$P$22</f>
        <v>861.3998144387491</v>
      </c>
      <c r="R70" s="1072">
        <f ca="1">+-R15/'Trial Deposits Engine'!$P$22</f>
        <v>878.62781072752409</v>
      </c>
      <c r="S70" s="1072">
        <f ca="1">+-S15/'Trial Deposits Engine'!$P$22</f>
        <v>896.20036694207465</v>
      </c>
      <c r="T70" s="1072">
        <f ca="1">+-T15/'Trial Deposits Engine'!$P$22</f>
        <v>914.12437428091607</v>
      </c>
      <c r="U70" s="1072">
        <f ca="1">+-U15/'Trial Deposits Engine'!$P$22</f>
        <v>932.40686176653435</v>
      </c>
      <c r="V70" s="1072">
        <f ca="1">+-V15/'Trial Deposits Engine'!$P$22</f>
        <v>951.05499900186499</v>
      </c>
      <c r="W70" s="1072">
        <f ca="1">+-W15/'Trial Deposits Engine'!$P$22</f>
        <v>970.07609898190242</v>
      </c>
      <c r="X70" s="1072">
        <f ca="1">+-X15/'Trial Deposits Engine'!$P$22</f>
        <v>989.47762096154054</v>
      </c>
      <c r="Y70" s="1072">
        <f ca="1">+-Y15/'Trial Deposits Engine'!$P$22</f>
        <v>1009.2671733807714</v>
      </c>
      <c r="Z70" s="1072">
        <f ca="1">+-Z15/'Trial Deposits Engine'!$P$22</f>
        <v>1029.4525168483869</v>
      </c>
      <c r="AA70" s="1072">
        <f ca="1">+-AA15/'Trial Deposits Engine'!$P$22</f>
        <v>1050.0415671853546</v>
      </c>
      <c r="AB70" s="1072">
        <f ca="1">+-AB15/'Trial Deposits Engine'!$P$22</f>
        <v>1071.0423985290615</v>
      </c>
      <c r="AC70" s="1055"/>
      <c r="AD70" s="1055"/>
      <c r="AE70" s="1055"/>
      <c r="AF70" s="1055"/>
      <c r="AG70" s="1055"/>
      <c r="AH70" s="1055"/>
      <c r="AI70" s="1055"/>
      <c r="AJ70" s="1055"/>
    </row>
    <row r="71" spans="1:36" ht="14.65" thickBot="1" x14ac:dyDescent="0.5">
      <c r="A71" s="1055"/>
      <c r="B71" s="1055"/>
      <c r="C71" s="1055" t="s">
        <v>164</v>
      </c>
      <c r="D71" s="1055"/>
      <c r="E71" s="1055"/>
      <c r="F71" s="1055"/>
      <c r="G71" s="1055"/>
      <c r="H71" s="1055"/>
      <c r="I71" s="1072">
        <f ca="1">+I49/'Trial Deposits Engine'!$P$22</f>
        <v>1590.1979166666667</v>
      </c>
      <c r="J71" s="1072">
        <f ca="1">+J49/'Trial Deposits Engine'!$P$22</f>
        <v>2173.2198958333333</v>
      </c>
      <c r="K71" s="1072">
        <f ca="1">+K49/'Trial Deposits Engine'!$P$22</f>
        <v>2027.4945854989035</v>
      </c>
      <c r="L71" s="1072">
        <f ca="1">+L49/'Trial Deposits Engine'!$P$22</f>
        <v>2016.6921171936679</v>
      </c>
      <c r="M71" s="1072">
        <f ca="1">+M49/'Trial Deposits Engine'!$P$22</f>
        <v>1521.3694728940288</v>
      </c>
      <c r="N71" s="1072">
        <f ca="1">+N49/'Trial Deposits Engine'!$P$22</f>
        <v>1119.9020994613761</v>
      </c>
      <c r="O71" s="1072">
        <f ca="1">+O49/'Trial Deposits Engine'!$P$22</f>
        <v>828.71507202899295</v>
      </c>
      <c r="P71" s="1072">
        <f ca="1">+P49/'Trial Deposits Engine'!$P$22</f>
        <v>880.4884284452346</v>
      </c>
      <c r="Q71" s="1072">
        <f ca="1">+Q49/'Trial Deposits Engine'!$P$22</f>
        <v>1054.7849496565414</v>
      </c>
      <c r="R71" s="1072">
        <f ca="1">+R49/'Trial Deposits Engine'!$P$22</f>
        <v>951.25792889749982</v>
      </c>
      <c r="S71" s="1072">
        <f ca="1">+S49/'Trial Deposits Engine'!$P$22</f>
        <v>-242.77033096774207</v>
      </c>
      <c r="T71" s="1072">
        <f ca="1">+T49/'Trial Deposits Engine'!$P$22</f>
        <v>-1339.8755970792629</v>
      </c>
      <c r="U71" s="1072">
        <f ca="1">+U49/'Trial Deposits Engine'!$P$22</f>
        <v>-2231.4823698288033</v>
      </c>
      <c r="V71" s="1072">
        <f ca="1">+V49/'Trial Deposits Engine'!$P$22</f>
        <v>-2118.5953947000012</v>
      </c>
      <c r="W71" s="1072">
        <f ca="1">+W49/'Trial Deposits Engine'!$P$22</f>
        <v>-2941.2547857703776</v>
      </c>
      <c r="X71" s="1072">
        <f ca="1">+X49/'Trial Deposits Engine'!$P$22</f>
        <v>-3662.4165072060209</v>
      </c>
      <c r="Y71" s="1072">
        <f ca="1">+Y49/'Trial Deposits Engine'!$P$22</f>
        <v>-4291.3747385089737</v>
      </c>
      <c r="Z71" s="1072">
        <f ca="1">+Z49/'Trial Deposits Engine'!$P$22</f>
        <v>-4189.4355971572832</v>
      </c>
      <c r="AA71" s="1072">
        <f ca="1">+AA49/'Trial Deposits Engine'!$P$22</f>
        <v>-3767.0636221013669</v>
      </c>
      <c r="AB71" s="1072">
        <f ca="1">+AB49/'Trial Deposits Engine'!$P$22</f>
        <v>-3294.9945049127527</v>
      </c>
      <c r="AC71" s="1055"/>
      <c r="AD71" s="1055"/>
      <c r="AE71" s="1055"/>
      <c r="AF71" s="1055"/>
      <c r="AG71" s="1055"/>
      <c r="AH71" s="1055"/>
      <c r="AI71" s="1055"/>
      <c r="AJ71" s="1055"/>
    </row>
    <row r="72" spans="1:36" x14ac:dyDescent="0.45">
      <c r="A72" s="1073"/>
      <c r="B72" s="1074"/>
      <c r="C72" s="1074"/>
      <c r="D72" s="1074"/>
      <c r="E72" s="1074"/>
      <c r="F72" s="1074"/>
      <c r="G72" s="1074"/>
      <c r="H72" s="1074"/>
      <c r="I72" s="1074"/>
      <c r="J72" s="1074"/>
      <c r="K72" s="1074"/>
      <c r="L72" s="1074"/>
      <c r="M72" s="1074"/>
      <c r="N72" s="1074"/>
      <c r="O72" s="1074"/>
      <c r="P72" s="1074"/>
      <c r="Q72" s="1074"/>
      <c r="R72" s="1074"/>
      <c r="S72" s="1074"/>
      <c r="T72" s="1074"/>
      <c r="U72" s="1074"/>
      <c r="V72" s="1074"/>
      <c r="W72" s="1074"/>
      <c r="X72" s="1074"/>
      <c r="Y72" s="1074"/>
      <c r="Z72" s="1074"/>
      <c r="AA72" s="1074"/>
      <c r="AB72" s="1074"/>
      <c r="AC72" s="1074"/>
      <c r="AD72" s="1074"/>
      <c r="AE72" s="1074"/>
      <c r="AF72" s="1074"/>
      <c r="AG72" s="1074"/>
      <c r="AH72" s="1074"/>
      <c r="AI72" s="1074"/>
      <c r="AJ72" s="1075"/>
    </row>
    <row r="73" spans="1:36" x14ac:dyDescent="0.45">
      <c r="A73" s="1076"/>
      <c r="B73" s="1077"/>
      <c r="C73" s="1077"/>
      <c r="D73" s="1077"/>
      <c r="E73" s="1077"/>
      <c r="F73" s="1077"/>
      <c r="G73" s="1077"/>
      <c r="H73" s="1077"/>
      <c r="I73" s="1077"/>
      <c r="J73" s="1077"/>
      <c r="K73" s="1077"/>
      <c r="L73" s="1077"/>
      <c r="M73" s="1077"/>
      <c r="N73" s="1077"/>
      <c r="O73" s="1077"/>
      <c r="P73" s="1077"/>
      <c r="Q73" s="1077"/>
      <c r="R73" s="1077"/>
      <c r="S73" s="1077"/>
      <c r="T73" s="1077"/>
      <c r="U73" s="1077"/>
      <c r="V73" s="1077"/>
      <c r="W73" s="1077"/>
      <c r="X73" s="1077"/>
      <c r="Y73" s="1077"/>
      <c r="Z73" s="1077"/>
      <c r="AA73" s="1077"/>
      <c r="AB73" s="1077"/>
      <c r="AC73" s="1077"/>
      <c r="AD73" s="1077"/>
      <c r="AE73" s="1077"/>
      <c r="AF73" s="1077"/>
      <c r="AG73" s="1077"/>
      <c r="AH73" s="1077"/>
      <c r="AI73" s="1077"/>
      <c r="AJ73" s="1078"/>
    </row>
    <row r="74" spans="1:36" x14ac:dyDescent="0.45">
      <c r="A74" s="1076"/>
      <c r="B74" s="1077"/>
      <c r="C74" s="1077"/>
      <c r="D74" s="1077"/>
      <c r="E74" s="1077"/>
      <c r="F74" s="1077"/>
      <c r="G74" s="1077"/>
      <c r="H74" s="1077"/>
      <c r="I74" s="1077"/>
      <c r="J74" s="1077"/>
      <c r="K74" s="1077"/>
      <c r="L74" s="1077"/>
      <c r="M74" s="1077"/>
      <c r="N74" s="1077"/>
      <c r="O74" s="1077"/>
      <c r="P74" s="1077"/>
      <c r="Q74" s="1077"/>
      <c r="R74" s="1077"/>
      <c r="S74" s="1077"/>
      <c r="T74" s="1077"/>
      <c r="U74" s="1077"/>
      <c r="V74" s="1077"/>
      <c r="W74" s="1077"/>
      <c r="X74" s="1077"/>
      <c r="Y74" s="1077"/>
      <c r="Z74" s="1077"/>
      <c r="AA74" s="1077"/>
      <c r="AB74" s="1077"/>
      <c r="AC74" s="1077"/>
      <c r="AD74" s="1077"/>
      <c r="AE74" s="1077"/>
      <c r="AF74" s="1077"/>
      <c r="AG74" s="1077"/>
      <c r="AH74" s="1077"/>
      <c r="AI74" s="1077"/>
      <c r="AJ74" s="1078"/>
    </row>
    <row r="75" spans="1:36" x14ac:dyDescent="0.45">
      <c r="A75" s="1076"/>
      <c r="B75" s="1077"/>
      <c r="C75" s="1077"/>
      <c r="D75" s="1077"/>
      <c r="E75" s="1077"/>
      <c r="F75" s="1077"/>
      <c r="G75" s="1077"/>
      <c r="H75" s="1077"/>
      <c r="I75" s="1077"/>
      <c r="J75" s="1077"/>
      <c r="K75" s="1077"/>
      <c r="L75" s="1077"/>
      <c r="M75" s="1077"/>
      <c r="N75" s="1077"/>
      <c r="O75" s="1077"/>
      <c r="P75" s="1077"/>
      <c r="Q75" s="1077"/>
      <c r="R75" s="1077"/>
      <c r="S75" s="1077"/>
      <c r="T75" s="1077"/>
      <c r="U75" s="1077"/>
      <c r="V75" s="1077"/>
      <c r="W75" s="1077"/>
      <c r="X75" s="1077"/>
      <c r="Y75" s="1077"/>
      <c r="Z75" s="1077"/>
      <c r="AA75" s="1077"/>
      <c r="AB75" s="1077"/>
      <c r="AC75" s="1077"/>
      <c r="AD75" s="1077"/>
      <c r="AE75" s="1077"/>
      <c r="AF75" s="1077"/>
      <c r="AG75" s="1077"/>
      <c r="AH75" s="1077"/>
      <c r="AI75" s="1077"/>
      <c r="AJ75" s="1078"/>
    </row>
    <row r="76" spans="1:36" x14ac:dyDescent="0.45">
      <c r="A76" s="1076"/>
      <c r="B76" s="1077"/>
      <c r="C76" s="1077"/>
      <c r="D76" s="1077"/>
      <c r="E76" s="1077"/>
      <c r="F76" s="1077"/>
      <c r="G76" s="1077"/>
      <c r="H76" s="1077"/>
      <c r="I76" s="1077"/>
      <c r="J76" s="1077"/>
      <c r="K76" s="1077"/>
      <c r="L76" s="1077"/>
      <c r="M76" s="1077"/>
      <c r="N76" s="1077"/>
      <c r="O76" s="1077"/>
      <c r="P76" s="1077"/>
      <c r="Q76" s="1077"/>
      <c r="R76" s="1077"/>
      <c r="S76" s="1077"/>
      <c r="T76" s="1077"/>
      <c r="U76" s="1077"/>
      <c r="V76" s="1077"/>
      <c r="W76" s="1077"/>
      <c r="X76" s="1077"/>
      <c r="Y76" s="1077"/>
      <c r="Z76" s="1077"/>
      <c r="AA76" s="1077"/>
      <c r="AB76" s="1077"/>
      <c r="AC76" s="1077"/>
      <c r="AD76" s="1077"/>
      <c r="AE76" s="1077"/>
      <c r="AF76" s="1077"/>
      <c r="AG76" s="1077"/>
      <c r="AH76" s="1077"/>
      <c r="AI76" s="1077"/>
      <c r="AJ76" s="1078"/>
    </row>
    <row r="77" spans="1:36" x14ac:dyDescent="0.45">
      <c r="A77" s="1076"/>
      <c r="B77" s="1077"/>
      <c r="C77" s="1077"/>
      <c r="D77" s="1077"/>
      <c r="E77" s="1077"/>
      <c r="F77" s="1077"/>
      <c r="G77" s="1077"/>
      <c r="H77" s="1077"/>
      <c r="I77" s="1077"/>
      <c r="J77" s="1077"/>
      <c r="K77" s="1077"/>
      <c r="L77" s="1077"/>
      <c r="M77" s="1077"/>
      <c r="N77" s="1077"/>
      <c r="O77" s="1077"/>
      <c r="P77" s="1077"/>
      <c r="Q77" s="1077"/>
      <c r="R77" s="1077"/>
      <c r="S77" s="1077"/>
      <c r="T77" s="1077"/>
      <c r="U77" s="1077"/>
      <c r="V77" s="1077"/>
      <c r="W77" s="1077"/>
      <c r="X77" s="1077"/>
      <c r="Y77" s="1077"/>
      <c r="Z77" s="1077"/>
      <c r="AA77" s="1077"/>
      <c r="AB77" s="1077"/>
      <c r="AC77" s="1077"/>
      <c r="AD77" s="1077"/>
      <c r="AE77" s="1077"/>
      <c r="AF77" s="1077"/>
      <c r="AG77" s="1077"/>
      <c r="AH77" s="1077"/>
      <c r="AI77" s="1077"/>
      <c r="AJ77" s="1078"/>
    </row>
    <row r="78" spans="1:36" x14ac:dyDescent="0.45">
      <c r="A78" s="1076"/>
      <c r="B78" s="1077"/>
      <c r="C78" s="1077"/>
      <c r="D78" s="1077"/>
      <c r="E78" s="1077"/>
      <c r="F78" s="1077"/>
      <c r="G78" s="1077"/>
      <c r="H78" s="1077"/>
      <c r="I78" s="1077"/>
      <c r="J78" s="1077"/>
      <c r="K78" s="1077"/>
      <c r="L78" s="1077"/>
      <c r="M78" s="1077"/>
      <c r="N78" s="1077"/>
      <c r="O78" s="1077"/>
      <c r="P78" s="1077"/>
      <c r="Q78" s="1077"/>
      <c r="R78" s="1077"/>
      <c r="S78" s="1077"/>
      <c r="T78" s="1077"/>
      <c r="U78" s="1077"/>
      <c r="V78" s="1077"/>
      <c r="W78" s="1077"/>
      <c r="X78" s="1077"/>
      <c r="Y78" s="1077"/>
      <c r="Z78" s="1077"/>
      <c r="AA78" s="1077"/>
      <c r="AB78" s="1077"/>
      <c r="AC78" s="1077"/>
      <c r="AD78" s="1077"/>
      <c r="AE78" s="1077"/>
      <c r="AF78" s="1077"/>
      <c r="AG78" s="1077"/>
      <c r="AH78" s="1077"/>
      <c r="AI78" s="1077"/>
      <c r="AJ78" s="1078"/>
    </row>
    <row r="79" spans="1:36" x14ac:dyDescent="0.45">
      <c r="A79" s="1076"/>
      <c r="B79" s="1077"/>
      <c r="C79" s="1077"/>
      <c r="D79" s="1077"/>
      <c r="E79" s="1077"/>
      <c r="F79" s="1077"/>
      <c r="G79" s="1077"/>
      <c r="H79" s="1077"/>
      <c r="I79" s="1077"/>
      <c r="J79" s="1077"/>
      <c r="K79" s="1077"/>
      <c r="L79" s="1077"/>
      <c r="M79" s="1077"/>
      <c r="N79" s="1077"/>
      <c r="O79" s="1077"/>
      <c r="P79" s="1077"/>
      <c r="Q79" s="1077"/>
      <c r="R79" s="1077"/>
      <c r="S79" s="1077"/>
      <c r="T79" s="1077"/>
      <c r="U79" s="1077"/>
      <c r="V79" s="1077"/>
      <c r="W79" s="1077"/>
      <c r="X79" s="1077"/>
      <c r="Y79" s="1077"/>
      <c r="Z79" s="1077"/>
      <c r="AA79" s="1077"/>
      <c r="AB79" s="1077"/>
      <c r="AC79" s="1077"/>
      <c r="AD79" s="1077"/>
      <c r="AE79" s="1077"/>
      <c r="AF79" s="1077"/>
      <c r="AG79" s="1077"/>
      <c r="AH79" s="1077"/>
      <c r="AI79" s="1077"/>
      <c r="AJ79" s="1078"/>
    </row>
    <row r="80" spans="1:36" x14ac:dyDescent="0.45">
      <c r="A80" s="1076"/>
      <c r="B80" s="1077"/>
      <c r="C80" s="1077"/>
      <c r="D80" s="1077"/>
      <c r="E80" s="1077"/>
      <c r="F80" s="1077"/>
      <c r="G80" s="1077"/>
      <c r="H80" s="1077"/>
      <c r="I80" s="1077"/>
      <c r="J80" s="1077"/>
      <c r="K80" s="1077"/>
      <c r="L80" s="1077"/>
      <c r="M80" s="1077"/>
      <c r="N80" s="1077"/>
      <c r="O80" s="1077"/>
      <c r="P80" s="1077"/>
      <c r="Q80" s="1077"/>
      <c r="R80" s="1077"/>
      <c r="S80" s="1077"/>
      <c r="T80" s="1077"/>
      <c r="U80" s="1077"/>
      <c r="V80" s="1077"/>
      <c r="W80" s="1077"/>
      <c r="X80" s="1077"/>
      <c r="Y80" s="1077"/>
      <c r="Z80" s="1077"/>
      <c r="AA80" s="1077"/>
      <c r="AB80" s="1077"/>
      <c r="AC80" s="1077"/>
      <c r="AD80" s="1077"/>
      <c r="AE80" s="1077"/>
      <c r="AF80" s="1077"/>
      <c r="AG80" s="1077"/>
      <c r="AH80" s="1077"/>
      <c r="AI80" s="1077"/>
      <c r="AJ80" s="1078"/>
    </row>
    <row r="81" spans="1:36" x14ac:dyDescent="0.45">
      <c r="A81" s="1076"/>
      <c r="B81" s="1077"/>
      <c r="C81" s="1077"/>
      <c r="D81" s="1077"/>
      <c r="E81" s="1077"/>
      <c r="F81" s="1077"/>
      <c r="G81" s="1077"/>
      <c r="H81" s="1077"/>
      <c r="I81" s="1077"/>
      <c r="J81" s="1077"/>
      <c r="K81" s="1077"/>
      <c r="L81" s="1077"/>
      <c r="M81" s="1077"/>
      <c r="N81" s="1077"/>
      <c r="O81" s="1077"/>
      <c r="P81" s="1077"/>
      <c r="Q81" s="1077"/>
      <c r="R81" s="1077"/>
      <c r="S81" s="1077"/>
      <c r="T81" s="1077"/>
      <c r="U81" s="1077"/>
      <c r="V81" s="1077"/>
      <c r="W81" s="1077"/>
      <c r="X81" s="1077"/>
      <c r="Y81" s="1077"/>
      <c r="Z81" s="1077"/>
      <c r="AA81" s="1077"/>
      <c r="AB81" s="1077"/>
      <c r="AC81" s="1077"/>
      <c r="AD81" s="1077"/>
      <c r="AE81" s="1077"/>
      <c r="AF81" s="1077"/>
      <c r="AG81" s="1077"/>
      <c r="AH81" s="1077"/>
      <c r="AI81" s="1077"/>
      <c r="AJ81" s="1078"/>
    </row>
    <row r="82" spans="1:36" x14ac:dyDescent="0.45">
      <c r="A82" s="1076"/>
      <c r="B82" s="1077"/>
      <c r="C82" s="1077"/>
      <c r="D82" s="1077"/>
      <c r="E82" s="1077"/>
      <c r="F82" s="1077"/>
      <c r="G82" s="1077"/>
      <c r="H82" s="1077"/>
      <c r="I82" s="1077"/>
      <c r="J82" s="1077"/>
      <c r="K82" s="1077"/>
      <c r="L82" s="1077"/>
      <c r="M82" s="1077"/>
      <c r="N82" s="1077"/>
      <c r="O82" s="1077"/>
      <c r="P82" s="1077"/>
      <c r="Q82" s="1077"/>
      <c r="R82" s="1077"/>
      <c r="S82" s="1077"/>
      <c r="T82" s="1077"/>
      <c r="U82" s="1077"/>
      <c r="V82" s="1077"/>
      <c r="W82" s="1077"/>
      <c r="X82" s="1077"/>
      <c r="Y82" s="1077"/>
      <c r="Z82" s="1077"/>
      <c r="AA82" s="1077"/>
      <c r="AB82" s="1077"/>
      <c r="AC82" s="1077"/>
      <c r="AD82" s="1077"/>
      <c r="AE82" s="1077"/>
      <c r="AF82" s="1077"/>
      <c r="AG82" s="1077"/>
      <c r="AH82" s="1077"/>
      <c r="AI82" s="1077"/>
      <c r="AJ82" s="1078"/>
    </row>
    <row r="83" spans="1:36" x14ac:dyDescent="0.45">
      <c r="A83" s="1076"/>
      <c r="B83" s="1077"/>
      <c r="C83" s="1077"/>
      <c r="D83" s="1077"/>
      <c r="E83" s="1077"/>
      <c r="F83" s="1077"/>
      <c r="G83" s="1077"/>
      <c r="H83" s="1077"/>
      <c r="I83" s="1077"/>
      <c r="J83" s="1077"/>
      <c r="K83" s="1077"/>
      <c r="L83" s="1077"/>
      <c r="M83" s="1077"/>
      <c r="N83" s="1077"/>
      <c r="O83" s="1077"/>
      <c r="P83" s="1077"/>
      <c r="Q83" s="1077"/>
      <c r="R83" s="1077"/>
      <c r="S83" s="1077"/>
      <c r="T83" s="1077"/>
      <c r="U83" s="1077"/>
      <c r="V83" s="1077"/>
      <c r="W83" s="1077"/>
      <c r="X83" s="1077"/>
      <c r="Y83" s="1077"/>
      <c r="Z83" s="1077"/>
      <c r="AA83" s="1077"/>
      <c r="AB83" s="1077"/>
      <c r="AC83" s="1077"/>
      <c r="AD83" s="1077"/>
      <c r="AE83" s="1077"/>
      <c r="AF83" s="1077"/>
      <c r="AG83" s="1077"/>
      <c r="AH83" s="1077"/>
      <c r="AI83" s="1077"/>
      <c r="AJ83" s="1078"/>
    </row>
    <row r="84" spans="1:36" x14ac:dyDescent="0.45">
      <c r="A84" s="1076"/>
      <c r="B84" s="1077"/>
      <c r="C84" s="1077"/>
      <c r="D84" s="1077"/>
      <c r="E84" s="1077"/>
      <c r="F84" s="1077"/>
      <c r="G84" s="1077"/>
      <c r="H84" s="1077"/>
      <c r="I84" s="1077"/>
      <c r="J84" s="1077"/>
      <c r="K84" s="1077"/>
      <c r="L84" s="1077"/>
      <c r="M84" s="1077"/>
      <c r="N84" s="1077"/>
      <c r="O84" s="1077"/>
      <c r="P84" s="1077"/>
      <c r="Q84" s="1077"/>
      <c r="R84" s="1077"/>
      <c r="S84" s="1077"/>
      <c r="T84" s="1077"/>
      <c r="U84" s="1077"/>
      <c r="V84" s="1077"/>
      <c r="W84" s="1077"/>
      <c r="X84" s="1077"/>
      <c r="Y84" s="1077"/>
      <c r="Z84" s="1077"/>
      <c r="AA84" s="1077"/>
      <c r="AB84" s="1077"/>
      <c r="AC84" s="1077"/>
      <c r="AD84" s="1077"/>
      <c r="AE84" s="1077"/>
      <c r="AF84" s="1077"/>
      <c r="AG84" s="1077"/>
      <c r="AH84" s="1077"/>
      <c r="AI84" s="1077"/>
      <c r="AJ84" s="1078"/>
    </row>
    <row r="85" spans="1:36" x14ac:dyDescent="0.45">
      <c r="A85" s="1076"/>
      <c r="B85" s="1077"/>
      <c r="C85" s="1077"/>
      <c r="D85" s="1077"/>
      <c r="E85" s="1077"/>
      <c r="F85" s="1077"/>
      <c r="G85" s="1077"/>
      <c r="H85" s="1077"/>
      <c r="I85" s="1077"/>
      <c r="J85" s="1077"/>
      <c r="K85" s="1077"/>
      <c r="L85" s="1077"/>
      <c r="M85" s="1077"/>
      <c r="N85" s="1077"/>
      <c r="O85" s="1077"/>
      <c r="P85" s="1077"/>
      <c r="Q85" s="1077"/>
      <c r="R85" s="1077"/>
      <c r="S85" s="1077"/>
      <c r="T85" s="1077"/>
      <c r="U85" s="1077"/>
      <c r="V85" s="1077"/>
      <c r="W85" s="1077"/>
      <c r="X85" s="1077"/>
      <c r="Y85" s="1077"/>
      <c r="Z85" s="1077"/>
      <c r="AA85" s="1077"/>
      <c r="AB85" s="1077"/>
      <c r="AC85" s="1077"/>
      <c r="AD85" s="1077"/>
      <c r="AE85" s="1077"/>
      <c r="AF85" s="1077"/>
      <c r="AG85" s="1077"/>
      <c r="AH85" s="1077"/>
      <c r="AI85" s="1077"/>
      <c r="AJ85" s="1078"/>
    </row>
    <row r="86" spans="1:36" x14ac:dyDescent="0.45">
      <c r="A86" s="1076"/>
      <c r="B86" s="1077"/>
      <c r="C86" s="1077"/>
      <c r="D86" s="1077"/>
      <c r="E86" s="1077"/>
      <c r="F86" s="1077"/>
      <c r="G86" s="1077"/>
      <c r="H86" s="1077"/>
      <c r="I86" s="1077"/>
      <c r="J86" s="1077"/>
      <c r="K86" s="1077"/>
      <c r="L86" s="1077"/>
      <c r="M86" s="1077"/>
      <c r="N86" s="1077"/>
      <c r="O86" s="1077"/>
      <c r="P86" s="1077"/>
      <c r="Q86" s="1077"/>
      <c r="R86" s="1077"/>
      <c r="S86" s="1077"/>
      <c r="T86" s="1077"/>
      <c r="U86" s="1077"/>
      <c r="V86" s="1077"/>
      <c r="W86" s="1077"/>
      <c r="X86" s="1077"/>
      <c r="Y86" s="1077"/>
      <c r="Z86" s="1077"/>
      <c r="AA86" s="1077"/>
      <c r="AB86" s="1077"/>
      <c r="AC86" s="1077"/>
      <c r="AD86" s="1077"/>
      <c r="AE86" s="1077"/>
      <c r="AF86" s="1077"/>
      <c r="AG86" s="1077"/>
      <c r="AH86" s="1077"/>
      <c r="AI86" s="1077"/>
      <c r="AJ86" s="1078"/>
    </row>
    <row r="87" spans="1:36" ht="14.65" thickBot="1" x14ac:dyDescent="0.5">
      <c r="A87" s="1079"/>
      <c r="B87" s="1080"/>
      <c r="C87" s="1080"/>
      <c r="D87" s="1080"/>
      <c r="E87" s="1080"/>
      <c r="F87" s="1080"/>
      <c r="G87" s="1080"/>
      <c r="H87" s="1080"/>
      <c r="I87" s="1080"/>
      <c r="J87" s="1080"/>
      <c r="K87" s="1080"/>
      <c r="L87" s="1080"/>
      <c r="M87" s="1080"/>
      <c r="N87" s="1080"/>
      <c r="O87" s="1080"/>
      <c r="P87" s="1080"/>
      <c r="Q87" s="1080"/>
      <c r="R87" s="1080"/>
      <c r="S87" s="1080"/>
      <c r="T87" s="1080"/>
      <c r="U87" s="1080"/>
      <c r="V87" s="1080"/>
      <c r="W87" s="1080"/>
      <c r="X87" s="1080"/>
      <c r="Y87" s="1080"/>
      <c r="Z87" s="1080"/>
      <c r="AA87" s="1080"/>
      <c r="AB87" s="1080"/>
      <c r="AC87" s="1080"/>
      <c r="AD87" s="1080"/>
      <c r="AE87" s="1080"/>
      <c r="AF87" s="1080"/>
      <c r="AG87" s="1080"/>
      <c r="AH87" s="1080"/>
      <c r="AI87" s="1080"/>
      <c r="AJ87" s="1081"/>
    </row>
    <row r="88" spans="1:36" x14ac:dyDescent="0.45">
      <c r="A88" s="1082"/>
      <c r="B88" s="19"/>
      <c r="C88" s="19"/>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083"/>
    </row>
    <row r="89" spans="1:36" x14ac:dyDescent="0.45">
      <c r="A89" s="21"/>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3"/>
    </row>
    <row r="90" spans="1:36" x14ac:dyDescent="0.45">
      <c r="A90" s="21"/>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3"/>
    </row>
    <row r="91" spans="1:36" x14ac:dyDescent="0.45">
      <c r="A91" s="21"/>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3"/>
    </row>
    <row r="92" spans="1:36" x14ac:dyDescent="0.45">
      <c r="A92" s="21"/>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3"/>
    </row>
    <row r="93" spans="1:36" x14ac:dyDescent="0.45">
      <c r="A93" s="21"/>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3"/>
    </row>
    <row r="94" spans="1:36" x14ac:dyDescent="0.45">
      <c r="A94" s="21"/>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3"/>
    </row>
    <row r="95" spans="1:36" x14ac:dyDescent="0.45">
      <c r="A95" s="21"/>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3"/>
    </row>
    <row r="96" spans="1:36" x14ac:dyDescent="0.45">
      <c r="A96" s="21"/>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3"/>
    </row>
    <row r="97" spans="1:36" x14ac:dyDescent="0.45">
      <c r="A97" s="21"/>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3"/>
    </row>
    <row r="98" spans="1:36" x14ac:dyDescent="0.45">
      <c r="A98" s="21"/>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3"/>
    </row>
    <row r="99" spans="1:36" x14ac:dyDescent="0.45">
      <c r="A99" s="21"/>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3"/>
    </row>
    <row r="100" spans="1:36" x14ac:dyDescent="0.45">
      <c r="A100" s="21"/>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3"/>
    </row>
    <row r="101" spans="1:36" x14ac:dyDescent="0.45">
      <c r="A101" s="21"/>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3"/>
    </row>
    <row r="102" spans="1:36" x14ac:dyDescent="0.45">
      <c r="A102" s="21"/>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3"/>
    </row>
    <row r="103" spans="1:36" ht="14.65" thickBot="1" x14ac:dyDescent="0.5">
      <c r="A103" s="26"/>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8"/>
    </row>
  </sheetData>
  <sheetProtection password="CCA4" sheet="1" objects="1" scenarios="1" selectLockedCells="1"/>
  <mergeCells count="5">
    <mergeCell ref="C17:F17"/>
    <mergeCell ref="C19:G19"/>
    <mergeCell ref="N2:Q2"/>
    <mergeCell ref="D2:H2"/>
    <mergeCell ref="S2:V3"/>
  </mergeCells>
  <conditionalFormatting sqref="D23 D14 M17 D20 G17">
    <cfRule type="cellIs" dxfId="10" priority="30" operator="equal">
      <formula>"YES"</formula>
    </cfRule>
    <cfRule type="cellIs" dxfId="9" priority="31" operator="equal">
      <formula>"NO"</formula>
    </cfRule>
    <cfRule type="cellIs" dxfId="8" priority="32" operator="equal">
      <formula>"NO"</formula>
    </cfRule>
  </conditionalFormatting>
  <conditionalFormatting sqref="N2">
    <cfRule type="cellIs" dxfId="7" priority="13" operator="equal">
      <formula>"Requirements Met"</formula>
    </cfRule>
    <cfRule type="cellIs" dxfId="6" priority="14" operator="equal">
      <formula>"violation exists"</formula>
    </cfRule>
  </conditionalFormatting>
  <conditionalFormatting sqref="W17">
    <cfRule type="cellIs" dxfId="5" priority="4" operator="equal">
      <formula>"YES"</formula>
    </cfRule>
    <cfRule type="cellIs" dxfId="4" priority="5" operator="equal">
      <formula>"NO"</formula>
    </cfRule>
    <cfRule type="cellIs" dxfId="3" priority="6" operator="equal">
      <formula>"NO"</formula>
    </cfRule>
  </conditionalFormatting>
  <conditionalFormatting sqref="X17">
    <cfRule type="cellIs" dxfId="2" priority="1" operator="equal">
      <formula>"YES"</formula>
    </cfRule>
    <cfRule type="cellIs" dxfId="1" priority="2" operator="equal">
      <formula>"NO"</formula>
    </cfRule>
    <cfRule type="cellIs" dxfId="0" priority="3" operator="equal">
      <formula>"NO"</formula>
    </cfRule>
  </conditionalFormatting>
  <printOptions horizontalCentered="1"/>
  <pageMargins left="0.3" right="0.28000000000000003" top="0.75" bottom="0.75" header="0.3" footer="0.3"/>
  <pageSetup scale="65" fitToWidth="2" orientation="landscape" r:id="rId1"/>
  <headerFooter>
    <oddHeader>&amp;C&amp;F
&amp;A&amp;R&amp;D
Page &amp;P of &amp;N</oddHeader>
  </headerFooter>
  <colBreaks count="1" manualBreakCount="1">
    <brk id="18" min="1" max="27"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4.25" x14ac:dyDescent="0.4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66FFFF"/>
  </sheetPr>
  <dimension ref="A1:AA38"/>
  <sheetViews>
    <sheetView workbookViewId="0">
      <selection activeCell="A9" sqref="A9"/>
    </sheetView>
  </sheetViews>
  <sheetFormatPr defaultColWidth="9.06640625" defaultRowHeight="14.25" x14ac:dyDescent="0.45"/>
  <cols>
    <col min="1" max="1" width="27.73046875" style="396" customWidth="1"/>
    <col min="2" max="21" width="10.73046875" style="396" customWidth="1"/>
    <col min="22" max="24" width="14.59765625" style="396" bestFit="1" customWidth="1"/>
    <col min="25" max="25" width="12.06640625" style="396" bestFit="1" customWidth="1"/>
    <col min="26" max="16384" width="9.06640625" style="396"/>
  </cols>
  <sheetData>
    <row r="1" spans="1:27" ht="14.65" thickBot="1" x14ac:dyDescent="0.5">
      <c r="A1" s="470" t="s">
        <v>21</v>
      </c>
      <c r="B1" s="1096" t="s">
        <v>22</v>
      </c>
      <c r="C1" s="1096" t="s">
        <v>23</v>
      </c>
      <c r="D1" s="1096" t="s">
        <v>24</v>
      </c>
      <c r="E1" s="1096" t="s">
        <v>25</v>
      </c>
      <c r="F1" s="1096" t="s">
        <v>26</v>
      </c>
      <c r="G1" s="1096" t="s">
        <v>27</v>
      </c>
      <c r="H1" s="1096" t="s">
        <v>28</v>
      </c>
      <c r="I1" s="1096" t="s">
        <v>29</v>
      </c>
      <c r="J1" s="1096" t="s">
        <v>30</v>
      </c>
      <c r="K1" s="1096" t="s">
        <v>31</v>
      </c>
      <c r="L1" s="1096" t="s">
        <v>32</v>
      </c>
      <c r="M1" s="1096" t="s">
        <v>33</v>
      </c>
      <c r="N1" s="1096" t="s">
        <v>34</v>
      </c>
      <c r="O1" s="1096" t="s">
        <v>35</v>
      </c>
      <c r="P1" s="1096" t="s">
        <v>36</v>
      </c>
      <c r="Q1" s="1096" t="s">
        <v>37</v>
      </c>
      <c r="R1" s="1096" t="s">
        <v>38</v>
      </c>
      <c r="S1" s="1096" t="s">
        <v>39</v>
      </c>
      <c r="T1" s="1096" t="s">
        <v>40</v>
      </c>
      <c r="U1" s="1096" t="s">
        <v>41</v>
      </c>
      <c r="V1" s="197"/>
      <c r="Y1" s="208"/>
      <c r="Z1" s="208"/>
      <c r="AA1" s="208"/>
    </row>
    <row r="2" spans="1:27" ht="15" customHeight="1" x14ac:dyDescent="0.45">
      <c r="A2" s="1084" t="s">
        <v>42</v>
      </c>
      <c r="B2" s="1095">
        <v>2021</v>
      </c>
      <c r="C2" s="1095">
        <v>2022</v>
      </c>
      <c r="D2" s="1095">
        <v>2023</v>
      </c>
      <c r="E2" s="1095">
        <v>2024</v>
      </c>
      <c r="F2" s="1095">
        <v>2025</v>
      </c>
      <c r="G2" s="1095">
        <v>2026</v>
      </c>
      <c r="H2" s="1095">
        <v>2027</v>
      </c>
      <c r="I2" s="1095">
        <v>2028</v>
      </c>
      <c r="J2" s="1095">
        <v>2029</v>
      </c>
      <c r="K2" s="1095">
        <v>2030</v>
      </c>
      <c r="L2" s="1095">
        <v>2031</v>
      </c>
      <c r="M2" s="1095">
        <v>2032</v>
      </c>
      <c r="N2" s="1095">
        <v>2033</v>
      </c>
      <c r="O2" s="1095">
        <v>2034</v>
      </c>
      <c r="P2" s="1095">
        <v>2035</v>
      </c>
      <c r="Q2" s="1095">
        <v>2036</v>
      </c>
      <c r="R2" s="1095">
        <v>2037</v>
      </c>
      <c r="S2" s="1095">
        <v>2038</v>
      </c>
      <c r="T2" s="1095">
        <v>2039</v>
      </c>
      <c r="U2" s="1085">
        <v>2040</v>
      </c>
      <c r="V2" s="196"/>
      <c r="Y2" s="208"/>
      <c r="Z2" s="208"/>
      <c r="AA2" s="208"/>
    </row>
    <row r="3" spans="1:27" ht="15" customHeight="1" x14ac:dyDescent="0.45">
      <c r="A3" s="1084" t="s">
        <v>43</v>
      </c>
      <c r="B3" s="1095">
        <v>466925</v>
      </c>
      <c r="C3" s="1095">
        <v>725130.25</v>
      </c>
      <c r="D3" s="1095">
        <v>990988.27</v>
      </c>
      <c r="E3" s="1095">
        <v>924537.53</v>
      </c>
      <c r="F3" s="1095">
        <v>919611.61</v>
      </c>
      <c r="G3" s="1095">
        <v>693744.48</v>
      </c>
      <c r="H3" s="1095">
        <v>510675.36</v>
      </c>
      <c r="I3" s="1095">
        <v>377894.07</v>
      </c>
      <c r="J3" s="1095">
        <v>401502.71999999997</v>
      </c>
      <c r="K3" s="1095">
        <v>480981.94</v>
      </c>
      <c r="L3" s="1095">
        <v>433773.62</v>
      </c>
      <c r="M3" s="1095">
        <v>-110703.27</v>
      </c>
      <c r="N3" s="1095">
        <v>-610983.27</v>
      </c>
      <c r="O3" s="1095">
        <v>-1017555.96</v>
      </c>
      <c r="P3" s="1095">
        <v>-966079.5</v>
      </c>
      <c r="Q3" s="1095">
        <v>-1341212.18</v>
      </c>
      <c r="R3" s="1095">
        <v>-1670061.93</v>
      </c>
      <c r="S3" s="1095">
        <v>-1956866.88</v>
      </c>
      <c r="T3" s="1095">
        <v>-1910382.63</v>
      </c>
      <c r="U3" s="1086">
        <v>-1717781.01</v>
      </c>
      <c r="V3" s="196"/>
      <c r="Y3" s="208"/>
      <c r="Z3" s="208"/>
      <c r="AA3" s="208"/>
    </row>
    <row r="4" spans="1:27" ht="15" customHeight="1" x14ac:dyDescent="0.45">
      <c r="A4" s="1084" t="s">
        <v>44</v>
      </c>
      <c r="B4" s="1095">
        <v>4669.25</v>
      </c>
      <c r="C4" s="1095">
        <v>7251.3</v>
      </c>
      <c r="D4" s="1095">
        <v>14864.82</v>
      </c>
      <c r="E4" s="1095">
        <v>13868.06</v>
      </c>
      <c r="F4" s="1095">
        <v>13794.17</v>
      </c>
      <c r="G4" s="1095">
        <v>10406.17</v>
      </c>
      <c r="H4" s="1095">
        <v>7660.13</v>
      </c>
      <c r="I4" s="1095">
        <v>5668.41</v>
      </c>
      <c r="J4" s="1095">
        <v>6022.54</v>
      </c>
      <c r="K4" s="1095">
        <v>7214.73</v>
      </c>
      <c r="L4" s="1095">
        <v>6506.6</v>
      </c>
      <c r="M4" s="1095">
        <v>0</v>
      </c>
      <c r="N4" s="1095">
        <v>0</v>
      </c>
      <c r="O4" s="1095">
        <v>0</v>
      </c>
      <c r="P4" s="1095">
        <v>0</v>
      </c>
      <c r="Q4" s="1095">
        <v>0</v>
      </c>
      <c r="R4" s="1095">
        <v>0</v>
      </c>
      <c r="S4" s="1095">
        <v>0</v>
      </c>
      <c r="T4" s="1095">
        <v>0</v>
      </c>
      <c r="U4" s="1086">
        <v>0</v>
      </c>
      <c r="V4" s="196"/>
      <c r="Y4" s="208"/>
      <c r="Z4" s="208"/>
      <c r="AA4" s="208"/>
    </row>
    <row r="5" spans="1:27" ht="15" customHeight="1" x14ac:dyDescent="0.45">
      <c r="A5" s="1084" t="s">
        <v>45</v>
      </c>
      <c r="B5" s="1095">
        <v>253536</v>
      </c>
      <c r="C5" s="1095">
        <v>258606.72</v>
      </c>
      <c r="D5" s="1095">
        <v>263778.84999999998</v>
      </c>
      <c r="E5" s="1095">
        <v>269054.43</v>
      </c>
      <c r="F5" s="1095">
        <v>274435.52</v>
      </c>
      <c r="G5" s="1095">
        <v>279924.23</v>
      </c>
      <c r="H5" s="1095">
        <v>285522.71999999997</v>
      </c>
      <c r="I5" s="1095">
        <v>291233.17</v>
      </c>
      <c r="J5" s="1095">
        <v>297057.83</v>
      </c>
      <c r="K5" s="1095">
        <v>302998.99</v>
      </c>
      <c r="L5" s="1095">
        <v>309058.96999999997</v>
      </c>
      <c r="M5" s="1095">
        <v>315240.15000000002</v>
      </c>
      <c r="N5" s="1095">
        <v>321544.95</v>
      </c>
      <c r="O5" s="1095">
        <v>327975.84999999998</v>
      </c>
      <c r="P5" s="1095">
        <v>334535.37</v>
      </c>
      <c r="Q5" s="1095">
        <v>341226.08</v>
      </c>
      <c r="R5" s="1095">
        <v>348050.6</v>
      </c>
      <c r="S5" s="1095">
        <v>355011.61</v>
      </c>
      <c r="T5" s="1095">
        <v>362111.84</v>
      </c>
      <c r="U5" s="1086">
        <v>369354.08</v>
      </c>
      <c r="V5" s="196"/>
      <c r="Y5" s="208"/>
      <c r="Z5" s="208"/>
      <c r="AA5" s="208"/>
    </row>
    <row r="6" spans="1:27" ht="15" customHeight="1" x14ac:dyDescent="0.45">
      <c r="A6" s="1084" t="s">
        <v>463</v>
      </c>
      <c r="B6" s="1095">
        <v>0</v>
      </c>
      <c r="C6" s="1095">
        <v>0</v>
      </c>
      <c r="D6" s="1095">
        <v>331694</v>
      </c>
      <c r="E6" s="1095">
        <v>271246</v>
      </c>
      <c r="F6" s="1095">
        <v>474946</v>
      </c>
      <c r="G6" s="1095">
        <v>428772.52</v>
      </c>
      <c r="H6" s="1095">
        <v>378243.95</v>
      </c>
      <c r="I6" s="1095">
        <v>237917.95</v>
      </c>
      <c r="J6" s="1095">
        <v>190841.43</v>
      </c>
      <c r="K6" s="1095">
        <v>299074.76</v>
      </c>
      <c r="L6" s="1095">
        <v>705534.38</v>
      </c>
      <c r="M6" s="1095">
        <v>655892.71</v>
      </c>
      <c r="N6" s="1095">
        <v>574115.78</v>
      </c>
      <c r="O6" s="1095">
        <v>213743.02</v>
      </c>
      <c r="P6" s="1095">
        <v>537839.68999999994</v>
      </c>
      <c r="Q6" s="1095">
        <v>497876.21</v>
      </c>
      <c r="R6" s="1095">
        <v>462457.88</v>
      </c>
      <c r="S6" s="1095">
        <v>220338.69</v>
      </c>
      <c r="T6" s="1095">
        <v>118684.17</v>
      </c>
      <c r="U6" s="1086">
        <v>105772.5</v>
      </c>
      <c r="V6" s="196"/>
      <c r="Y6" s="208"/>
      <c r="Z6" s="208"/>
      <c r="AA6" s="208"/>
    </row>
    <row r="7" spans="1:27" ht="15" customHeight="1" x14ac:dyDescent="0.45">
      <c r="A7" s="1084" t="s">
        <v>46</v>
      </c>
      <c r="B7" s="1095">
        <v>0</v>
      </c>
      <c r="C7" s="1095">
        <v>0</v>
      </c>
      <c r="D7" s="1095">
        <v>345094.42</v>
      </c>
      <c r="E7" s="1095">
        <v>287848.42</v>
      </c>
      <c r="F7" s="1095">
        <v>514096.82</v>
      </c>
      <c r="G7" s="1095">
        <v>473399.52</v>
      </c>
      <c r="H7" s="1095">
        <v>425964.13</v>
      </c>
      <c r="I7" s="1095">
        <v>273292.93</v>
      </c>
      <c r="J7" s="1095">
        <v>223601.16</v>
      </c>
      <c r="K7" s="1095">
        <v>357422.04</v>
      </c>
      <c r="L7" s="1095">
        <v>860042.46</v>
      </c>
      <c r="M7" s="1095">
        <v>815520.15</v>
      </c>
      <c r="N7" s="1095">
        <v>728117.64</v>
      </c>
      <c r="O7" s="1095">
        <v>276499.39</v>
      </c>
      <c r="P7" s="1095">
        <v>709668.05</v>
      </c>
      <c r="Q7" s="1095">
        <v>670075.81999999995</v>
      </c>
      <c r="R7" s="1095">
        <v>634855.55000000005</v>
      </c>
      <c r="S7" s="1095">
        <v>308527.35999999999</v>
      </c>
      <c r="T7" s="1095">
        <v>169510.22</v>
      </c>
      <c r="U7" s="1086">
        <v>154090.56</v>
      </c>
      <c r="V7" s="196"/>
      <c r="Y7" s="208"/>
      <c r="Z7" s="208"/>
      <c r="AA7" s="208"/>
    </row>
    <row r="8" spans="1:27" ht="15" customHeight="1" x14ac:dyDescent="0.45">
      <c r="A8" s="1084" t="s">
        <v>47</v>
      </c>
      <c r="B8" s="1095">
        <v>725130.25</v>
      </c>
      <c r="C8" s="1095">
        <v>990988.27</v>
      </c>
      <c r="D8" s="1095">
        <v>924537.53</v>
      </c>
      <c r="E8" s="1095">
        <v>919611.61</v>
      </c>
      <c r="F8" s="1095">
        <v>693744.48</v>
      </c>
      <c r="G8" s="1095">
        <v>510675.36</v>
      </c>
      <c r="H8" s="1095">
        <v>377894.07</v>
      </c>
      <c r="I8" s="1095">
        <v>401502.71999999997</v>
      </c>
      <c r="J8" s="1095">
        <v>480981.94</v>
      </c>
      <c r="K8" s="1095">
        <v>433773.62</v>
      </c>
      <c r="L8" s="1095">
        <v>-110703.27</v>
      </c>
      <c r="M8" s="1095">
        <v>-610983.27</v>
      </c>
      <c r="N8" s="1095">
        <v>-1017555.96</v>
      </c>
      <c r="O8" s="1095">
        <v>-966079.5</v>
      </c>
      <c r="P8" s="1095">
        <v>-1341212.18</v>
      </c>
      <c r="Q8" s="1095">
        <v>-1670061.93</v>
      </c>
      <c r="R8" s="1095">
        <v>-1956866.88</v>
      </c>
      <c r="S8" s="1095">
        <v>-1910382.63</v>
      </c>
      <c r="T8" s="1095">
        <v>-1717781.01</v>
      </c>
      <c r="U8" s="1086">
        <v>-1502517.49</v>
      </c>
      <c r="V8" s="196"/>
      <c r="Y8" s="394"/>
      <c r="Z8" s="208"/>
      <c r="AA8" s="208"/>
    </row>
    <row r="9" spans="1:27" ht="15" customHeight="1" x14ac:dyDescent="0.45">
      <c r="A9" s="1084" t="s">
        <v>48</v>
      </c>
      <c r="B9" s="1095">
        <v>335249.58</v>
      </c>
      <c r="C9" s="1095">
        <v>341954.57</v>
      </c>
      <c r="D9" s="1095">
        <v>348793.66</v>
      </c>
      <c r="E9" s="1095">
        <v>355769.54</v>
      </c>
      <c r="F9" s="1095">
        <v>362884.93</v>
      </c>
      <c r="G9" s="1095">
        <v>370142.63</v>
      </c>
      <c r="H9" s="1095">
        <v>377545.48</v>
      </c>
      <c r="I9" s="1095">
        <v>385096.39</v>
      </c>
      <c r="J9" s="1095">
        <v>392798.32</v>
      </c>
      <c r="K9" s="1095">
        <v>400654.28</v>
      </c>
      <c r="L9" s="1095">
        <v>408667.37</v>
      </c>
      <c r="M9" s="1095">
        <v>416840.71</v>
      </c>
      <c r="N9" s="1095">
        <v>425177.53</v>
      </c>
      <c r="O9" s="1095">
        <v>433681.08</v>
      </c>
      <c r="P9" s="1095">
        <v>442354.7</v>
      </c>
      <c r="Q9" s="1095">
        <v>451201.8</v>
      </c>
      <c r="R9" s="1095">
        <v>460225.83</v>
      </c>
      <c r="S9" s="1095">
        <v>469430.35</v>
      </c>
      <c r="T9" s="1095">
        <v>478818.95</v>
      </c>
      <c r="U9" s="1086">
        <v>488395.33</v>
      </c>
      <c r="V9" s="196"/>
      <c r="Y9" s="208"/>
      <c r="Z9" s="208"/>
      <c r="AA9" s="208"/>
    </row>
    <row r="10" spans="1:27" ht="15" customHeight="1" x14ac:dyDescent="0.45">
      <c r="A10" s="1084" t="s">
        <v>49</v>
      </c>
      <c r="B10" s="1095">
        <v>1</v>
      </c>
      <c r="C10" s="1095">
        <v>1</v>
      </c>
      <c r="D10" s="1095">
        <v>1.5</v>
      </c>
      <c r="E10" s="1095">
        <v>1.5</v>
      </c>
      <c r="F10" s="1095">
        <v>1.5</v>
      </c>
      <c r="G10" s="1095">
        <v>1.5</v>
      </c>
      <c r="H10" s="1095">
        <v>1.5</v>
      </c>
      <c r="I10" s="1095">
        <v>1.5</v>
      </c>
      <c r="J10" s="1095">
        <v>1.5</v>
      </c>
      <c r="K10" s="1095">
        <v>1.5</v>
      </c>
      <c r="L10" s="1095">
        <v>1.5</v>
      </c>
      <c r="M10" s="1095">
        <v>1.5</v>
      </c>
      <c r="N10" s="1095">
        <v>1.5</v>
      </c>
      <c r="O10" s="1095">
        <v>1.5</v>
      </c>
      <c r="P10" s="1095">
        <v>1.5</v>
      </c>
      <c r="Q10" s="1095">
        <v>1.5</v>
      </c>
      <c r="R10" s="1095">
        <v>1.5</v>
      </c>
      <c r="S10" s="1095">
        <v>1.5</v>
      </c>
      <c r="T10" s="1095">
        <v>1.5</v>
      </c>
      <c r="U10" s="1086">
        <v>1.5</v>
      </c>
      <c r="V10" s="196"/>
      <c r="Y10" s="208"/>
      <c r="Z10" s="208"/>
      <c r="AA10" s="208"/>
    </row>
    <row r="11" spans="1:27" ht="15" customHeight="1" x14ac:dyDescent="0.45">
      <c r="A11" s="1084" t="s">
        <v>50</v>
      </c>
      <c r="B11" s="1095">
        <v>0</v>
      </c>
      <c r="C11" s="1095">
        <v>2</v>
      </c>
      <c r="D11" s="1095">
        <v>2</v>
      </c>
      <c r="E11" s="1095">
        <v>2</v>
      </c>
      <c r="F11" s="1095">
        <v>2</v>
      </c>
      <c r="G11" s="1095">
        <v>2</v>
      </c>
      <c r="H11" s="1095">
        <v>2</v>
      </c>
      <c r="I11" s="1095">
        <v>2</v>
      </c>
      <c r="J11" s="1095">
        <v>2</v>
      </c>
      <c r="K11" s="1095">
        <v>2</v>
      </c>
      <c r="L11" s="1095">
        <v>2</v>
      </c>
      <c r="M11" s="1095">
        <v>2</v>
      </c>
      <c r="N11" s="1095">
        <v>2</v>
      </c>
      <c r="O11" s="1095">
        <v>2</v>
      </c>
      <c r="P11" s="1095">
        <v>2</v>
      </c>
      <c r="Q11" s="1095">
        <v>2</v>
      </c>
      <c r="R11" s="1095">
        <v>2</v>
      </c>
      <c r="S11" s="1095">
        <v>2</v>
      </c>
      <c r="T11" s="1095">
        <v>2</v>
      </c>
      <c r="U11" s="1086">
        <v>2</v>
      </c>
      <c r="V11" s="196"/>
      <c r="Y11" s="208"/>
      <c r="Z11" s="208"/>
      <c r="AA11" s="208"/>
    </row>
    <row r="12" spans="1:27" ht="15" customHeight="1" x14ac:dyDescent="0.45">
      <c r="A12" s="1084" t="s">
        <v>51</v>
      </c>
      <c r="B12" s="1095">
        <v>0</v>
      </c>
      <c r="C12" s="1095">
        <v>2</v>
      </c>
      <c r="D12" s="1095">
        <v>2</v>
      </c>
      <c r="E12" s="1095">
        <v>2</v>
      </c>
      <c r="F12" s="1095">
        <v>2</v>
      </c>
      <c r="G12" s="1095">
        <v>2</v>
      </c>
      <c r="H12" s="1095">
        <v>2</v>
      </c>
      <c r="I12" s="1095">
        <v>2</v>
      </c>
      <c r="J12" s="1095">
        <v>2</v>
      </c>
      <c r="K12" s="1095">
        <v>2</v>
      </c>
      <c r="L12" s="1095">
        <v>2</v>
      </c>
      <c r="M12" s="1095">
        <v>2</v>
      </c>
      <c r="N12" s="1095">
        <v>2</v>
      </c>
      <c r="O12" s="1095">
        <v>2</v>
      </c>
      <c r="P12" s="1095">
        <v>2</v>
      </c>
      <c r="Q12" s="1095">
        <v>2</v>
      </c>
      <c r="R12" s="1095">
        <v>2</v>
      </c>
      <c r="S12" s="1095">
        <v>2</v>
      </c>
      <c r="T12" s="1095">
        <v>2</v>
      </c>
      <c r="U12" s="1086">
        <v>2</v>
      </c>
      <c r="V12" s="196"/>
      <c r="Y12" s="208"/>
      <c r="Z12" s="208"/>
      <c r="AA12" s="208"/>
    </row>
    <row r="13" spans="1:27" ht="15" customHeight="1" x14ac:dyDescent="0.45">
      <c r="A13" s="1084" t="s">
        <v>481</v>
      </c>
      <c r="B13" s="1095">
        <v>556</v>
      </c>
      <c r="C13" s="1095">
        <v>567.12</v>
      </c>
      <c r="D13" s="1095">
        <v>578.46</v>
      </c>
      <c r="E13" s="1095">
        <v>590.03</v>
      </c>
      <c r="F13" s="1095">
        <v>601.83000000000004</v>
      </c>
      <c r="G13" s="1095">
        <v>613.87</v>
      </c>
      <c r="H13" s="1095">
        <v>626.15</v>
      </c>
      <c r="I13" s="1095">
        <v>638.66999999999996</v>
      </c>
      <c r="J13" s="1095">
        <v>651.44000000000005</v>
      </c>
      <c r="K13" s="1095">
        <v>664.47</v>
      </c>
      <c r="L13" s="1095">
        <v>677.76</v>
      </c>
      <c r="M13" s="1095">
        <v>691.32</v>
      </c>
      <c r="N13" s="1095">
        <v>705.14</v>
      </c>
      <c r="O13" s="1095">
        <v>719.25</v>
      </c>
      <c r="P13" s="1095">
        <v>733.63</v>
      </c>
      <c r="Q13" s="1095">
        <v>748.3</v>
      </c>
      <c r="R13" s="1095">
        <v>763.27</v>
      </c>
      <c r="S13" s="1095">
        <v>778.53</v>
      </c>
      <c r="T13" s="1095">
        <v>794.1</v>
      </c>
      <c r="U13" s="1086">
        <v>809.99</v>
      </c>
      <c r="V13" s="196"/>
      <c r="Y13" s="208"/>
      <c r="Z13" s="208"/>
      <c r="AA13" s="208"/>
    </row>
    <row r="14" spans="1:27" ht="14.65" thickBot="1" x14ac:dyDescent="0.5">
      <c r="A14" s="1084" t="s">
        <v>53</v>
      </c>
      <c r="B14" s="1087">
        <v>0</v>
      </c>
      <c r="C14" s="1088">
        <v>0</v>
      </c>
      <c r="D14" s="1088">
        <v>756.79</v>
      </c>
      <c r="E14" s="1088">
        <v>631.25</v>
      </c>
      <c r="F14" s="1088">
        <v>1127.4100000000001</v>
      </c>
      <c r="G14" s="1088">
        <v>1038.1600000000001</v>
      </c>
      <c r="H14" s="1088">
        <v>934.13</v>
      </c>
      <c r="I14" s="1088">
        <v>599.33000000000004</v>
      </c>
      <c r="J14" s="1088">
        <v>490.35</v>
      </c>
      <c r="K14" s="1088">
        <v>783.82</v>
      </c>
      <c r="L14" s="1088">
        <v>1886.06</v>
      </c>
      <c r="M14" s="1088">
        <v>1788.42</v>
      </c>
      <c r="N14" s="1088">
        <v>1596.75</v>
      </c>
      <c r="O14" s="1088">
        <v>606.36</v>
      </c>
      <c r="P14" s="1088">
        <v>1556.29</v>
      </c>
      <c r="Q14" s="1088">
        <v>1469.46</v>
      </c>
      <c r="R14" s="1088">
        <v>1392.23</v>
      </c>
      <c r="S14" s="1088">
        <v>676.6</v>
      </c>
      <c r="T14" s="1088">
        <v>371.73</v>
      </c>
      <c r="U14" s="1089">
        <v>337.92</v>
      </c>
      <c r="V14" s="196"/>
      <c r="Y14" s="208"/>
      <c r="Z14" s="208"/>
      <c r="AA14" s="208"/>
    </row>
    <row r="15" spans="1:27" x14ac:dyDescent="0.45">
      <c r="A15" s="463"/>
      <c r="B15" s="195"/>
      <c r="C15" s="195"/>
      <c r="D15" s="195"/>
      <c r="E15" s="195"/>
      <c r="F15" s="195"/>
      <c r="G15" s="195"/>
      <c r="H15" s="195"/>
      <c r="I15" s="195"/>
      <c r="J15" s="195"/>
      <c r="K15" s="195"/>
      <c r="L15" s="195"/>
      <c r="M15" s="195"/>
      <c r="N15" s="195"/>
      <c r="O15" s="195"/>
      <c r="P15" s="195"/>
      <c r="Q15" s="195"/>
      <c r="R15" s="195"/>
      <c r="S15" s="195"/>
      <c r="T15" s="195"/>
      <c r="U15" s="195"/>
      <c r="V15" s="196"/>
      <c r="W15" s="397"/>
      <c r="X15" s="397"/>
      <c r="Y15" s="208"/>
      <c r="Z15" s="208"/>
      <c r="AA15" s="208"/>
    </row>
    <row r="16" spans="1:27" x14ac:dyDescent="0.45">
      <c r="A16" s="464"/>
      <c r="B16" s="195"/>
      <c r="C16" s="195"/>
      <c r="D16" s="336"/>
      <c r="E16" s="465"/>
      <c r="F16" s="466"/>
      <c r="G16" s="466"/>
      <c r="H16" s="466"/>
      <c r="I16" s="466"/>
      <c r="J16" s="466"/>
      <c r="K16" s="466"/>
      <c r="L16" s="466"/>
      <c r="M16" s="466"/>
      <c r="N16" s="466"/>
      <c r="O16" s="466"/>
      <c r="P16" s="466"/>
      <c r="Q16" s="466"/>
      <c r="R16" s="466"/>
      <c r="S16" s="466"/>
      <c r="T16" s="466"/>
      <c r="U16" s="466"/>
      <c r="V16" s="471"/>
      <c r="W16" s="397"/>
      <c r="X16" s="397"/>
      <c r="Y16" s="208"/>
      <c r="Z16" s="208"/>
      <c r="AA16" s="208"/>
    </row>
    <row r="17" spans="1:27" x14ac:dyDescent="0.45">
      <c r="A17" s="467"/>
      <c r="B17" s="195"/>
      <c r="C17" s="195"/>
      <c r="D17" s="336"/>
      <c r="E17" s="468"/>
      <c r="F17" s="466"/>
      <c r="G17" s="466"/>
      <c r="H17" s="466"/>
      <c r="I17" s="466"/>
      <c r="J17" s="466"/>
      <c r="K17" s="466"/>
      <c r="L17" s="466"/>
      <c r="M17" s="466"/>
      <c r="N17" s="466"/>
      <c r="O17" s="466"/>
      <c r="P17" s="466"/>
      <c r="Q17" s="466"/>
      <c r="R17" s="466"/>
      <c r="S17" s="466"/>
      <c r="T17" s="466"/>
      <c r="U17" s="466"/>
      <c r="V17" s="471"/>
      <c r="W17" s="397"/>
      <c r="X17" s="397"/>
      <c r="Y17" s="208"/>
      <c r="Z17" s="208"/>
      <c r="AA17" s="208"/>
    </row>
    <row r="18" spans="1:27" x14ac:dyDescent="0.45">
      <c r="A18" s="467"/>
      <c r="B18" s="195"/>
      <c r="C18" s="195"/>
      <c r="D18" s="336"/>
      <c r="E18" s="466"/>
      <c r="F18" s="466"/>
      <c r="G18" s="466"/>
      <c r="H18" s="466"/>
      <c r="I18" s="466"/>
      <c r="J18" s="466"/>
      <c r="K18" s="466"/>
      <c r="L18" s="466"/>
      <c r="M18" s="466"/>
      <c r="N18" s="466"/>
      <c r="O18" s="466"/>
      <c r="P18" s="466"/>
      <c r="Q18" s="466"/>
      <c r="R18" s="466"/>
      <c r="S18" s="466"/>
      <c r="T18" s="466"/>
      <c r="U18" s="466"/>
      <c r="V18" s="471"/>
      <c r="W18" s="397"/>
      <c r="X18" s="397"/>
      <c r="Y18" s="208"/>
      <c r="Z18" s="208"/>
      <c r="AA18" s="208"/>
    </row>
    <row r="19" spans="1:27" x14ac:dyDescent="0.45">
      <c r="A19" s="195"/>
      <c r="B19" s="195"/>
      <c r="C19" s="195"/>
      <c r="D19" s="195"/>
      <c r="E19" s="195"/>
      <c r="F19" s="195"/>
      <c r="G19" s="195"/>
      <c r="H19" s="466"/>
      <c r="I19" s="466"/>
      <c r="J19" s="466"/>
      <c r="K19" s="466"/>
      <c r="L19" s="466"/>
      <c r="M19" s="466"/>
      <c r="N19" s="466"/>
      <c r="O19" s="466"/>
      <c r="P19" s="466"/>
      <c r="Q19" s="466"/>
      <c r="R19" s="466"/>
      <c r="S19" s="466"/>
      <c r="T19" s="466"/>
      <c r="U19" s="466"/>
      <c r="V19" s="471"/>
      <c r="W19" s="208"/>
      <c r="X19" s="208"/>
      <c r="Y19" s="208"/>
      <c r="Z19" s="208"/>
      <c r="AA19" s="208"/>
    </row>
    <row r="20" spans="1:27" x14ac:dyDescent="0.45">
      <c r="A20" s="195"/>
      <c r="B20" s="195"/>
      <c r="C20" s="195"/>
      <c r="D20" s="469"/>
      <c r="E20" s="469"/>
      <c r="F20" s="469"/>
      <c r="G20" s="469"/>
      <c r="H20" s="195"/>
      <c r="I20" s="195"/>
      <c r="J20" s="195"/>
      <c r="K20" s="195"/>
      <c r="L20" s="195"/>
      <c r="M20" s="195"/>
      <c r="N20" s="195"/>
      <c r="O20" s="195"/>
      <c r="P20" s="195"/>
      <c r="Q20" s="195"/>
      <c r="R20" s="195"/>
      <c r="S20" s="195"/>
      <c r="T20" s="195"/>
      <c r="U20" s="195"/>
      <c r="V20" s="196"/>
      <c r="W20" s="208"/>
      <c r="X20" s="208"/>
      <c r="Y20" s="208"/>
      <c r="Z20" s="208"/>
      <c r="AA20" s="208"/>
    </row>
    <row r="21" spans="1:27" ht="14.65" thickBot="1" x14ac:dyDescent="0.5">
      <c r="A21" s="198"/>
      <c r="B21" s="198"/>
      <c r="C21" s="198"/>
      <c r="D21" s="472"/>
      <c r="E21" s="472"/>
      <c r="F21" s="472"/>
      <c r="G21" s="472"/>
      <c r="H21" s="198"/>
      <c r="I21" s="198"/>
      <c r="J21" s="198"/>
      <c r="K21" s="198"/>
      <c r="L21" s="198"/>
      <c r="M21" s="198"/>
      <c r="N21" s="198"/>
      <c r="O21" s="198"/>
      <c r="P21" s="198"/>
      <c r="Q21" s="198"/>
      <c r="R21" s="198"/>
      <c r="S21" s="198"/>
      <c r="T21" s="198"/>
      <c r="U21" s="198"/>
      <c r="V21" s="199"/>
      <c r="W21" s="208"/>
      <c r="X21" s="208"/>
      <c r="Y21" s="208"/>
      <c r="Z21" s="208"/>
      <c r="AA21" s="208"/>
    </row>
    <row r="22" spans="1:27" x14ac:dyDescent="0.45">
      <c r="A22" s="208"/>
      <c r="B22" s="208"/>
      <c r="C22" s="208"/>
      <c r="D22" s="208"/>
      <c r="E22" s="208"/>
      <c r="F22" s="208"/>
      <c r="G22" s="208"/>
      <c r="H22" s="208"/>
      <c r="I22" s="208"/>
      <c r="J22" s="208"/>
      <c r="K22" s="208"/>
      <c r="L22" s="208"/>
      <c r="M22" s="208"/>
      <c r="N22" s="208"/>
      <c r="O22" s="208"/>
      <c r="P22" s="208"/>
      <c r="Q22" s="208"/>
      <c r="R22" s="208"/>
      <c r="S22" s="208"/>
      <c r="T22" s="208"/>
      <c r="U22" s="208"/>
      <c r="V22" s="208"/>
      <c r="W22" s="208"/>
      <c r="X22" s="208"/>
      <c r="Y22" s="208"/>
      <c r="Z22" s="208"/>
      <c r="AA22" s="208"/>
    </row>
    <row r="23" spans="1:27" x14ac:dyDescent="0.45">
      <c r="A23" s="208"/>
      <c r="B23" s="393"/>
      <c r="C23" s="208"/>
      <c r="D23" s="208"/>
      <c r="E23" s="394"/>
      <c r="F23" s="394"/>
      <c r="G23" s="394"/>
      <c r="H23" s="208"/>
      <c r="I23" s="208"/>
      <c r="J23" s="208"/>
      <c r="K23" s="208"/>
      <c r="L23" s="208"/>
      <c r="M23" s="208"/>
      <c r="N23" s="208"/>
      <c r="O23" s="208"/>
      <c r="P23" s="208"/>
      <c r="Q23" s="208"/>
      <c r="R23" s="208"/>
      <c r="S23" s="208"/>
      <c r="T23" s="208"/>
      <c r="U23" s="208"/>
      <c r="V23" s="208"/>
      <c r="W23" s="208"/>
      <c r="X23" s="208"/>
      <c r="Y23" s="208"/>
      <c r="Z23" s="208"/>
      <c r="AA23" s="208"/>
    </row>
    <row r="24" spans="1:27" x14ac:dyDescent="0.45">
      <c r="A24" s="208"/>
      <c r="B24" s="208"/>
      <c r="C24" s="208"/>
      <c r="D24" s="208"/>
      <c r="E24" s="394"/>
      <c r="F24" s="394"/>
      <c r="G24" s="394"/>
      <c r="H24" s="208"/>
      <c r="I24" s="208"/>
      <c r="J24" s="208"/>
      <c r="K24" s="208"/>
      <c r="L24" s="208"/>
      <c r="M24" s="208"/>
      <c r="N24" s="208"/>
      <c r="O24" s="208"/>
      <c r="P24" s="208"/>
      <c r="Q24" s="208"/>
      <c r="R24" s="208"/>
      <c r="S24" s="208"/>
      <c r="T24" s="208"/>
      <c r="U24" s="208"/>
      <c r="V24" s="208"/>
      <c r="W24" s="208"/>
      <c r="X24" s="208"/>
      <c r="Y24" s="208"/>
      <c r="Z24" s="208"/>
      <c r="AA24" s="208"/>
    </row>
    <row r="25" spans="1:27" x14ac:dyDescent="0.45">
      <c r="A25" s="208"/>
      <c r="B25" s="734"/>
      <c r="C25" s="734"/>
      <c r="D25" s="733"/>
      <c r="E25" s="394"/>
      <c r="F25" s="394"/>
      <c r="G25" s="394"/>
      <c r="H25" s="208"/>
      <c r="I25" s="208"/>
      <c r="J25" s="208"/>
      <c r="K25" s="208"/>
      <c r="L25" s="208"/>
      <c r="M25" s="208"/>
      <c r="N25" s="208"/>
      <c r="O25" s="208"/>
      <c r="P25" s="208"/>
      <c r="Q25" s="208"/>
      <c r="R25" s="208"/>
      <c r="S25" s="208"/>
      <c r="T25" s="208"/>
      <c r="U25" s="208"/>
      <c r="V25" s="208"/>
      <c r="W25" s="208"/>
      <c r="X25" s="208"/>
      <c r="Y25" s="208"/>
      <c r="Z25" s="208"/>
    </row>
    <row r="26" spans="1:27" x14ac:dyDescent="0.45">
      <c r="A26" s="208"/>
      <c r="B26" s="208"/>
      <c r="C26" s="208"/>
      <c r="D26" s="208"/>
      <c r="E26" s="394"/>
      <c r="F26" s="394"/>
      <c r="G26" s="394"/>
      <c r="H26" s="208"/>
      <c r="I26" s="208"/>
      <c r="J26" s="208"/>
      <c r="K26" s="208"/>
      <c r="L26" s="208"/>
      <c r="M26" s="208"/>
      <c r="N26" s="208"/>
      <c r="O26" s="208"/>
      <c r="P26" s="208"/>
      <c r="Q26" s="208"/>
      <c r="R26" s="208"/>
      <c r="S26" s="208"/>
      <c r="T26" s="208"/>
      <c r="U26" s="208"/>
      <c r="V26" s="208"/>
      <c r="W26" s="208"/>
      <c r="X26" s="208"/>
      <c r="Y26" s="208"/>
      <c r="Z26" s="208"/>
    </row>
    <row r="27" spans="1:27" x14ac:dyDescent="0.45">
      <c r="A27" s="208"/>
      <c r="B27" s="553"/>
      <c r="C27" s="554"/>
      <c r="D27" s="554"/>
      <c r="E27" s="554"/>
      <c r="F27" s="554"/>
      <c r="G27" s="554"/>
      <c r="H27" s="554"/>
      <c r="I27" s="554"/>
      <c r="J27" s="554"/>
      <c r="K27" s="554"/>
      <c r="L27" s="554"/>
      <c r="M27" s="554"/>
      <c r="N27" s="554"/>
      <c r="O27" s="554"/>
      <c r="P27" s="554"/>
      <c r="Q27" s="554"/>
      <c r="R27" s="554"/>
      <c r="S27" s="554"/>
      <c r="T27" s="554"/>
      <c r="U27" s="554"/>
      <c r="V27" s="208"/>
      <c r="W27" s="208"/>
      <c r="X27" s="208"/>
      <c r="Y27" s="208"/>
      <c r="Z27" s="208"/>
    </row>
    <row r="28" spans="1:27" x14ac:dyDescent="0.45">
      <c r="A28" s="208"/>
      <c r="B28" s="553"/>
      <c r="C28" s="554"/>
      <c r="D28" s="554"/>
      <c r="E28" s="554"/>
      <c r="F28" s="554"/>
      <c r="G28" s="554"/>
      <c r="H28" s="554"/>
      <c r="I28" s="554"/>
      <c r="J28" s="554"/>
      <c r="K28" s="554"/>
      <c r="L28" s="554"/>
      <c r="M28" s="554"/>
      <c r="N28" s="554"/>
      <c r="O28" s="554"/>
      <c r="P28" s="554"/>
      <c r="Q28" s="554"/>
      <c r="R28" s="554"/>
      <c r="S28" s="554"/>
      <c r="T28" s="554"/>
      <c r="U28" s="554"/>
      <c r="V28" s="208"/>
      <c r="W28" s="208"/>
      <c r="X28" s="208"/>
      <c r="Y28" s="208"/>
      <c r="Z28" s="208"/>
    </row>
    <row r="29" spans="1:27" x14ac:dyDescent="0.45">
      <c r="A29" s="208"/>
      <c r="B29" s="555"/>
      <c r="C29" s="735"/>
      <c r="D29" s="735"/>
      <c r="E29" s="735"/>
      <c r="F29" s="735"/>
      <c r="G29" s="735"/>
      <c r="H29" s="735"/>
      <c r="I29" s="735"/>
      <c r="J29" s="735"/>
      <c r="K29" s="735"/>
      <c r="L29" s="735"/>
      <c r="M29" s="735"/>
      <c r="N29" s="735"/>
      <c r="O29" s="735"/>
      <c r="P29" s="735"/>
      <c r="Q29" s="735"/>
      <c r="R29" s="735"/>
      <c r="S29" s="735"/>
      <c r="T29" s="735"/>
      <c r="U29" s="735"/>
      <c r="V29" s="208"/>
      <c r="W29" s="208"/>
      <c r="X29" s="208"/>
      <c r="Y29" s="208"/>
      <c r="Z29" s="208"/>
    </row>
    <row r="30" spans="1:27" x14ac:dyDescent="0.45">
      <c r="A30" s="208"/>
      <c r="B30" s="208"/>
      <c r="C30" s="736"/>
      <c r="D30" s="736"/>
      <c r="E30" s="736"/>
      <c r="F30" s="736"/>
      <c r="G30" s="736"/>
      <c r="H30" s="736"/>
      <c r="I30" s="736"/>
      <c r="J30" s="736"/>
      <c r="K30" s="736"/>
      <c r="L30" s="736"/>
      <c r="M30" s="736"/>
      <c r="N30" s="736"/>
      <c r="O30" s="736"/>
      <c r="P30" s="736"/>
      <c r="Q30" s="736"/>
      <c r="R30" s="736"/>
      <c r="S30" s="736"/>
      <c r="T30" s="736"/>
      <c r="U30" s="736"/>
      <c r="V30" s="208"/>
      <c r="W30" s="208"/>
      <c r="X30" s="208"/>
      <c r="Y30" s="208"/>
      <c r="Z30" s="208"/>
    </row>
    <row r="31" spans="1:27" x14ac:dyDescent="0.45">
      <c r="A31" s="208"/>
      <c r="B31" s="208"/>
      <c r="C31" s="208"/>
      <c r="D31" s="208"/>
      <c r="E31" s="395"/>
      <c r="F31" s="395"/>
      <c r="G31" s="395"/>
      <c r="H31" s="208"/>
      <c r="I31" s="208"/>
      <c r="J31" s="208"/>
      <c r="K31" s="208"/>
      <c r="L31" s="208"/>
      <c r="M31" s="208"/>
      <c r="N31" s="208"/>
      <c r="O31" s="208"/>
      <c r="P31" s="208"/>
      <c r="Q31" s="208"/>
      <c r="R31" s="208"/>
      <c r="S31" s="208"/>
      <c r="T31" s="208"/>
      <c r="U31" s="208"/>
      <c r="V31" s="208"/>
      <c r="W31" s="208"/>
      <c r="X31" s="208"/>
      <c r="Y31" s="208"/>
      <c r="Z31" s="208"/>
    </row>
    <row r="32" spans="1:27" x14ac:dyDescent="0.45">
      <c r="A32" s="208"/>
      <c r="B32" s="208"/>
      <c r="C32" s="208"/>
      <c r="D32" s="208"/>
      <c r="E32" s="394"/>
      <c r="F32" s="394"/>
      <c r="G32" s="394"/>
      <c r="H32" s="208"/>
      <c r="I32" s="208"/>
      <c r="J32" s="208"/>
      <c r="K32" s="208"/>
      <c r="L32" s="208"/>
      <c r="M32" s="208"/>
      <c r="N32" s="208"/>
      <c r="O32" s="208"/>
      <c r="P32" s="208"/>
      <c r="Q32" s="208"/>
      <c r="R32" s="208"/>
      <c r="S32" s="208"/>
      <c r="T32" s="208"/>
      <c r="U32" s="208"/>
      <c r="V32" s="208"/>
      <c r="W32" s="208"/>
      <c r="X32" s="208"/>
      <c r="Y32" s="208"/>
      <c r="Z32" s="208"/>
    </row>
    <row r="33" spans="1:26" x14ac:dyDescent="0.45">
      <c r="A33" s="208"/>
      <c r="B33" s="208"/>
      <c r="C33" s="208"/>
      <c r="D33" s="208"/>
      <c r="E33" s="394"/>
      <c r="F33" s="394"/>
      <c r="G33" s="394"/>
      <c r="H33" s="208"/>
      <c r="I33" s="208"/>
      <c r="J33" s="208"/>
      <c r="K33" s="208"/>
      <c r="L33" s="208"/>
      <c r="M33" s="208"/>
      <c r="N33" s="208"/>
      <c r="O33" s="208"/>
      <c r="P33" s="208"/>
      <c r="Q33" s="208"/>
      <c r="R33" s="208"/>
      <c r="S33" s="208"/>
      <c r="T33" s="208"/>
      <c r="U33" s="208"/>
      <c r="V33" s="208"/>
      <c r="W33" s="208"/>
      <c r="X33" s="208"/>
      <c r="Y33" s="208"/>
      <c r="Z33" s="208"/>
    </row>
    <row r="34" spans="1:26" x14ac:dyDescent="0.45">
      <c r="A34" s="208"/>
      <c r="B34" s="208"/>
      <c r="C34" s="208"/>
      <c r="D34" s="208"/>
      <c r="E34" s="208"/>
      <c r="F34" s="208"/>
      <c r="G34" s="208"/>
      <c r="H34" s="208"/>
      <c r="I34" s="208"/>
      <c r="J34" s="208"/>
      <c r="K34" s="208"/>
      <c r="L34" s="208"/>
      <c r="M34" s="208"/>
      <c r="N34" s="208"/>
      <c r="O34" s="208"/>
      <c r="P34" s="208"/>
      <c r="Q34" s="208"/>
      <c r="R34" s="208"/>
      <c r="S34" s="208"/>
      <c r="T34" s="208"/>
      <c r="U34" s="208"/>
      <c r="V34" s="208"/>
      <c r="W34" s="208"/>
      <c r="X34" s="208"/>
      <c r="Y34" s="208"/>
      <c r="Z34" s="208"/>
    </row>
    <row r="35" spans="1:26" x14ac:dyDescent="0.45">
      <c r="A35" s="208"/>
      <c r="B35" s="208"/>
      <c r="C35" s="208"/>
      <c r="D35" s="208"/>
      <c r="E35" s="208"/>
      <c r="F35" s="208"/>
      <c r="G35" s="208"/>
      <c r="H35" s="208"/>
      <c r="I35" s="208"/>
      <c r="J35" s="208"/>
      <c r="K35" s="208"/>
      <c r="L35" s="208"/>
      <c r="M35" s="208"/>
      <c r="N35" s="208"/>
      <c r="O35" s="208"/>
      <c r="P35" s="208"/>
      <c r="Q35" s="208"/>
      <c r="R35" s="208"/>
      <c r="S35" s="208"/>
      <c r="T35" s="208"/>
      <c r="U35" s="208"/>
      <c r="V35" s="208"/>
      <c r="W35" s="208"/>
      <c r="X35" s="208"/>
      <c r="Y35" s="208"/>
      <c r="Z35" s="208"/>
    </row>
    <row r="36" spans="1:26" x14ac:dyDescent="0.45">
      <c r="A36" s="208"/>
      <c r="B36" s="208"/>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208"/>
    </row>
    <row r="37" spans="1:26" x14ac:dyDescent="0.45">
      <c r="A37" s="208"/>
      <c r="B37" s="208"/>
      <c r="C37" s="208"/>
    </row>
    <row r="38" spans="1:26" x14ac:dyDescent="0.45">
      <c r="A38" s="208"/>
      <c r="B38" s="208"/>
      <c r="C38" s="208"/>
    </row>
  </sheetData>
  <sheetProtection sheet="1" objects="1" scenarios="1"/>
  <pageMargins left="0.7" right="0.7" top="0.75" bottom="0.75" header="0.3" footer="0.3"/>
  <pageSetup orientation="portrait" horizontalDpi="4294967293" vertic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6FFFF"/>
  </sheetPr>
  <dimension ref="A1:D25"/>
  <sheetViews>
    <sheetView workbookViewId="0">
      <selection activeCell="C8" sqref="C8"/>
    </sheetView>
  </sheetViews>
  <sheetFormatPr defaultColWidth="9.06640625" defaultRowHeight="14.25" x14ac:dyDescent="0.45"/>
  <cols>
    <col min="1" max="1" width="4.73046875" style="207" customWidth="1"/>
    <col min="2" max="2" width="34.06640625" style="207" customWidth="1"/>
    <col min="3" max="3" width="36.33203125" style="207" customWidth="1"/>
    <col min="4" max="5" width="2.73046875" style="207" customWidth="1"/>
    <col min="6" max="16384" width="9.06640625" style="207"/>
  </cols>
  <sheetData>
    <row r="1" spans="1:4" x14ac:dyDescent="0.45">
      <c r="A1" s="381"/>
      <c r="B1" s="381"/>
      <c r="C1" s="381"/>
      <c r="D1" s="381"/>
    </row>
    <row r="2" spans="1:4" x14ac:dyDescent="0.45">
      <c r="A2" s="381"/>
      <c r="B2" s="402" t="s">
        <v>416</v>
      </c>
      <c r="C2" s="5"/>
      <c r="D2" s="2"/>
    </row>
    <row r="3" spans="1:4" x14ac:dyDescent="0.45">
      <c r="A3" s="381"/>
      <c r="B3" s="400" t="s">
        <v>63</v>
      </c>
      <c r="C3" s="712" t="s">
        <v>521</v>
      </c>
      <c r="D3" s="2"/>
    </row>
    <row r="4" spans="1:4" x14ac:dyDescent="0.45">
      <c r="A4" s="381"/>
      <c r="B4" s="400" t="s">
        <v>65</v>
      </c>
      <c r="C4" s="713" t="s">
        <v>522</v>
      </c>
      <c r="D4" s="2"/>
    </row>
    <row r="5" spans="1:4" x14ac:dyDescent="0.45">
      <c r="A5" s="381"/>
      <c r="B5" s="400" t="s">
        <v>417</v>
      </c>
      <c r="C5" s="712" t="s">
        <v>523</v>
      </c>
      <c r="D5" s="2"/>
    </row>
    <row r="6" spans="1:4" x14ac:dyDescent="0.45">
      <c r="A6" s="381"/>
      <c r="B6" s="400" t="s">
        <v>418</v>
      </c>
      <c r="C6" s="712" t="s">
        <v>524</v>
      </c>
      <c r="D6" s="2"/>
    </row>
    <row r="7" spans="1:4" x14ac:dyDescent="0.45">
      <c r="A7" s="381"/>
      <c r="B7" s="400" t="s">
        <v>420</v>
      </c>
      <c r="C7" s="712" t="s">
        <v>525</v>
      </c>
      <c r="D7" s="2"/>
    </row>
    <row r="8" spans="1:4" x14ac:dyDescent="0.45">
      <c r="A8" s="381"/>
      <c r="B8" s="400" t="s">
        <v>419</v>
      </c>
      <c r="C8" s="712" t="s">
        <v>536</v>
      </c>
      <c r="D8" s="2"/>
    </row>
    <row r="9" spans="1:4" x14ac:dyDescent="0.45">
      <c r="A9" s="381"/>
      <c r="B9" s="400" t="s">
        <v>424</v>
      </c>
      <c r="C9" s="744"/>
      <c r="D9" s="2"/>
    </row>
    <row r="10" spans="1:4" x14ac:dyDescent="0.45">
      <c r="A10" s="381"/>
      <c r="B10" s="401"/>
      <c r="C10" s="398"/>
      <c r="D10" s="2"/>
    </row>
    <row r="11" spans="1:4" x14ac:dyDescent="0.45">
      <c r="A11" s="381"/>
      <c r="B11" s="402" t="s">
        <v>421</v>
      </c>
      <c r="C11" s="398"/>
      <c r="D11" s="2"/>
    </row>
    <row r="12" spans="1:4" x14ac:dyDescent="0.45">
      <c r="A12" s="381"/>
      <c r="B12" s="400" t="s">
        <v>422</v>
      </c>
      <c r="C12" s="714">
        <v>20000000</v>
      </c>
      <c r="D12" s="2"/>
    </row>
    <row r="13" spans="1:4" x14ac:dyDescent="0.45">
      <c r="A13" s="381"/>
      <c r="B13" s="400" t="s">
        <v>70</v>
      </c>
      <c r="C13" s="715">
        <v>2.5000000000000001E-2</v>
      </c>
      <c r="D13" s="2"/>
    </row>
    <row r="14" spans="1:4" x14ac:dyDescent="0.45">
      <c r="A14" s="381"/>
      <c r="B14" s="400" t="s">
        <v>423</v>
      </c>
      <c r="C14" s="712">
        <v>35</v>
      </c>
      <c r="D14" s="2"/>
    </row>
    <row r="15" spans="1:4" x14ac:dyDescent="0.45">
      <c r="A15" s="381"/>
      <c r="B15" s="400" t="s">
        <v>71</v>
      </c>
      <c r="C15" s="716">
        <v>44166</v>
      </c>
      <c r="D15" s="2"/>
    </row>
    <row r="16" spans="1:4" ht="28.5" x14ac:dyDescent="0.45">
      <c r="A16" s="381"/>
      <c r="B16" s="403" t="s">
        <v>441</v>
      </c>
      <c r="C16" s="399">
        <v>0.5</v>
      </c>
      <c r="D16" s="2"/>
    </row>
    <row r="17" spans="1:4" x14ac:dyDescent="0.45">
      <c r="A17" s="381"/>
      <c r="B17" s="5"/>
      <c r="C17" s="5"/>
      <c r="D17" s="2"/>
    </row>
    <row r="18" spans="1:4" x14ac:dyDescent="0.45">
      <c r="A18" s="381"/>
      <c r="B18" s="5"/>
      <c r="C18" s="5"/>
      <c r="D18" s="2"/>
    </row>
    <row r="19" spans="1:4" x14ac:dyDescent="0.45">
      <c r="A19" s="381"/>
      <c r="B19" s="5"/>
      <c r="C19" s="5"/>
      <c r="D19" s="2"/>
    </row>
    <row r="20" spans="1:4" x14ac:dyDescent="0.45">
      <c r="A20" s="381"/>
      <c r="B20" s="5"/>
      <c r="C20" s="5"/>
      <c r="D20" s="2"/>
    </row>
    <row r="21" spans="1:4" ht="14.65" thickBot="1" x14ac:dyDescent="0.5">
      <c r="A21" s="381"/>
      <c r="B21" s="3"/>
      <c r="C21" s="3"/>
      <c r="D21" s="4"/>
    </row>
    <row r="22" spans="1:4" ht="10.050000000000001" customHeight="1" x14ac:dyDescent="0.45"/>
    <row r="25" spans="1:4" x14ac:dyDescent="0.45">
      <c r="C25" s="576"/>
    </row>
  </sheetData>
  <sheetProtection password="CCA4" sheet="1" objects="1" scenarios="1" selectLockedCells="1"/>
  <dataValidations disablePrompts="1" count="6">
    <dataValidation type="decimal" allowBlank="1" showInputMessage="1" showErrorMessage="1" promptTitle="Please input a valid number" prompt="Must be a number between $50,000 and $500,000,000." sqref="C12" xr:uid="{00000000-0002-0000-0200-000000000000}">
      <formula1>50</formula1>
      <formula2>500000000</formula2>
    </dataValidation>
    <dataValidation type="decimal" allowBlank="1" showInputMessage="1" showErrorMessage="1" promptTitle="Please input a valid number" prompt="Automatically converts a number between 0.000 and 15.000 into a decimal." sqref="C13" xr:uid="{00000000-0002-0000-0200-000001000000}">
      <formula1>0</formula1>
      <formula2>15</formula2>
    </dataValidation>
    <dataValidation type="whole" allowBlank="1" showInputMessage="1" showErrorMessage="1" promptTitle="Please input a valid number" prompt="Must be a number between 10 and 40." sqref="C14" xr:uid="{00000000-0002-0000-0200-000002000000}">
      <formula1>10</formula1>
      <formula2>40</formula2>
    </dataValidation>
    <dataValidation type="date" allowBlank="1" showInputMessage="1" showErrorMessage="1" promptTitle="Please input a valid date." prompt="Will accept various date formats, but must be between 1/1/1976 and 1/1/2056." sqref="C15" xr:uid="{00000000-0002-0000-0200-000003000000}">
      <formula1>27760</formula1>
      <formula2>56980</formula2>
    </dataValidation>
    <dataValidation type="textLength" allowBlank="1" showInputMessage="1" showErrorMessage="1" promptTitle="Input project name" prompt="Name shoud be the same as that appearing in the application." sqref="C3:C8" xr:uid="{00000000-0002-0000-0200-000004000000}">
      <formula1>1</formula1>
      <formula2>75</formula2>
    </dataValidation>
    <dataValidation allowBlank="1" showErrorMessage="1" sqref="C4" xr:uid="{00000000-0002-0000-0200-000005000000}"/>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3" tint="0.79998168889431442"/>
    <pageSetUpPr fitToPage="1"/>
  </sheetPr>
  <dimension ref="A1:BD136"/>
  <sheetViews>
    <sheetView workbookViewId="0">
      <selection activeCell="B13" sqref="B13"/>
    </sheetView>
  </sheetViews>
  <sheetFormatPr defaultColWidth="9.06640625" defaultRowHeight="14.25" x14ac:dyDescent="0.45"/>
  <cols>
    <col min="1" max="1" width="5.73046875" style="245" customWidth="1"/>
    <col min="2" max="2" width="23.73046875" style="245" customWidth="1"/>
    <col min="3" max="3" width="2.73046875" style="245" customWidth="1"/>
    <col min="4" max="4" width="23.73046875" style="245" customWidth="1"/>
    <col min="5" max="5" width="2.73046875" style="245" customWidth="1"/>
    <col min="6" max="6" width="23.73046875" style="245" customWidth="1"/>
    <col min="7" max="7" width="2.73046875" style="245" customWidth="1"/>
    <col min="8" max="8" width="22.73046875" style="245" customWidth="1"/>
    <col min="9" max="10" width="5.73046875" style="245" customWidth="1"/>
    <col min="11" max="11" width="10.73046875" style="245" customWidth="1"/>
    <col min="12" max="12" width="15.73046875" style="245" customWidth="1"/>
    <col min="13" max="13" width="4.73046875" style="245" customWidth="1"/>
    <col min="14" max="14" width="15.73046875" style="245" customWidth="1"/>
    <col min="15" max="15" width="4.73046875" style="245" customWidth="1"/>
    <col min="16" max="16" width="15.73046875" style="245" customWidth="1"/>
    <col min="17" max="17" width="4.73046875" style="245" customWidth="1"/>
    <col min="18" max="18" width="15.73046875" style="245" customWidth="1"/>
    <col min="19" max="19" width="4.73046875" style="245" customWidth="1"/>
    <col min="20" max="20" width="15.73046875" style="245" customWidth="1"/>
    <col min="21" max="25" width="9.06640625" style="245"/>
    <col min="26" max="26" width="74.265625" style="245" bestFit="1" customWidth="1"/>
    <col min="27" max="16384" width="9.06640625" style="245"/>
  </cols>
  <sheetData>
    <row r="1" spans="1:56" x14ac:dyDescent="0.45">
      <c r="A1" s="361"/>
      <c r="B1" s="324"/>
      <c r="C1" s="324"/>
      <c r="D1" s="324"/>
      <c r="E1" s="324"/>
      <c r="F1" s="324"/>
      <c r="G1" s="324"/>
      <c r="H1" s="324"/>
      <c r="I1" s="324"/>
      <c r="J1" s="138"/>
      <c r="K1" s="244"/>
      <c r="L1" s="244"/>
      <c r="M1" s="244"/>
      <c r="N1" s="244"/>
      <c r="O1" s="138"/>
      <c r="P1" s="138"/>
      <c r="Q1" s="138"/>
      <c r="R1" s="138"/>
    </row>
    <row r="2" spans="1:56" ht="16.899999999999999" x14ac:dyDescent="0.45">
      <c r="A2" s="325"/>
      <c r="B2" s="1098" t="s">
        <v>440</v>
      </c>
      <c r="C2" s="1098"/>
      <c r="D2" s="1098"/>
      <c r="E2" s="1098"/>
      <c r="F2" s="1098"/>
      <c r="G2" s="1098"/>
      <c r="H2" s="1098"/>
      <c r="I2" s="658"/>
      <c r="J2" s="265"/>
      <c r="K2" s="244"/>
      <c r="L2" s="244"/>
    </row>
    <row r="3" spans="1:56" ht="25.05" customHeight="1" x14ac:dyDescent="0.45">
      <c r="A3" s="325"/>
      <c r="B3" s="1099" t="s">
        <v>537</v>
      </c>
      <c r="C3" s="1099"/>
      <c r="D3" s="1099"/>
      <c r="E3" s="1099"/>
      <c r="F3" s="1099"/>
      <c r="G3" s="1099"/>
      <c r="H3" s="1099"/>
      <c r="I3" s="658"/>
      <c r="J3" s="265"/>
      <c r="K3" s="244"/>
      <c r="L3" s="244"/>
      <c r="AQ3" s="404"/>
      <c r="AR3" s="404"/>
      <c r="AS3" s="404"/>
      <c r="AT3" s="404"/>
      <c r="AU3" s="404"/>
      <c r="AV3" s="404"/>
      <c r="AW3" s="404"/>
      <c r="AX3" s="404"/>
      <c r="AY3" s="404"/>
      <c r="AZ3" s="404"/>
      <c r="BA3" s="404"/>
      <c r="BB3" s="404"/>
      <c r="BC3" s="404"/>
      <c r="BD3" s="404"/>
    </row>
    <row r="4" spans="1:56" ht="60" customHeight="1" x14ac:dyDescent="0.45">
      <c r="A4" s="223"/>
      <c r="B4" s="332" t="s">
        <v>550</v>
      </c>
      <c r="C4" s="333"/>
      <c r="D4" s="332" t="s">
        <v>551</v>
      </c>
      <c r="E4" s="333"/>
      <c r="F4" s="332" t="s">
        <v>552</v>
      </c>
      <c r="G4" s="334"/>
      <c r="H4" s="335" t="s">
        <v>553</v>
      </c>
      <c r="I4" s="334"/>
      <c r="J4" s="266"/>
      <c r="K4" s="244"/>
      <c r="L4" s="244"/>
      <c r="M4" s="368"/>
      <c r="N4" s="369"/>
      <c r="AQ4" s="404"/>
      <c r="AR4" s="404"/>
      <c r="AS4" s="404"/>
      <c r="AT4" s="404"/>
      <c r="AU4" s="404"/>
      <c r="AV4" s="404"/>
      <c r="AW4" s="404"/>
      <c r="AX4" s="404"/>
      <c r="AY4" s="404"/>
      <c r="AZ4" s="404"/>
      <c r="BA4" s="404"/>
      <c r="BB4" s="404"/>
      <c r="BC4" s="404"/>
      <c r="BD4" s="404"/>
    </row>
    <row r="5" spans="1:56" ht="30" customHeight="1" x14ac:dyDescent="0.45">
      <c r="A5" s="223"/>
      <c r="B5" s="279" t="str">
        <f>+IF(B7&lt;&gt;0,"FAIL","PASS")</f>
        <v>PASS</v>
      </c>
      <c r="C5" s="336"/>
      <c r="D5" s="279" t="str">
        <f>+IF(D7&lt;&gt;0,"FAIL","PASS")</f>
        <v>FAIL</v>
      </c>
      <c r="E5" s="334"/>
      <c r="F5" s="212" t="str">
        <f>+IF(D5="FAIL","REQUIRED","NO")</f>
        <v>REQUIRED</v>
      </c>
      <c r="G5" s="337"/>
      <c r="H5" s="279" t="str">
        <f>+IF(H7&lt;&gt;0,"FAIL","PASS")</f>
        <v>PASS</v>
      </c>
      <c r="I5" s="334"/>
      <c r="J5" s="266"/>
      <c r="K5" s="244"/>
      <c r="L5" s="244"/>
      <c r="N5" s="137"/>
      <c r="AQ5" s="404"/>
      <c r="AR5" s="404"/>
      <c r="AS5" s="404"/>
      <c r="AT5" s="404"/>
      <c r="AU5" s="404"/>
      <c r="AV5" s="404"/>
      <c r="AW5" s="404"/>
      <c r="AX5" s="404"/>
      <c r="AY5" s="404"/>
      <c r="AZ5" s="404"/>
      <c r="BA5" s="404"/>
      <c r="BB5" s="404"/>
      <c r="BC5" s="404"/>
      <c r="BD5" s="404"/>
    </row>
    <row r="6" spans="1:56" ht="18" customHeight="1" x14ac:dyDescent="0.45">
      <c r="A6" s="223"/>
      <c r="B6" s="338" t="s">
        <v>68</v>
      </c>
      <c r="C6" s="336"/>
      <c r="D6" s="338" t="s">
        <v>68</v>
      </c>
      <c r="E6" s="334"/>
      <c r="F6" s="339"/>
      <c r="G6" s="337"/>
      <c r="H6" s="338" t="s">
        <v>68</v>
      </c>
      <c r="I6" s="334"/>
      <c r="J6" s="266"/>
      <c r="K6" s="244"/>
      <c r="L6" s="138"/>
      <c r="M6" s="246"/>
      <c r="N6" s="246"/>
      <c r="AQ6" s="404"/>
      <c r="AR6" s="404"/>
      <c r="AS6" s="404"/>
      <c r="AT6" s="404"/>
      <c r="AU6" s="404"/>
      <c r="AV6" s="404"/>
      <c r="AW6" s="404"/>
      <c r="AX6" s="404"/>
      <c r="AY6" s="404"/>
      <c r="AZ6" s="404"/>
      <c r="BA6" s="404"/>
      <c r="BB6" s="404"/>
      <c r="BC6" s="404"/>
      <c r="BD6" s="404"/>
    </row>
    <row r="7" spans="1:56" ht="15.75" x14ac:dyDescent="0.45">
      <c r="A7" s="223"/>
      <c r="B7" s="340">
        <f>'eTool Data Analysis'!$I$4</f>
        <v>0</v>
      </c>
      <c r="C7" s="209"/>
      <c r="D7" s="341">
        <f>+'eTool Data Analysis'!$I$20</f>
        <v>10</v>
      </c>
      <c r="E7" s="209"/>
      <c r="F7" s="339"/>
      <c r="G7" s="342"/>
      <c r="H7" s="340">
        <f>+'eTool Data Analysis'!$I$36</f>
        <v>0</v>
      </c>
      <c r="I7" s="659"/>
      <c r="J7" s="267"/>
      <c r="K7" s="244"/>
      <c r="L7" s="138"/>
      <c r="M7" s="246"/>
      <c r="N7" s="246"/>
      <c r="AQ7" s="404"/>
      <c r="AR7" s="404"/>
      <c r="AS7" s="404"/>
      <c r="AT7" s="404"/>
      <c r="AU7" s="404"/>
      <c r="AV7" s="404"/>
      <c r="AW7" s="404"/>
      <c r="AX7" s="404"/>
      <c r="AY7" s="404"/>
      <c r="AZ7" s="404"/>
      <c r="BA7" s="404"/>
      <c r="BB7" s="404"/>
      <c r="BC7" s="404"/>
      <c r="BD7" s="404"/>
    </row>
    <row r="8" spans="1:56" x14ac:dyDescent="0.45">
      <c r="A8" s="223"/>
      <c r="B8" s="343" t="s">
        <v>425</v>
      </c>
      <c r="C8" s="344"/>
      <c r="D8" s="343" t="s">
        <v>425</v>
      </c>
      <c r="E8" s="339"/>
      <c r="F8" s="339"/>
      <c r="G8" s="334"/>
      <c r="H8" s="343" t="s">
        <v>425</v>
      </c>
      <c r="I8" s="334"/>
      <c r="J8" s="266"/>
      <c r="K8" s="244"/>
      <c r="L8" s="138"/>
      <c r="M8" s="246"/>
      <c r="N8" s="243"/>
      <c r="AQ8" s="404"/>
      <c r="AR8" s="404"/>
      <c r="AS8" s="404"/>
      <c r="AT8" s="404"/>
      <c r="AU8" s="404"/>
      <c r="AV8" s="404"/>
      <c r="AW8" s="404"/>
      <c r="AX8" s="404"/>
      <c r="AY8" s="404"/>
      <c r="AZ8" s="404"/>
      <c r="BA8" s="404"/>
      <c r="BB8" s="404"/>
      <c r="BC8" s="404"/>
      <c r="BD8" s="404"/>
    </row>
    <row r="9" spans="1:56" x14ac:dyDescent="0.45">
      <c r="A9" s="223"/>
      <c r="B9" s="334"/>
      <c r="C9" s="334"/>
      <c r="D9" s="334"/>
      <c r="E9" s="334"/>
      <c r="F9" s="334"/>
      <c r="G9" s="334"/>
      <c r="H9" s="334"/>
      <c r="I9" s="334"/>
      <c r="J9" s="266"/>
      <c r="K9" s="244"/>
      <c r="L9" s="138"/>
      <c r="M9" s="246"/>
      <c r="N9" s="246"/>
      <c r="AQ9" s="404"/>
      <c r="AR9" s="404"/>
      <c r="AS9" s="404"/>
      <c r="AT9" s="404"/>
      <c r="AU9" s="404"/>
      <c r="AV9" s="404"/>
      <c r="AW9" s="404"/>
      <c r="AX9" s="404"/>
      <c r="AY9" s="404"/>
      <c r="AZ9" s="404"/>
      <c r="BA9" s="404"/>
      <c r="BB9" s="404"/>
      <c r="BC9" s="404"/>
      <c r="BD9" s="404"/>
    </row>
    <row r="10" spans="1:56" x14ac:dyDescent="0.45">
      <c r="A10" s="223"/>
      <c r="B10" s="334"/>
      <c r="C10" s="334"/>
      <c r="D10" s="334"/>
      <c r="E10" s="334"/>
      <c r="F10" s="334"/>
      <c r="G10" s="334"/>
      <c r="H10" s="334"/>
      <c r="I10" s="334"/>
      <c r="J10" s="266"/>
      <c r="K10" s="244"/>
      <c r="L10" s="138"/>
      <c r="M10" s="246"/>
      <c r="N10" s="356"/>
      <c r="AQ10" s="404"/>
      <c r="AR10" s="404"/>
      <c r="AS10" s="404"/>
      <c r="AT10" s="404"/>
      <c r="AU10" s="404"/>
      <c r="AV10" s="404"/>
      <c r="AW10" s="404"/>
      <c r="AX10" s="404"/>
      <c r="AY10" s="404"/>
      <c r="AZ10" s="404"/>
      <c r="BA10" s="404"/>
      <c r="BB10" s="404"/>
      <c r="BC10" s="404"/>
      <c r="BD10" s="404"/>
    </row>
    <row r="11" spans="1:56" ht="35.200000000000003" customHeight="1" thickBot="1" x14ac:dyDescent="0.5">
      <c r="A11" s="325"/>
      <c r="B11" s="214"/>
      <c r="C11" s="346"/>
      <c r="D11" s="1097" t="s">
        <v>72</v>
      </c>
      <c r="E11" s="1097"/>
      <c r="F11" s="1097"/>
      <c r="G11" s="221"/>
      <c r="H11" s="221"/>
      <c r="I11" s="221"/>
      <c r="J11" s="268"/>
      <c r="K11" s="244"/>
      <c r="L11" s="138"/>
      <c r="M11" s="246"/>
      <c r="N11" s="246"/>
      <c r="AQ11" s="404"/>
      <c r="AR11" s="404"/>
      <c r="AS11" s="404"/>
      <c r="AT11" s="404"/>
      <c r="AU11" s="404"/>
      <c r="AV11" s="404"/>
      <c r="AW11" s="404"/>
      <c r="AX11" s="404"/>
      <c r="AY11" s="404"/>
      <c r="AZ11" s="404"/>
      <c r="BA11" s="404"/>
      <c r="BB11" s="404"/>
      <c r="BC11" s="404"/>
      <c r="BD11" s="404"/>
    </row>
    <row r="12" spans="1:56" ht="50.2" customHeight="1" thickBot="1" x14ac:dyDescent="0.5">
      <c r="A12" s="325"/>
      <c r="B12" s="214"/>
      <c r="C12" s="215"/>
      <c r="D12" s="1100" t="str">
        <f>+IF(AND(B5="FAIL",D5="FAIL",H5="FAIL"),"VIOLATION EXISTS",IF(AND(B5="PASS",D5="FAIL",H5="FAIL"),"VIOLATION EXISTS",IF(AND(B5="FAIL",D5="FAIL",H5="PASS"),"VIOLATION EXISTS",IF(AND(B5="FAIL",D5="PASS",H5="FAIL"),"VIOLATION EXISTS","REQUIREMENTS MET"))))</f>
        <v>REQUIREMENTS MET</v>
      </c>
      <c r="E12" s="1101"/>
      <c r="F12" s="1102"/>
      <c r="G12" s="215"/>
      <c r="H12" s="254"/>
      <c r="I12" s="214"/>
      <c r="J12" s="246"/>
      <c r="K12" s="244"/>
      <c r="L12" s="138"/>
      <c r="M12" s="405"/>
      <c r="N12" s="246"/>
      <c r="AQ12" s="404"/>
      <c r="AR12" s="404"/>
      <c r="AS12" s="404"/>
      <c r="AT12" s="404"/>
      <c r="AU12" s="404"/>
      <c r="AV12" s="404"/>
      <c r="AW12" s="404"/>
      <c r="AX12" s="404"/>
      <c r="AY12" s="404"/>
      <c r="AZ12" s="404"/>
      <c r="BA12" s="404"/>
      <c r="BB12" s="404"/>
      <c r="BC12" s="404"/>
      <c r="BD12" s="404"/>
    </row>
    <row r="13" spans="1:56" ht="57" customHeight="1" x14ac:dyDescent="0.45">
      <c r="A13" s="325"/>
      <c r="B13" s="215"/>
      <c r="C13" s="215"/>
      <c r="D13" s="213"/>
      <c r="E13" s="213"/>
      <c r="F13" s="210"/>
      <c r="G13" s="216"/>
      <c r="H13" s="216"/>
      <c r="I13" s="216"/>
      <c r="J13" s="243"/>
      <c r="K13" s="244"/>
      <c r="L13" s="138"/>
      <c r="M13" s="246"/>
      <c r="N13" s="246"/>
      <c r="AQ13" s="404"/>
      <c r="AR13" s="404"/>
      <c r="AS13" s="404"/>
      <c r="AT13" s="404"/>
      <c r="AU13" s="404"/>
      <c r="AV13" s="404"/>
      <c r="AW13" s="404"/>
      <c r="AX13" s="404"/>
      <c r="AY13" s="404"/>
      <c r="AZ13" s="404"/>
      <c r="BA13" s="404"/>
      <c r="BB13" s="404"/>
      <c r="BC13" s="404"/>
      <c r="BD13" s="404"/>
    </row>
    <row r="14" spans="1:56" x14ac:dyDescent="0.45">
      <c r="A14" s="325"/>
      <c r="B14" s="347"/>
      <c r="C14" s="347"/>
      <c r="D14" s="211"/>
      <c r="E14" s="211"/>
      <c r="F14" s="211"/>
      <c r="G14" s="347"/>
      <c r="H14" s="347"/>
      <c r="I14" s="216"/>
      <c r="J14" s="243"/>
      <c r="K14" s="244"/>
      <c r="L14" s="138"/>
      <c r="M14" s="246"/>
      <c r="N14" s="246"/>
      <c r="AQ14" s="404"/>
      <c r="AR14" s="404"/>
      <c r="AS14" s="404"/>
      <c r="AT14" s="404"/>
      <c r="AU14" s="404"/>
      <c r="AV14" s="404"/>
      <c r="AW14" s="404"/>
      <c r="AX14" s="404"/>
      <c r="AY14" s="404"/>
      <c r="AZ14" s="404"/>
      <c r="BA14" s="404"/>
      <c r="BB14" s="404"/>
      <c r="BC14" s="404"/>
      <c r="BD14" s="404"/>
    </row>
    <row r="15" spans="1:56" ht="30" customHeight="1" x14ac:dyDescent="0.45">
      <c r="A15" s="325"/>
      <c r="B15" s="214"/>
      <c r="C15" s="214"/>
      <c r="D15" s="219" t="s">
        <v>426</v>
      </c>
      <c r="E15" s="220"/>
      <c r="F15" s="219" t="s">
        <v>428</v>
      </c>
      <c r="G15" s="214"/>
      <c r="H15" s="214"/>
      <c r="I15" s="216"/>
      <c r="J15" s="243"/>
      <c r="K15" s="244"/>
      <c r="L15" s="244"/>
      <c r="AQ15" s="404"/>
      <c r="AR15" s="404"/>
      <c r="AS15" s="404"/>
      <c r="AT15" s="404"/>
      <c r="AU15" s="404"/>
      <c r="AV15" s="404"/>
      <c r="AW15" s="404"/>
      <c r="AX15" s="404"/>
      <c r="AY15" s="404"/>
      <c r="AZ15" s="404"/>
      <c r="BA15" s="404"/>
      <c r="BB15" s="404"/>
      <c r="BC15" s="404"/>
      <c r="BD15" s="404"/>
    </row>
    <row r="16" spans="1:56" s="741" customFormat="1" ht="30" customHeight="1" x14ac:dyDescent="0.45">
      <c r="A16" s="737"/>
      <c r="B16" s="738"/>
      <c r="C16" s="738"/>
      <c r="D16" s="742" t="s">
        <v>427</v>
      </c>
      <c r="E16" s="743"/>
      <c r="F16" s="742" t="s">
        <v>545</v>
      </c>
      <c r="G16" s="738"/>
      <c r="H16" s="738"/>
      <c r="I16" s="739"/>
      <c r="J16" s="740"/>
    </row>
    <row r="17" spans="1:56" x14ac:dyDescent="0.45">
      <c r="A17" s="325"/>
      <c r="B17" s="214"/>
      <c r="C17" s="214"/>
      <c r="D17" s="214"/>
      <c r="E17" s="214"/>
      <c r="F17" s="214"/>
      <c r="G17" s="214"/>
      <c r="H17" s="214"/>
      <c r="I17" s="216"/>
      <c r="J17" s="243"/>
      <c r="AQ17" s="404"/>
      <c r="AR17" s="404"/>
      <c r="AS17" s="404"/>
      <c r="AT17" s="404"/>
      <c r="AU17" s="404"/>
      <c r="AV17" s="404"/>
      <c r="AW17" s="404"/>
      <c r="AX17" s="404"/>
      <c r="AY17" s="404"/>
      <c r="AZ17" s="404"/>
      <c r="BA17" s="404"/>
      <c r="BB17" s="404"/>
      <c r="BC17" s="404"/>
      <c r="BD17" s="404"/>
    </row>
    <row r="18" spans="1:56" ht="15.75" x14ac:dyDescent="0.45">
      <c r="A18" s="346"/>
      <c r="B18" s="346"/>
      <c r="C18" s="346"/>
      <c r="D18" s="346"/>
      <c r="E18" s="346"/>
      <c r="F18" s="346"/>
      <c r="G18" s="346"/>
      <c r="H18" s="346"/>
      <c r="I18" s="346"/>
      <c r="J18" s="243"/>
      <c r="AQ18" s="404"/>
      <c r="AR18" s="404"/>
      <c r="AS18" s="404"/>
      <c r="AT18" s="404"/>
      <c r="AU18" s="404"/>
      <c r="AV18" s="404"/>
      <c r="AW18" s="404"/>
      <c r="AX18" s="404"/>
      <c r="AY18" s="404"/>
      <c r="AZ18" s="404"/>
      <c r="BA18" s="404"/>
      <c r="BB18" s="404"/>
      <c r="BC18" s="404"/>
      <c r="BD18" s="404"/>
    </row>
    <row r="19" spans="1:56" ht="35.200000000000003" customHeight="1" x14ac:dyDescent="0.45">
      <c r="A19" s="223"/>
      <c r="B19" s="334"/>
      <c r="C19" s="334"/>
      <c r="D19" s="1105" t="s">
        <v>533</v>
      </c>
      <c r="E19" s="1105"/>
      <c r="F19" s="1105"/>
      <c r="G19" s="334"/>
      <c r="H19" s="334"/>
      <c r="I19" s="334"/>
      <c r="J19" s="243"/>
      <c r="K19" s="138"/>
      <c r="L19" s="138"/>
      <c r="M19" s="246"/>
      <c r="N19" s="246"/>
      <c r="O19" s="246"/>
      <c r="P19" s="246"/>
      <c r="Q19" s="246"/>
      <c r="R19" s="246"/>
      <c r="S19" s="246"/>
      <c r="T19" s="246"/>
      <c r="U19" s="246"/>
      <c r="AQ19" s="404"/>
      <c r="AR19" s="404"/>
      <c r="AS19" s="404"/>
      <c r="AT19" s="404"/>
      <c r="AU19" s="404"/>
      <c r="AV19" s="404"/>
      <c r="AW19" s="404"/>
      <c r="AX19" s="404"/>
      <c r="AY19" s="404"/>
      <c r="AZ19" s="404"/>
      <c r="BA19" s="404"/>
      <c r="BB19" s="404"/>
      <c r="BC19" s="404"/>
      <c r="BD19" s="404"/>
    </row>
    <row r="20" spans="1:56" ht="34.9" x14ac:dyDescent="0.45">
      <c r="A20" s="223"/>
      <c r="B20" s="727" t="s">
        <v>555</v>
      </c>
      <c r="C20" s="334"/>
      <c r="D20" s="727" t="s">
        <v>547</v>
      </c>
      <c r="E20" s="334"/>
      <c r="F20" s="727" t="s">
        <v>548</v>
      </c>
      <c r="G20" s="334"/>
      <c r="H20" s="728" t="s">
        <v>534</v>
      </c>
      <c r="I20" s="334"/>
      <c r="J20" s="266"/>
      <c r="K20" s="406"/>
      <c r="L20" s="407"/>
      <c r="M20" s="407"/>
      <c r="N20" s="407"/>
      <c r="O20" s="407"/>
      <c r="P20" s="406"/>
      <c r="Q20" s="406"/>
      <c r="R20" s="407"/>
      <c r="S20" s="408"/>
      <c r="T20" s="246"/>
      <c r="U20" s="246"/>
      <c r="AQ20" s="404"/>
      <c r="AR20" s="404"/>
      <c r="AS20" s="404"/>
      <c r="AT20" s="404"/>
      <c r="AU20" s="404"/>
      <c r="AV20" s="404"/>
      <c r="AW20" s="404"/>
      <c r="AX20" s="404"/>
      <c r="AY20" s="404"/>
      <c r="AZ20" s="404"/>
      <c r="BA20" s="404"/>
      <c r="BB20" s="404"/>
      <c r="BC20" s="404"/>
      <c r="BD20" s="404"/>
    </row>
    <row r="21" spans="1:56" ht="21" x14ac:dyDescent="0.45">
      <c r="A21" s="223"/>
      <c r="B21" s="504">
        <f ca="1">'Year 11+ Risk Analysis'!$G$12</f>
        <v>236.30730113571525</v>
      </c>
      <c r="C21" s="729"/>
      <c r="D21" s="504">
        <f ca="1">'Year 11+ Risk Analysis'!$G$32</f>
        <v>696.8025073833328</v>
      </c>
      <c r="E21" s="729"/>
      <c r="F21" s="504">
        <f ca="1">'Year 11+ Risk Analysis'!$F$22</f>
        <v>2255239.6983033554</v>
      </c>
      <c r="G21" s="334"/>
      <c r="H21" s="728" t="s">
        <v>535</v>
      </c>
      <c r="I21" s="334"/>
      <c r="J21" s="266"/>
      <c r="K21" s="407"/>
      <c r="L21" s="1104"/>
      <c r="M21" s="1104"/>
      <c r="N21" s="1104"/>
      <c r="O21" s="1104"/>
      <c r="P21" s="1104"/>
      <c r="Q21" s="406"/>
      <c r="R21" s="409"/>
      <c r="S21" s="408"/>
      <c r="T21" s="246"/>
      <c r="U21" s="246"/>
      <c r="AQ21" s="404"/>
      <c r="AR21" s="404"/>
      <c r="AS21" s="404"/>
      <c r="AT21" s="404"/>
      <c r="AU21" s="404"/>
      <c r="AV21" s="404"/>
      <c r="AW21" s="404"/>
      <c r="AX21" s="404"/>
      <c r="AY21" s="404"/>
      <c r="AZ21" s="404"/>
      <c r="BA21" s="404"/>
      <c r="BB21" s="404"/>
      <c r="BC21" s="404"/>
      <c r="BD21" s="404"/>
    </row>
    <row r="22" spans="1:56" x14ac:dyDescent="0.45">
      <c r="A22" s="223"/>
      <c r="B22" s="730" t="s">
        <v>546</v>
      </c>
      <c r="C22" s="731"/>
      <c r="D22" s="730" t="s">
        <v>546</v>
      </c>
      <c r="E22" s="731"/>
      <c r="F22" s="730" t="s">
        <v>549</v>
      </c>
      <c r="G22" s="334"/>
      <c r="H22" s="334"/>
      <c r="I22" s="334"/>
      <c r="J22" s="266"/>
      <c r="K22" s="406"/>
      <c r="L22" s="407"/>
      <c r="M22" s="407"/>
      <c r="N22" s="407"/>
      <c r="O22" s="407"/>
      <c r="P22" s="410"/>
      <c r="Q22" s="410"/>
      <c r="R22" s="350"/>
      <c r="S22" s="408"/>
      <c r="T22" s="246"/>
      <c r="U22" s="246"/>
      <c r="AQ22" s="404"/>
      <c r="AR22" s="404"/>
      <c r="AS22" s="404"/>
      <c r="AT22" s="404"/>
      <c r="AU22" s="404"/>
      <c r="AV22" s="404"/>
      <c r="AW22" s="404"/>
      <c r="AX22" s="404"/>
      <c r="AY22" s="404"/>
      <c r="AZ22" s="404"/>
      <c r="BA22" s="404"/>
      <c r="BB22" s="404"/>
      <c r="BC22" s="404"/>
      <c r="BD22" s="404"/>
    </row>
    <row r="23" spans="1:56" ht="35.200000000000003" customHeight="1" x14ac:dyDescent="0.45">
      <c r="A23" s="223"/>
      <c r="B23" s="334"/>
      <c r="C23" s="334"/>
      <c r="D23" s="334"/>
      <c r="E23" s="334"/>
      <c r="F23" s="334"/>
      <c r="G23" s="334"/>
      <c r="H23" s="334"/>
      <c r="I23" s="334"/>
      <c r="J23" s="246"/>
      <c r="K23" s="411"/>
      <c r="L23" s="411"/>
      <c r="M23" s="407"/>
      <c r="N23" s="411"/>
      <c r="O23" s="407"/>
      <c r="P23" s="411"/>
      <c r="Q23" s="412"/>
      <c r="R23" s="411"/>
      <c r="S23" s="408"/>
      <c r="T23" s="246"/>
      <c r="U23" s="246"/>
      <c r="AQ23" s="404"/>
      <c r="AR23" s="404"/>
      <c r="AS23" s="404"/>
      <c r="AT23" s="404"/>
      <c r="AU23" s="404"/>
      <c r="AV23" s="404"/>
      <c r="AW23" s="404"/>
      <c r="AX23" s="404"/>
      <c r="AY23" s="404"/>
      <c r="AZ23" s="404"/>
      <c r="BA23" s="404"/>
      <c r="BB23" s="404"/>
      <c r="BC23" s="404"/>
      <c r="BD23" s="404"/>
    </row>
    <row r="24" spans="1:56" ht="15" customHeight="1" x14ac:dyDescent="0.45">
      <c r="A24" s="138"/>
      <c r="J24" s="246"/>
      <c r="K24" s="413"/>
      <c r="L24" s="414"/>
      <c r="M24" s="405"/>
      <c r="N24" s="414"/>
      <c r="O24" s="405"/>
      <c r="P24" s="415"/>
      <c r="Q24" s="416"/>
      <c r="R24" s="417"/>
      <c r="S24" s="407"/>
      <c r="T24" s="246"/>
      <c r="U24" s="246"/>
    </row>
    <row r="25" spans="1:56" ht="15" customHeight="1" x14ac:dyDescent="0.45">
      <c r="A25" s="138"/>
      <c r="J25" s="246"/>
      <c r="K25" s="413"/>
      <c r="L25" s="414"/>
      <c r="M25" s="405"/>
      <c r="N25" s="414"/>
      <c r="O25" s="405"/>
      <c r="P25" s="415"/>
      <c r="Q25" s="416"/>
      <c r="R25" s="417"/>
      <c r="S25" s="407"/>
      <c r="T25" s="246"/>
      <c r="U25" s="246"/>
    </row>
    <row r="26" spans="1:56" ht="15" customHeight="1" x14ac:dyDescent="0.45">
      <c r="A26" s="138"/>
      <c r="J26" s="246"/>
      <c r="K26" s="413"/>
      <c r="L26" s="414"/>
      <c r="M26" s="405"/>
      <c r="N26" s="414"/>
      <c r="O26" s="405"/>
      <c r="P26" s="415"/>
      <c r="Q26" s="416"/>
      <c r="R26" s="417"/>
      <c r="S26" s="407"/>
      <c r="T26" s="246"/>
      <c r="U26" s="246"/>
    </row>
    <row r="27" spans="1:56" ht="15" customHeight="1" x14ac:dyDescent="0.45">
      <c r="A27" s="138"/>
      <c r="J27" s="246"/>
      <c r="K27" s="413"/>
      <c r="L27" s="414"/>
      <c r="M27" s="405"/>
      <c r="N27" s="414"/>
      <c r="O27" s="405"/>
      <c r="P27" s="415"/>
      <c r="Q27" s="416"/>
      <c r="R27" s="417"/>
      <c r="S27" s="407"/>
      <c r="T27" s="246"/>
      <c r="U27" s="246"/>
    </row>
    <row r="28" spans="1:56" ht="15" customHeight="1" x14ac:dyDescent="0.45">
      <c r="A28" s="138"/>
      <c r="J28" s="246"/>
      <c r="K28" s="413"/>
      <c r="L28" s="414"/>
      <c r="M28" s="405"/>
      <c r="N28" s="414"/>
      <c r="O28" s="405"/>
      <c r="P28" s="415"/>
      <c r="Q28" s="416"/>
      <c r="R28" s="417"/>
      <c r="S28" s="407"/>
      <c r="T28" s="246"/>
      <c r="U28" s="246"/>
    </row>
    <row r="29" spans="1:56" ht="15" customHeight="1" x14ac:dyDescent="0.45">
      <c r="A29" s="138"/>
      <c r="J29" s="246"/>
      <c r="K29" s="413"/>
      <c r="L29" s="414"/>
      <c r="M29" s="405"/>
      <c r="N29" s="414"/>
      <c r="O29" s="405"/>
      <c r="P29" s="415"/>
      <c r="Q29" s="416"/>
      <c r="R29" s="417"/>
      <c r="S29" s="407"/>
      <c r="T29" s="246"/>
      <c r="U29" s="246"/>
    </row>
    <row r="30" spans="1:56" ht="15" customHeight="1" x14ac:dyDescent="0.45">
      <c r="A30" s="138"/>
      <c r="J30" s="246"/>
      <c r="K30" s="413"/>
      <c r="L30" s="414"/>
      <c r="M30" s="405"/>
      <c r="N30" s="414"/>
      <c r="O30" s="405"/>
      <c r="P30" s="415"/>
      <c r="Q30" s="416"/>
      <c r="R30" s="417"/>
      <c r="S30" s="407"/>
      <c r="T30" s="246"/>
      <c r="U30" s="246"/>
    </row>
    <row r="31" spans="1:56" ht="15" customHeight="1" x14ac:dyDescent="0.45">
      <c r="A31" s="138"/>
      <c r="B31" s="265"/>
      <c r="C31" s="265"/>
      <c r="D31" s="265"/>
      <c r="E31" s="265"/>
      <c r="F31" s="265"/>
      <c r="G31" s="265"/>
      <c r="H31" s="265"/>
      <c r="I31" s="265"/>
      <c r="J31" s="246"/>
      <c r="K31" s="413"/>
      <c r="L31" s="414"/>
      <c r="M31" s="405"/>
      <c r="N31" s="414"/>
      <c r="O31" s="405"/>
      <c r="P31" s="415"/>
      <c r="Q31" s="416"/>
      <c r="R31" s="417"/>
      <c r="S31" s="407"/>
      <c r="T31" s="246"/>
      <c r="U31" s="246"/>
    </row>
    <row r="32" spans="1:56" ht="15" customHeight="1" x14ac:dyDescent="0.45">
      <c r="A32" s="138"/>
      <c r="B32" s="138"/>
      <c r="C32" s="266"/>
      <c r="D32" s="354"/>
      <c r="E32" s="266"/>
      <c r="F32" s="266"/>
      <c r="G32" s="266"/>
      <c r="H32" s="418"/>
      <c r="I32" s="419"/>
      <c r="J32" s="246"/>
      <c r="K32" s="413"/>
      <c r="L32" s="414"/>
      <c r="M32" s="405"/>
      <c r="N32" s="414"/>
      <c r="O32" s="405"/>
      <c r="P32" s="415"/>
      <c r="Q32" s="416"/>
      <c r="R32" s="417"/>
      <c r="S32" s="407"/>
      <c r="T32" s="246"/>
      <c r="U32" s="246"/>
    </row>
    <row r="33" spans="1:23" ht="15" customHeight="1" x14ac:dyDescent="0.45">
      <c r="A33" s="138"/>
      <c r="B33" s="246"/>
      <c r="C33" s="420"/>
      <c r="D33" s="420"/>
      <c r="E33" s="420"/>
      <c r="F33" s="420"/>
      <c r="G33" s="420"/>
      <c r="H33" s="418"/>
      <c r="I33" s="246"/>
      <c r="J33" s="246"/>
      <c r="K33" s="413"/>
      <c r="L33" s="414"/>
      <c r="M33" s="405"/>
      <c r="N33" s="414"/>
      <c r="O33" s="405"/>
      <c r="P33" s="415"/>
      <c r="Q33" s="416"/>
      <c r="R33" s="417"/>
      <c r="S33" s="407"/>
      <c r="T33" s="246"/>
      <c r="U33" s="246"/>
      <c r="V33" s="244"/>
    </row>
    <row r="34" spans="1:23" ht="16.899999999999999" x14ac:dyDescent="0.45">
      <c r="A34" s="138"/>
      <c r="B34" s="421"/>
      <c r="C34" s="421"/>
      <c r="D34" s="421"/>
      <c r="E34" s="421"/>
      <c r="F34" s="421"/>
      <c r="G34" s="421"/>
      <c r="H34" s="355"/>
      <c r="I34" s="246"/>
      <c r="J34" s="265"/>
      <c r="K34" s="407"/>
      <c r="L34" s="407"/>
      <c r="M34" s="407"/>
      <c r="N34" s="407"/>
      <c r="O34" s="407"/>
      <c r="P34" s="407"/>
      <c r="Q34" s="407"/>
      <c r="R34" s="422"/>
      <c r="S34" s="407"/>
      <c r="T34" s="246"/>
      <c r="U34" s="246"/>
      <c r="V34" s="244"/>
    </row>
    <row r="35" spans="1:23" ht="18" customHeight="1" x14ac:dyDescent="0.45">
      <c r="A35" s="138"/>
      <c r="B35" s="423"/>
      <c r="C35" s="423"/>
      <c r="D35" s="423"/>
      <c r="E35" s="423"/>
      <c r="F35" s="423"/>
      <c r="G35" s="424"/>
      <c r="H35" s="425"/>
      <c r="I35" s="246"/>
      <c r="J35" s="266"/>
      <c r="K35" s="138"/>
      <c r="L35" s="138"/>
      <c r="M35" s="246"/>
      <c r="N35" s="246"/>
      <c r="O35" s="246"/>
      <c r="P35" s="246"/>
      <c r="Q35" s="246"/>
      <c r="R35" s="246"/>
      <c r="S35" s="246"/>
      <c r="T35" s="246"/>
      <c r="U35" s="246"/>
      <c r="V35" s="244"/>
    </row>
    <row r="36" spans="1:23" ht="15" customHeight="1" x14ac:dyDescent="0.45">
      <c r="A36" s="138"/>
      <c r="B36" s="138"/>
      <c r="C36" s="426"/>
      <c r="D36" s="426"/>
      <c r="E36" s="266"/>
      <c r="F36" s="266"/>
      <c r="G36" s="138"/>
      <c r="H36" s="427"/>
      <c r="I36" s="138"/>
      <c r="J36" s="266"/>
      <c r="K36" s="428"/>
      <c r="L36" s="138"/>
      <c r="M36" s="138"/>
      <c r="N36" s="138"/>
      <c r="O36" s="138"/>
      <c r="P36" s="349"/>
      <c r="Q36" s="138"/>
      <c r="R36" s="138"/>
      <c r="S36" s="138"/>
      <c r="T36" s="246"/>
      <c r="U36" s="246"/>
      <c r="V36" s="244"/>
      <c r="W36" s="244"/>
    </row>
    <row r="37" spans="1:23" ht="18" customHeight="1" x14ac:dyDescent="0.45">
      <c r="A37" s="138"/>
      <c r="B37" s="246"/>
      <c r="C37" s="348"/>
      <c r="D37" s="348"/>
      <c r="E37" s="348"/>
      <c r="F37" s="348"/>
      <c r="G37" s="348"/>
      <c r="H37" s="429"/>
      <c r="I37" s="246"/>
      <c r="J37" s="266"/>
      <c r="K37" s="138"/>
      <c r="L37" s="1104"/>
      <c r="M37" s="1104"/>
      <c r="N37" s="1104"/>
      <c r="O37" s="1104"/>
      <c r="P37" s="1104"/>
      <c r="Q37" s="138"/>
      <c r="R37" s="430"/>
      <c r="S37" s="138"/>
      <c r="T37" s="246"/>
      <c r="U37" s="246"/>
      <c r="V37" s="244"/>
      <c r="W37" s="244"/>
    </row>
    <row r="38" spans="1:23" ht="15.75" customHeight="1" x14ac:dyDescent="0.45">
      <c r="A38" s="138"/>
      <c r="B38" s="246"/>
      <c r="C38" s="431"/>
      <c r="D38" s="431"/>
      <c r="E38" s="431"/>
      <c r="F38" s="431"/>
      <c r="G38" s="431"/>
      <c r="H38" s="432"/>
      <c r="I38" s="246"/>
      <c r="J38" s="266"/>
      <c r="K38" s="428"/>
      <c r="L38" s="138"/>
      <c r="M38" s="138"/>
      <c r="N38" s="138"/>
      <c r="O38" s="138"/>
      <c r="P38" s="321"/>
      <c r="Q38" s="138"/>
      <c r="R38" s="433"/>
      <c r="S38" s="434"/>
      <c r="T38" s="246"/>
      <c r="U38" s="246"/>
      <c r="V38" s="244"/>
      <c r="W38" s="244"/>
    </row>
    <row r="39" spans="1:23" x14ac:dyDescent="0.45">
      <c r="A39" s="138"/>
      <c r="B39" s="435"/>
      <c r="C39" s="435"/>
      <c r="D39" s="435"/>
      <c r="E39" s="435"/>
      <c r="F39" s="435"/>
      <c r="G39" s="435"/>
      <c r="H39" s="436"/>
      <c r="I39" s="437"/>
      <c r="J39" s="266"/>
      <c r="K39" s="411"/>
      <c r="L39" s="411"/>
      <c r="M39" s="438"/>
      <c r="N39" s="411"/>
      <c r="O39" s="438"/>
      <c r="P39" s="411"/>
      <c r="Q39" s="411"/>
      <c r="R39" s="411"/>
      <c r="S39" s="434"/>
      <c r="T39" s="246"/>
      <c r="U39" s="246"/>
      <c r="V39" s="244"/>
      <c r="W39" s="244"/>
    </row>
    <row r="40" spans="1:23" x14ac:dyDescent="0.45">
      <c r="A40" s="138"/>
      <c r="B40" s="439"/>
      <c r="C40" s="440"/>
      <c r="D40" s="440"/>
      <c r="E40" s="440"/>
      <c r="F40" s="440"/>
      <c r="G40" s="440"/>
      <c r="H40" s="441"/>
      <c r="I40" s="246"/>
      <c r="J40" s="266"/>
      <c r="K40" s="442"/>
      <c r="L40" s="414"/>
      <c r="M40" s="443"/>
      <c r="N40" s="414"/>
      <c r="O40" s="444"/>
      <c r="P40" s="415"/>
      <c r="Q40" s="445"/>
      <c r="R40" s="417"/>
      <c r="S40" s="138"/>
      <c r="T40" s="246"/>
      <c r="U40" s="246"/>
      <c r="V40" s="244"/>
      <c r="W40" s="244"/>
    </row>
    <row r="41" spans="1:23" ht="16.5" customHeight="1" x14ac:dyDescent="0.45">
      <c r="A41" s="138"/>
      <c r="B41" s="138"/>
      <c r="C41" s="138"/>
      <c r="D41" s="138"/>
      <c r="E41" s="138"/>
      <c r="F41" s="138"/>
      <c r="G41" s="138"/>
      <c r="H41" s="138"/>
      <c r="I41" s="407"/>
      <c r="J41" s="431"/>
      <c r="K41" s="442"/>
      <c r="L41" s="414"/>
      <c r="M41" s="443"/>
      <c r="N41" s="414"/>
      <c r="O41" s="444"/>
      <c r="P41" s="415"/>
      <c r="Q41" s="445"/>
      <c r="R41" s="417"/>
      <c r="S41" s="138"/>
      <c r="T41" s="246"/>
      <c r="U41" s="246"/>
      <c r="V41" s="244"/>
      <c r="W41" s="244"/>
    </row>
    <row r="42" spans="1:23" ht="16.5" customHeight="1" x14ac:dyDescent="0.45">
      <c r="A42" s="138"/>
      <c r="B42" s="244"/>
      <c r="C42" s="244"/>
      <c r="D42" s="244"/>
      <c r="E42" s="244"/>
      <c r="F42" s="244"/>
      <c r="G42" s="244"/>
      <c r="H42" s="244"/>
      <c r="I42" s="244"/>
      <c r="J42" s="431"/>
      <c r="K42" s="442"/>
      <c r="L42" s="414"/>
      <c r="M42" s="443"/>
      <c r="N42" s="414"/>
      <c r="O42" s="444"/>
      <c r="P42" s="415"/>
      <c r="Q42" s="445"/>
      <c r="R42" s="417"/>
      <c r="S42" s="138"/>
      <c r="T42" s="246"/>
      <c r="U42" s="246"/>
      <c r="V42" s="244"/>
      <c r="W42" s="244"/>
    </row>
    <row r="43" spans="1:23" ht="16.5" customHeight="1" x14ac:dyDescent="0.45">
      <c r="A43" s="138"/>
      <c r="B43" s="244"/>
      <c r="C43" s="244"/>
      <c r="D43" s="244"/>
      <c r="E43" s="244"/>
      <c r="F43" s="244"/>
      <c r="G43" s="244"/>
      <c r="H43" s="244"/>
      <c r="I43" s="244"/>
      <c r="J43" s="138"/>
      <c r="K43" s="442"/>
      <c r="L43" s="414"/>
      <c r="M43" s="443"/>
      <c r="N43" s="414"/>
      <c r="O43" s="444"/>
      <c r="P43" s="415"/>
      <c r="Q43" s="445"/>
      <c r="R43" s="417"/>
      <c r="S43" s="138"/>
      <c r="T43" s="246"/>
      <c r="U43" s="246"/>
      <c r="V43" s="244"/>
      <c r="W43" s="244"/>
    </row>
    <row r="44" spans="1:23" ht="16.5" customHeight="1" x14ac:dyDescent="0.45">
      <c r="A44" s="138"/>
      <c r="B44" s="244"/>
      <c r="C44" s="244"/>
      <c r="D44" s="244"/>
      <c r="E44" s="244"/>
      <c r="F44" s="244"/>
      <c r="G44" s="244"/>
      <c r="H44" s="244"/>
      <c r="I44" s="244"/>
      <c r="J44" s="138"/>
      <c r="K44" s="442"/>
      <c r="L44" s="414"/>
      <c r="M44" s="443"/>
      <c r="N44" s="414"/>
      <c r="O44" s="444"/>
      <c r="P44" s="415"/>
      <c r="Q44" s="445"/>
      <c r="R44" s="417"/>
      <c r="S44" s="138"/>
      <c r="T44" s="246"/>
      <c r="U44" s="246"/>
      <c r="V44" s="244"/>
      <c r="W44" s="244"/>
    </row>
    <row r="45" spans="1:23" ht="16.5" customHeight="1" x14ac:dyDescent="0.45">
      <c r="A45" s="138"/>
      <c r="B45" s="244"/>
      <c r="C45" s="244"/>
      <c r="D45" s="244"/>
      <c r="E45" s="244"/>
      <c r="F45" s="244"/>
      <c r="G45" s="244"/>
      <c r="H45" s="244"/>
      <c r="I45" s="244"/>
      <c r="J45" s="138"/>
      <c r="K45" s="442"/>
      <c r="L45" s="414"/>
      <c r="M45" s="443"/>
      <c r="N45" s="414"/>
      <c r="O45" s="444"/>
      <c r="P45" s="415"/>
      <c r="Q45" s="445"/>
      <c r="R45" s="417"/>
      <c r="S45" s="138"/>
      <c r="T45" s="246"/>
      <c r="U45" s="246"/>
      <c r="V45" s="244"/>
      <c r="W45" s="244"/>
    </row>
    <row r="46" spans="1:23" ht="16.5" customHeight="1" x14ac:dyDescent="0.45">
      <c r="A46" s="138"/>
      <c r="B46" s="244"/>
      <c r="C46" s="244"/>
      <c r="D46" s="244"/>
      <c r="E46" s="244"/>
      <c r="F46" s="244"/>
      <c r="G46" s="244"/>
      <c r="H46" s="244"/>
      <c r="I46" s="244"/>
      <c r="J46" s="138"/>
      <c r="K46" s="442"/>
      <c r="L46" s="414"/>
      <c r="M46" s="443"/>
      <c r="N46" s="414"/>
      <c r="O46" s="444"/>
      <c r="P46" s="415"/>
      <c r="Q46" s="445"/>
      <c r="R46" s="417"/>
      <c r="S46" s="138"/>
      <c r="T46" s="246"/>
      <c r="U46" s="246"/>
      <c r="V46" s="244"/>
      <c r="W46" s="244"/>
    </row>
    <row r="47" spans="1:23" ht="16.5" customHeight="1" x14ac:dyDescent="0.45">
      <c r="A47" s="138"/>
      <c r="B47" s="244"/>
      <c r="C47" s="244"/>
      <c r="D47" s="244"/>
      <c r="E47" s="244"/>
      <c r="F47" s="244"/>
      <c r="G47" s="244"/>
      <c r="H47" s="244"/>
      <c r="I47" s="244"/>
      <c r="J47" s="138"/>
      <c r="K47" s="442"/>
      <c r="L47" s="414"/>
      <c r="M47" s="443"/>
      <c r="N47" s="414"/>
      <c r="O47" s="444"/>
      <c r="P47" s="415"/>
      <c r="Q47" s="445"/>
      <c r="R47" s="417"/>
      <c r="S47" s="138"/>
      <c r="T47" s="246"/>
      <c r="U47" s="246"/>
      <c r="V47" s="244"/>
      <c r="W47" s="244"/>
    </row>
    <row r="48" spans="1:23" ht="16.5" customHeight="1" x14ac:dyDescent="0.45">
      <c r="A48" s="138"/>
      <c r="B48" s="244"/>
      <c r="C48" s="244"/>
      <c r="D48" s="244"/>
      <c r="E48" s="244"/>
      <c r="F48" s="244"/>
      <c r="G48" s="244"/>
      <c r="H48" s="244"/>
      <c r="I48" s="244"/>
      <c r="J48" s="138"/>
      <c r="K48" s="442"/>
      <c r="L48" s="414"/>
      <c r="M48" s="443"/>
      <c r="N48" s="414"/>
      <c r="O48" s="444"/>
      <c r="P48" s="415"/>
      <c r="Q48" s="445"/>
      <c r="R48" s="417"/>
      <c r="S48" s="138"/>
      <c r="T48" s="246"/>
      <c r="U48" s="246"/>
      <c r="V48" s="244"/>
      <c r="W48" s="244"/>
    </row>
    <row r="49" spans="1:23" ht="16.5" customHeight="1" x14ac:dyDescent="0.45">
      <c r="A49" s="244"/>
      <c r="B49" s="244"/>
      <c r="C49" s="244"/>
      <c r="D49" s="244"/>
      <c r="E49" s="244"/>
      <c r="F49" s="244"/>
      <c r="G49" s="244"/>
      <c r="H49" s="244"/>
      <c r="I49" s="244"/>
      <c r="J49" s="138"/>
      <c r="K49" s="442"/>
      <c r="L49" s="414"/>
      <c r="M49" s="443"/>
      <c r="N49" s="414"/>
      <c r="O49" s="444"/>
      <c r="P49" s="415"/>
      <c r="Q49" s="445"/>
      <c r="R49" s="417"/>
      <c r="S49" s="138"/>
      <c r="T49" s="246"/>
      <c r="U49" s="246"/>
      <c r="V49" s="244"/>
      <c r="W49" s="244"/>
    </row>
    <row r="50" spans="1:23" ht="15" customHeight="1" x14ac:dyDescent="0.45">
      <c r="A50" s="244"/>
      <c r="J50" s="138"/>
      <c r="K50" s="138"/>
      <c r="L50" s="138"/>
      <c r="M50" s="138"/>
      <c r="N50" s="138"/>
      <c r="O50" s="138"/>
      <c r="P50" s="138"/>
      <c r="Q50" s="138"/>
      <c r="R50" s="138"/>
      <c r="S50" s="138"/>
      <c r="T50" s="246"/>
      <c r="U50" s="246"/>
      <c r="V50" s="244"/>
      <c r="W50" s="244"/>
    </row>
    <row r="51" spans="1:23" x14ac:dyDescent="0.45">
      <c r="A51" s="244"/>
      <c r="J51" s="138"/>
      <c r="K51" s="138"/>
      <c r="L51" s="138"/>
      <c r="M51" s="246"/>
      <c r="N51" s="246"/>
      <c r="O51" s="246"/>
      <c r="P51" s="246"/>
      <c r="Q51" s="246"/>
      <c r="R51" s="246"/>
      <c r="S51" s="246"/>
      <c r="T51" s="246"/>
      <c r="U51" s="246"/>
      <c r="V51" s="244"/>
      <c r="W51" s="244"/>
    </row>
    <row r="52" spans="1:23" x14ac:dyDescent="0.45">
      <c r="A52" s="244"/>
      <c r="J52" s="138"/>
      <c r="K52" s="138"/>
      <c r="L52" s="138"/>
      <c r="M52" s="138"/>
      <c r="N52" s="138"/>
      <c r="O52" s="138"/>
      <c r="P52" s="138"/>
      <c r="Q52" s="138"/>
      <c r="R52" s="446"/>
      <c r="S52" s="138"/>
      <c r="T52" s="246"/>
      <c r="U52" s="246"/>
      <c r="V52" s="244"/>
      <c r="W52" s="244"/>
    </row>
    <row r="53" spans="1:23" x14ac:dyDescent="0.45">
      <c r="A53" s="244"/>
      <c r="J53" s="246"/>
      <c r="K53" s="138"/>
      <c r="L53" s="1104"/>
      <c r="M53" s="1104"/>
      <c r="N53" s="1104"/>
      <c r="O53" s="1104"/>
      <c r="P53" s="1104"/>
      <c r="Q53" s="138"/>
      <c r="R53" s="430"/>
      <c r="S53" s="138"/>
      <c r="T53" s="246"/>
      <c r="U53" s="246"/>
      <c r="V53" s="244"/>
      <c r="W53" s="244"/>
    </row>
    <row r="54" spans="1:23" ht="15.75" x14ac:dyDescent="0.45">
      <c r="A54" s="244"/>
      <c r="J54" s="246"/>
      <c r="K54" s="138"/>
      <c r="L54" s="138"/>
      <c r="M54" s="138"/>
      <c r="N54" s="138"/>
      <c r="O54" s="138"/>
      <c r="P54" s="138"/>
      <c r="Q54" s="138"/>
      <c r="R54" s="447"/>
      <c r="S54" s="138"/>
      <c r="T54" s="246"/>
      <c r="U54" s="246"/>
      <c r="V54" s="244"/>
      <c r="W54" s="244"/>
    </row>
    <row r="55" spans="1:23" x14ac:dyDescent="0.45">
      <c r="A55" s="244"/>
      <c r="J55" s="246"/>
      <c r="K55" s="411"/>
      <c r="L55" s="411"/>
      <c r="M55" s="438"/>
      <c r="N55" s="411"/>
      <c r="O55" s="438"/>
      <c r="P55" s="411"/>
      <c r="Q55" s="411"/>
      <c r="R55" s="411"/>
      <c r="S55" s="138"/>
      <c r="T55" s="246"/>
      <c r="U55" s="246"/>
      <c r="V55" s="244"/>
      <c r="W55" s="244"/>
    </row>
    <row r="56" spans="1:23" ht="17.25" customHeight="1" x14ac:dyDescent="0.45">
      <c r="A56" s="244"/>
      <c r="J56" s="246"/>
      <c r="K56" s="442"/>
      <c r="L56" s="414"/>
      <c r="M56" s="448"/>
      <c r="N56" s="449"/>
      <c r="O56" s="444"/>
      <c r="P56" s="415"/>
      <c r="Q56" s="445"/>
      <c r="R56" s="417"/>
      <c r="S56" s="138"/>
      <c r="T56" s="246"/>
      <c r="U56" s="246"/>
      <c r="V56" s="244"/>
      <c r="W56" s="244"/>
    </row>
    <row r="57" spans="1:23" x14ac:dyDescent="0.45">
      <c r="A57" s="244"/>
      <c r="J57" s="246"/>
      <c r="K57" s="442"/>
      <c r="L57" s="414"/>
      <c r="M57" s="448"/>
      <c r="N57" s="449"/>
      <c r="O57" s="444"/>
      <c r="P57" s="415"/>
      <c r="Q57" s="445"/>
      <c r="R57" s="417"/>
      <c r="S57" s="138"/>
      <c r="T57" s="246"/>
      <c r="U57" s="246"/>
      <c r="V57" s="244"/>
      <c r="W57" s="244"/>
    </row>
    <row r="58" spans="1:23" x14ac:dyDescent="0.45">
      <c r="A58" s="244"/>
      <c r="J58" s="246"/>
      <c r="K58" s="442"/>
      <c r="L58" s="414"/>
      <c r="M58" s="448"/>
      <c r="N58" s="449"/>
      <c r="O58" s="444"/>
      <c r="P58" s="415"/>
      <c r="Q58" s="445"/>
      <c r="R58" s="417"/>
      <c r="S58" s="138"/>
      <c r="T58" s="246"/>
      <c r="U58" s="246"/>
      <c r="V58" s="244"/>
      <c r="W58" s="244"/>
    </row>
    <row r="59" spans="1:23" x14ac:dyDescent="0.45">
      <c r="A59" s="244"/>
      <c r="J59" s="246"/>
      <c r="K59" s="442"/>
      <c r="L59" s="414"/>
      <c r="M59" s="448"/>
      <c r="N59" s="449"/>
      <c r="O59" s="444"/>
      <c r="P59" s="415"/>
      <c r="Q59" s="445"/>
      <c r="R59" s="417"/>
      <c r="S59" s="138"/>
      <c r="T59" s="246"/>
      <c r="U59" s="246"/>
    </row>
    <row r="60" spans="1:23" x14ac:dyDescent="0.45">
      <c r="A60" s="244"/>
      <c r="J60" s="246"/>
      <c r="K60" s="442"/>
      <c r="L60" s="414"/>
      <c r="M60" s="448"/>
      <c r="N60" s="449"/>
      <c r="O60" s="444"/>
      <c r="P60" s="415"/>
      <c r="Q60" s="445"/>
      <c r="R60" s="417"/>
      <c r="S60" s="138"/>
      <c r="T60" s="246"/>
      <c r="U60" s="246"/>
    </row>
    <row r="61" spans="1:23" x14ac:dyDescent="0.45">
      <c r="A61" s="244"/>
      <c r="J61" s="246"/>
      <c r="K61" s="442"/>
      <c r="L61" s="414"/>
      <c r="M61" s="448"/>
      <c r="N61" s="449"/>
      <c r="O61" s="444"/>
      <c r="P61" s="415"/>
      <c r="Q61" s="445"/>
      <c r="R61" s="417"/>
      <c r="S61" s="138"/>
      <c r="T61" s="246"/>
      <c r="U61" s="246"/>
    </row>
    <row r="62" spans="1:23" x14ac:dyDescent="0.45">
      <c r="A62" s="244"/>
      <c r="J62" s="246"/>
      <c r="K62" s="442"/>
      <c r="L62" s="414"/>
      <c r="M62" s="448"/>
      <c r="N62" s="449"/>
      <c r="O62" s="444"/>
      <c r="P62" s="415"/>
      <c r="Q62" s="445"/>
      <c r="R62" s="417"/>
      <c r="S62" s="138"/>
      <c r="T62" s="246"/>
      <c r="U62" s="138"/>
    </row>
    <row r="63" spans="1:23" x14ac:dyDescent="0.45">
      <c r="A63" s="244"/>
      <c r="J63" s="246"/>
      <c r="K63" s="442"/>
      <c r="L63" s="414"/>
      <c r="M63" s="448"/>
      <c r="N63" s="449"/>
      <c r="O63" s="444"/>
      <c r="P63" s="415"/>
      <c r="Q63" s="445"/>
      <c r="R63" s="417"/>
      <c r="S63" s="138"/>
      <c r="T63" s="246"/>
      <c r="U63" s="246"/>
    </row>
    <row r="64" spans="1:23" x14ac:dyDescent="0.45">
      <c r="A64" s="244"/>
      <c r="J64" s="246"/>
      <c r="K64" s="442"/>
      <c r="L64" s="414"/>
      <c r="M64" s="448"/>
      <c r="N64" s="449"/>
      <c r="O64" s="444"/>
      <c r="P64" s="415"/>
      <c r="Q64" s="445"/>
      <c r="R64" s="417"/>
      <c r="S64" s="138"/>
      <c r="T64" s="246"/>
      <c r="U64" s="246"/>
    </row>
    <row r="65" spans="1:21" x14ac:dyDescent="0.45">
      <c r="A65" s="244"/>
      <c r="J65" s="246"/>
      <c r="K65" s="442"/>
      <c r="L65" s="414"/>
      <c r="M65" s="448"/>
      <c r="N65" s="449"/>
      <c r="O65" s="444"/>
      <c r="P65" s="415"/>
      <c r="Q65" s="445"/>
      <c r="R65" s="417"/>
      <c r="S65" s="138"/>
      <c r="T65" s="138"/>
      <c r="U65" s="246"/>
    </row>
    <row r="66" spans="1:21" ht="15" customHeight="1" x14ac:dyDescent="0.45">
      <c r="A66" s="244"/>
      <c r="J66" s="246"/>
      <c r="K66" s="138"/>
      <c r="L66" s="138"/>
      <c r="M66" s="138"/>
      <c r="N66" s="450"/>
      <c r="O66" s="138"/>
      <c r="P66" s="138"/>
      <c r="Q66" s="138"/>
      <c r="R66" s="422"/>
      <c r="S66" s="138"/>
      <c r="T66" s="246"/>
      <c r="U66" s="246"/>
    </row>
    <row r="67" spans="1:21" x14ac:dyDescent="0.45">
      <c r="A67" s="244"/>
      <c r="J67" s="246"/>
      <c r="K67" s="138"/>
      <c r="L67" s="451"/>
      <c r="M67" s="452"/>
      <c r="N67" s="452"/>
      <c r="O67" s="452"/>
      <c r="P67" s="452"/>
      <c r="Q67" s="452"/>
      <c r="R67" s="452"/>
      <c r="S67" s="138"/>
      <c r="T67" s="246"/>
      <c r="U67" s="246"/>
    </row>
    <row r="68" spans="1:21" x14ac:dyDescent="0.45">
      <c r="A68" s="244"/>
      <c r="J68" s="246"/>
      <c r="K68" s="138"/>
      <c r="L68" s="452"/>
      <c r="M68" s="452"/>
      <c r="N68" s="452"/>
      <c r="O68" s="452"/>
      <c r="P68" s="452"/>
      <c r="Q68" s="452"/>
      <c r="R68" s="452"/>
      <c r="S68" s="453"/>
      <c r="T68" s="246"/>
      <c r="U68" s="246"/>
    </row>
    <row r="69" spans="1:21" x14ac:dyDescent="0.45">
      <c r="A69" s="244"/>
      <c r="J69" s="246"/>
      <c r="K69" s="138"/>
      <c r="L69" s="452"/>
      <c r="M69" s="452"/>
      <c r="N69" s="452"/>
      <c r="O69" s="452"/>
      <c r="P69" s="452"/>
      <c r="Q69" s="452"/>
      <c r="R69" s="452"/>
      <c r="S69" s="319"/>
      <c r="T69" s="246"/>
      <c r="U69" s="246"/>
    </row>
    <row r="70" spans="1:21" x14ac:dyDescent="0.45">
      <c r="A70" s="244"/>
      <c r="J70" s="246"/>
      <c r="K70" s="138"/>
      <c r="L70" s="138"/>
      <c r="M70" s="138"/>
      <c r="N70" s="138"/>
      <c r="O70" s="138"/>
      <c r="P70" s="138"/>
      <c r="Q70" s="138"/>
      <c r="R70" s="138"/>
      <c r="S70" s="138"/>
      <c r="T70" s="246"/>
      <c r="U70" s="246"/>
    </row>
    <row r="71" spans="1:21" x14ac:dyDescent="0.45">
      <c r="A71" s="244"/>
      <c r="J71" s="246"/>
      <c r="K71" s="246"/>
      <c r="L71" s="138"/>
      <c r="M71" s="246"/>
      <c r="N71" s="246"/>
      <c r="O71" s="246"/>
      <c r="P71" s="246"/>
      <c r="Q71" s="246"/>
      <c r="R71" s="246"/>
      <c r="S71" s="246"/>
      <c r="T71" s="246"/>
      <c r="U71" s="246"/>
    </row>
    <row r="72" spans="1:21" x14ac:dyDescent="0.45">
      <c r="A72" s="244"/>
      <c r="J72" s="246"/>
      <c r="K72" s="138"/>
      <c r="L72" s="138"/>
      <c r="M72" s="138"/>
      <c r="N72" s="138"/>
      <c r="O72" s="138"/>
      <c r="P72" s="138"/>
      <c r="Q72" s="138"/>
      <c r="R72" s="138"/>
      <c r="S72" s="138"/>
      <c r="T72" s="138"/>
      <c r="U72" s="246"/>
    </row>
    <row r="73" spans="1:21" x14ac:dyDescent="0.45">
      <c r="A73" s="244"/>
      <c r="J73" s="246"/>
      <c r="K73" s="138"/>
      <c r="L73" s="454"/>
      <c r="M73" s="454"/>
      <c r="N73" s="454"/>
      <c r="O73" s="454"/>
      <c r="P73" s="454"/>
      <c r="Q73" s="138"/>
      <c r="R73" s="138"/>
      <c r="S73" s="138"/>
      <c r="T73" s="138"/>
      <c r="U73" s="246"/>
    </row>
    <row r="74" spans="1:21" x14ac:dyDescent="0.45">
      <c r="A74" s="244"/>
      <c r="J74" s="246"/>
      <c r="K74" s="138"/>
      <c r="L74" s="138"/>
      <c r="M74" s="138"/>
      <c r="N74" s="138"/>
      <c r="O74" s="138"/>
      <c r="P74" s="138"/>
      <c r="Q74" s="138"/>
      <c r="R74" s="138"/>
      <c r="S74" s="138"/>
      <c r="T74" s="138"/>
      <c r="U74" s="246"/>
    </row>
    <row r="75" spans="1:21" x14ac:dyDescent="0.45">
      <c r="A75" s="244"/>
      <c r="J75" s="246"/>
      <c r="K75" s="411"/>
      <c r="L75" s="411"/>
      <c r="M75" s="438"/>
      <c r="N75" s="411"/>
      <c r="O75" s="438"/>
      <c r="P75" s="411"/>
      <c r="Q75" s="455"/>
      <c r="R75" s="411"/>
      <c r="S75" s="455"/>
      <c r="T75" s="411"/>
      <c r="U75" s="246"/>
    </row>
    <row r="76" spans="1:21" x14ac:dyDescent="0.45">
      <c r="A76" s="244"/>
      <c r="J76" s="246"/>
      <c r="K76" s="442"/>
      <c r="L76" s="414"/>
      <c r="M76" s="448"/>
      <c r="N76" s="414"/>
      <c r="O76" s="448"/>
      <c r="P76" s="414"/>
      <c r="Q76" s="321"/>
      <c r="R76" s="414"/>
      <c r="S76" s="321"/>
      <c r="T76" s="414"/>
      <c r="U76" s="246"/>
    </row>
    <row r="77" spans="1:21" x14ac:dyDescent="0.45">
      <c r="A77" s="244"/>
      <c r="J77" s="246"/>
      <c r="K77" s="442"/>
      <c r="L77" s="414"/>
      <c r="M77" s="448"/>
      <c r="N77" s="414"/>
      <c r="O77" s="448"/>
      <c r="P77" s="414"/>
      <c r="Q77" s="456"/>
      <c r="R77" s="414"/>
      <c r="S77" s="456"/>
      <c r="T77" s="414"/>
      <c r="U77" s="246"/>
    </row>
    <row r="78" spans="1:21" ht="16.5" customHeight="1" x14ac:dyDescent="0.45">
      <c r="A78" s="244"/>
      <c r="J78" s="246"/>
      <c r="K78" s="442"/>
      <c r="L78" s="414"/>
      <c r="M78" s="448"/>
      <c r="N78" s="414"/>
      <c r="O78" s="448"/>
      <c r="P78" s="414"/>
      <c r="Q78" s="456"/>
      <c r="R78" s="414"/>
      <c r="S78" s="456"/>
      <c r="T78" s="414"/>
      <c r="U78" s="246"/>
    </row>
    <row r="79" spans="1:21" x14ac:dyDescent="0.45">
      <c r="A79" s="244"/>
      <c r="J79" s="246"/>
      <c r="K79" s="442"/>
      <c r="L79" s="414"/>
      <c r="M79" s="448"/>
      <c r="N79" s="414"/>
      <c r="O79" s="448"/>
      <c r="P79" s="414"/>
      <c r="Q79" s="444"/>
      <c r="R79" s="414"/>
      <c r="S79" s="444"/>
      <c r="T79" s="414"/>
      <c r="U79" s="246"/>
    </row>
    <row r="80" spans="1:21" ht="15" customHeight="1" x14ac:dyDescent="0.45">
      <c r="A80" s="244"/>
      <c r="J80" s="246"/>
      <c r="K80" s="442"/>
      <c r="L80" s="414"/>
      <c r="M80" s="448"/>
      <c r="N80" s="414"/>
      <c r="O80" s="448"/>
      <c r="P80" s="414"/>
      <c r="Q80" s="444"/>
      <c r="R80" s="414"/>
      <c r="S80" s="444"/>
      <c r="T80" s="414"/>
      <c r="U80" s="246"/>
    </row>
    <row r="81" spans="1:21" x14ac:dyDescent="0.45">
      <c r="A81" s="244"/>
      <c r="B81" s="244"/>
      <c r="C81" s="244"/>
      <c r="D81" s="244"/>
      <c r="E81" s="244"/>
      <c r="F81" s="244"/>
      <c r="G81" s="244"/>
      <c r="H81" s="244"/>
      <c r="I81" s="244"/>
      <c r="J81" s="246"/>
      <c r="K81" s="442"/>
      <c r="L81" s="414"/>
      <c r="M81" s="448"/>
      <c r="N81" s="414"/>
      <c r="O81" s="448"/>
      <c r="P81" s="414"/>
      <c r="Q81" s="444"/>
      <c r="R81" s="414"/>
      <c r="S81" s="444"/>
      <c r="T81" s="414"/>
      <c r="U81" s="246"/>
    </row>
    <row r="82" spans="1:21" ht="15" customHeight="1" x14ac:dyDescent="0.45">
      <c r="A82" s="244"/>
      <c r="J82" s="246"/>
      <c r="K82" s="442"/>
      <c r="L82" s="414"/>
      <c r="M82" s="448"/>
      <c r="N82" s="414"/>
      <c r="O82" s="448"/>
      <c r="P82" s="414"/>
      <c r="Q82" s="444"/>
      <c r="R82" s="414"/>
      <c r="S82" s="444"/>
      <c r="T82" s="414"/>
      <c r="U82" s="246"/>
    </row>
    <row r="83" spans="1:21" ht="15" customHeight="1" x14ac:dyDescent="0.45">
      <c r="A83" s="244"/>
      <c r="J83" s="246"/>
      <c r="K83" s="442"/>
      <c r="L83" s="414"/>
      <c r="M83" s="448"/>
      <c r="N83" s="414"/>
      <c r="O83" s="448"/>
      <c r="P83" s="414"/>
      <c r="Q83" s="444"/>
      <c r="R83" s="414"/>
      <c r="S83" s="444"/>
      <c r="T83" s="414"/>
      <c r="U83" s="246"/>
    </row>
    <row r="84" spans="1:21" x14ac:dyDescent="0.45">
      <c r="A84" s="244"/>
      <c r="J84" s="138"/>
      <c r="K84" s="442"/>
      <c r="L84" s="414"/>
      <c r="M84" s="448"/>
      <c r="N84" s="414"/>
      <c r="O84" s="448"/>
      <c r="P84" s="414"/>
      <c r="Q84" s="444"/>
      <c r="R84" s="414"/>
      <c r="S84" s="444"/>
      <c r="T84" s="414"/>
      <c r="U84" s="246"/>
    </row>
    <row r="85" spans="1:21" x14ac:dyDescent="0.45">
      <c r="A85" s="244"/>
      <c r="J85" s="246"/>
      <c r="K85" s="442"/>
      <c r="L85" s="414"/>
      <c r="M85" s="448"/>
      <c r="N85" s="414"/>
      <c r="O85" s="448"/>
      <c r="P85" s="414"/>
      <c r="Q85" s="444"/>
      <c r="R85" s="414"/>
      <c r="S85" s="444"/>
      <c r="T85" s="414"/>
      <c r="U85" s="246"/>
    </row>
    <row r="86" spans="1:21" x14ac:dyDescent="0.45">
      <c r="A86" s="244"/>
      <c r="J86" s="246"/>
      <c r="K86" s="442"/>
      <c r="L86" s="414"/>
      <c r="M86" s="448"/>
      <c r="N86" s="414"/>
      <c r="O86" s="448"/>
      <c r="P86" s="414"/>
      <c r="Q86" s="444"/>
      <c r="R86" s="414"/>
      <c r="S86" s="444"/>
      <c r="T86" s="414"/>
      <c r="U86" s="246"/>
    </row>
    <row r="87" spans="1:21" x14ac:dyDescent="0.45">
      <c r="A87" s="244"/>
      <c r="J87" s="246"/>
      <c r="K87" s="442"/>
      <c r="L87" s="414"/>
      <c r="M87" s="448"/>
      <c r="N87" s="414"/>
      <c r="O87" s="448"/>
      <c r="P87" s="414"/>
      <c r="Q87" s="444"/>
      <c r="R87" s="414"/>
      <c r="S87" s="444"/>
      <c r="T87" s="414"/>
      <c r="U87" s="246"/>
    </row>
    <row r="88" spans="1:21" x14ac:dyDescent="0.45">
      <c r="A88" s="244"/>
      <c r="J88" s="246"/>
      <c r="K88" s="442"/>
      <c r="L88" s="414"/>
      <c r="M88" s="448"/>
      <c r="N88" s="414"/>
      <c r="O88" s="448"/>
      <c r="P88" s="414"/>
      <c r="Q88" s="444"/>
      <c r="R88" s="414"/>
      <c r="S88" s="444"/>
      <c r="T88" s="414"/>
      <c r="U88" s="246"/>
    </row>
    <row r="89" spans="1:21" x14ac:dyDescent="0.45">
      <c r="A89" s="244"/>
      <c r="J89" s="246"/>
      <c r="K89" s="442"/>
      <c r="L89" s="414"/>
      <c r="M89" s="448"/>
      <c r="N89" s="414"/>
      <c r="O89" s="448"/>
      <c r="P89" s="414"/>
      <c r="Q89" s="444"/>
      <c r="R89" s="414"/>
      <c r="S89" s="444"/>
      <c r="T89" s="414"/>
      <c r="U89" s="246"/>
    </row>
    <row r="90" spans="1:21" x14ac:dyDescent="0.45">
      <c r="A90" s="244"/>
      <c r="J90" s="246"/>
      <c r="K90" s="442"/>
      <c r="L90" s="414"/>
      <c r="M90" s="448"/>
      <c r="N90" s="414"/>
      <c r="O90" s="448"/>
      <c r="P90" s="414"/>
      <c r="Q90" s="444"/>
      <c r="R90" s="414"/>
      <c r="S90" s="444"/>
      <c r="T90" s="414"/>
      <c r="U90" s="246"/>
    </row>
    <row r="91" spans="1:21" x14ac:dyDescent="0.45">
      <c r="A91" s="244"/>
      <c r="J91" s="246"/>
      <c r="K91" s="442"/>
      <c r="L91" s="414"/>
      <c r="M91" s="448"/>
      <c r="N91" s="414"/>
      <c r="O91" s="448"/>
      <c r="P91" s="414"/>
      <c r="Q91" s="444"/>
      <c r="R91" s="414"/>
      <c r="S91" s="444"/>
      <c r="T91" s="414"/>
      <c r="U91" s="246"/>
    </row>
    <row r="92" spans="1:21" x14ac:dyDescent="0.45">
      <c r="A92" s="244"/>
      <c r="J92" s="246"/>
      <c r="K92" s="442"/>
      <c r="L92" s="414"/>
      <c r="M92" s="448"/>
      <c r="N92" s="414"/>
      <c r="O92" s="448"/>
      <c r="P92" s="414"/>
      <c r="Q92" s="444"/>
      <c r="R92" s="414"/>
      <c r="S92" s="444"/>
      <c r="T92" s="414"/>
      <c r="U92" s="246"/>
    </row>
    <row r="93" spans="1:21" x14ac:dyDescent="0.45">
      <c r="A93" s="244"/>
      <c r="J93" s="246"/>
      <c r="K93" s="442"/>
      <c r="L93" s="414"/>
      <c r="M93" s="448"/>
      <c r="N93" s="414"/>
      <c r="O93" s="448"/>
      <c r="P93" s="414"/>
      <c r="Q93" s="444"/>
      <c r="R93" s="414"/>
      <c r="S93" s="444"/>
      <c r="T93" s="414"/>
      <c r="U93" s="246"/>
    </row>
    <row r="94" spans="1:21" x14ac:dyDescent="0.45">
      <c r="A94" s="244"/>
      <c r="J94" s="246"/>
      <c r="K94" s="442"/>
      <c r="L94" s="414"/>
      <c r="M94" s="448"/>
      <c r="N94" s="414"/>
      <c r="O94" s="448"/>
      <c r="P94" s="414"/>
      <c r="Q94" s="444"/>
      <c r="R94" s="414"/>
      <c r="S94" s="444"/>
      <c r="T94" s="414"/>
      <c r="U94" s="246"/>
    </row>
    <row r="95" spans="1:21" x14ac:dyDescent="0.45">
      <c r="A95" s="244"/>
      <c r="J95" s="246"/>
      <c r="K95" s="442"/>
      <c r="L95" s="414"/>
      <c r="M95" s="448"/>
      <c r="N95" s="414"/>
      <c r="O95" s="448"/>
      <c r="P95" s="414"/>
      <c r="Q95" s="444"/>
      <c r="R95" s="414"/>
      <c r="S95" s="444"/>
      <c r="T95" s="414"/>
      <c r="U95" s="246"/>
    </row>
    <row r="96" spans="1:21" x14ac:dyDescent="0.45">
      <c r="A96" s="244"/>
      <c r="J96" s="246"/>
      <c r="K96" s="457"/>
      <c r="L96" s="445"/>
      <c r="M96" s="444"/>
      <c r="N96" s="444"/>
      <c r="O96" s="1103"/>
      <c r="P96" s="1103"/>
      <c r="Q96" s="1103"/>
      <c r="R96" s="445"/>
      <c r="S96" s="444"/>
      <c r="T96" s="445"/>
      <c r="U96" s="246"/>
    </row>
    <row r="97" spans="1:21" ht="15" customHeight="1" x14ac:dyDescent="0.45">
      <c r="A97" s="244"/>
      <c r="J97" s="246"/>
      <c r="K97" s="458"/>
      <c r="L97" s="458"/>
      <c r="M97" s="458"/>
      <c r="N97" s="458"/>
      <c r="O97" s="1103"/>
      <c r="P97" s="1103"/>
      <c r="Q97" s="1103"/>
      <c r="R97" s="459"/>
      <c r="S97" s="458"/>
      <c r="T97" s="459"/>
      <c r="U97" s="246"/>
    </row>
    <row r="98" spans="1:21" x14ac:dyDescent="0.45">
      <c r="A98" s="244"/>
      <c r="J98" s="246"/>
      <c r="K98" s="246"/>
      <c r="L98" s="246"/>
      <c r="M98" s="246"/>
      <c r="N98" s="246"/>
      <c r="O98" s="246"/>
      <c r="P98" s="246"/>
      <c r="Q98" s="246"/>
      <c r="R98" s="246"/>
      <c r="S98" s="246"/>
      <c r="T98" s="246"/>
      <c r="U98" s="246"/>
    </row>
    <row r="99" spans="1:21" x14ac:dyDescent="0.45">
      <c r="A99" s="244"/>
    </row>
    <row r="100" spans="1:21" ht="15.75" customHeight="1" x14ac:dyDescent="0.45">
      <c r="A100" s="244"/>
    </row>
    <row r="101" spans="1:21" x14ac:dyDescent="0.45">
      <c r="A101" s="244"/>
      <c r="B101" s="244"/>
      <c r="C101" s="244"/>
      <c r="D101" s="244"/>
      <c r="E101" s="244"/>
      <c r="F101" s="244"/>
      <c r="G101" s="244"/>
      <c r="H101" s="244"/>
      <c r="I101" s="244"/>
      <c r="J101" s="244"/>
      <c r="K101" s="244"/>
      <c r="L101" s="244"/>
      <c r="M101" s="244"/>
      <c r="N101" s="244"/>
      <c r="O101" s="244"/>
      <c r="P101" s="244"/>
      <c r="Q101" s="244"/>
      <c r="R101" s="244"/>
      <c r="S101" s="244"/>
      <c r="T101" s="244"/>
      <c r="U101" s="244"/>
    </row>
    <row r="102" spans="1:21" x14ac:dyDescent="0.45">
      <c r="A102" s="244"/>
      <c r="B102" s="244"/>
      <c r="C102" s="244"/>
      <c r="D102" s="244"/>
      <c r="E102" s="244"/>
      <c r="F102" s="244"/>
      <c r="G102" s="244"/>
      <c r="H102" s="244"/>
      <c r="I102" s="244"/>
      <c r="J102" s="244"/>
      <c r="K102" s="244"/>
      <c r="L102" s="244"/>
      <c r="M102" s="244"/>
      <c r="N102" s="244"/>
      <c r="O102" s="244"/>
      <c r="P102" s="244"/>
      <c r="Q102" s="244"/>
      <c r="R102" s="244"/>
      <c r="S102" s="244"/>
      <c r="T102" s="244"/>
      <c r="U102" s="244"/>
    </row>
    <row r="103" spans="1:21" x14ac:dyDescent="0.45">
      <c r="A103" s="244"/>
      <c r="B103" s="244"/>
      <c r="C103" s="244"/>
      <c r="D103" s="244"/>
      <c r="E103" s="244"/>
      <c r="F103" s="244"/>
      <c r="G103" s="244"/>
      <c r="H103" s="244"/>
      <c r="I103" s="244"/>
      <c r="J103" s="244"/>
      <c r="K103" s="244"/>
      <c r="L103" s="244"/>
      <c r="M103" s="244"/>
      <c r="N103" s="244"/>
      <c r="O103" s="244"/>
      <c r="P103" s="244"/>
      <c r="Q103" s="244"/>
      <c r="R103" s="244"/>
      <c r="S103" s="244"/>
      <c r="T103" s="244"/>
      <c r="U103" s="244"/>
    </row>
    <row r="104" spans="1:21" x14ac:dyDescent="0.45">
      <c r="A104" s="244"/>
      <c r="B104" s="244"/>
      <c r="C104" s="244"/>
      <c r="D104" s="244"/>
      <c r="E104" s="244"/>
      <c r="F104" s="244"/>
      <c r="G104" s="244"/>
      <c r="H104" s="244"/>
      <c r="I104" s="244"/>
      <c r="J104" s="244"/>
      <c r="K104" s="244"/>
      <c r="L104" s="244"/>
      <c r="M104" s="244"/>
      <c r="N104" s="244"/>
      <c r="O104" s="244"/>
      <c r="P104" s="244"/>
      <c r="Q104" s="244"/>
      <c r="R104" s="244"/>
      <c r="S104" s="244"/>
      <c r="T104" s="244"/>
      <c r="U104" s="244"/>
    </row>
    <row r="105" spans="1:21" ht="15" customHeight="1" x14ac:dyDescent="0.45">
      <c r="A105" s="244"/>
    </row>
    <row r="106" spans="1:21" ht="15" customHeight="1" x14ac:dyDescent="0.45">
      <c r="A106" s="244"/>
    </row>
    <row r="107" spans="1:21" x14ac:dyDescent="0.45">
      <c r="A107" s="244"/>
    </row>
    <row r="108" spans="1:21" x14ac:dyDescent="0.45">
      <c r="A108" s="244"/>
    </row>
    <row r="109" spans="1:21" x14ac:dyDescent="0.45">
      <c r="A109" s="244"/>
    </row>
    <row r="110" spans="1:21" x14ac:dyDescent="0.45">
      <c r="A110" s="244"/>
    </row>
    <row r="111" spans="1:21" x14ac:dyDescent="0.45">
      <c r="A111" s="244"/>
    </row>
    <row r="112" spans="1:21" x14ac:dyDescent="0.45">
      <c r="A112" s="244"/>
    </row>
    <row r="113" spans="1:1" x14ac:dyDescent="0.45">
      <c r="A113" s="244"/>
    </row>
    <row r="114" spans="1:1" x14ac:dyDescent="0.45">
      <c r="A114" s="244"/>
    </row>
    <row r="115" spans="1:1" x14ac:dyDescent="0.45">
      <c r="A115" s="244"/>
    </row>
    <row r="116" spans="1:1" x14ac:dyDescent="0.45">
      <c r="A116" s="244"/>
    </row>
    <row r="117" spans="1:1" x14ac:dyDescent="0.45">
      <c r="A117" s="244"/>
    </row>
    <row r="118" spans="1:1" x14ac:dyDescent="0.45">
      <c r="A118" s="244"/>
    </row>
    <row r="119" spans="1:1" x14ac:dyDescent="0.45">
      <c r="A119" s="244"/>
    </row>
    <row r="120" spans="1:1" x14ac:dyDescent="0.45">
      <c r="A120" s="244"/>
    </row>
    <row r="121" spans="1:1" x14ac:dyDescent="0.45">
      <c r="A121" s="244"/>
    </row>
    <row r="122" spans="1:1" x14ac:dyDescent="0.45">
      <c r="A122" s="244"/>
    </row>
    <row r="123" spans="1:1" x14ac:dyDescent="0.45">
      <c r="A123" s="244"/>
    </row>
    <row r="124" spans="1:1" x14ac:dyDescent="0.45">
      <c r="A124" s="244"/>
    </row>
    <row r="125" spans="1:1" x14ac:dyDescent="0.45">
      <c r="A125" s="244"/>
    </row>
    <row r="126" spans="1:1" x14ac:dyDescent="0.45">
      <c r="A126" s="244"/>
    </row>
    <row r="127" spans="1:1" x14ac:dyDescent="0.45">
      <c r="A127" s="244"/>
    </row>
    <row r="128" spans="1:1" x14ac:dyDescent="0.45">
      <c r="A128" s="244"/>
    </row>
    <row r="129" spans="1:18" x14ac:dyDescent="0.45">
      <c r="A129" s="244"/>
    </row>
    <row r="130" spans="1:18" x14ac:dyDescent="0.45">
      <c r="A130" s="244"/>
    </row>
    <row r="131" spans="1:18" x14ac:dyDescent="0.45">
      <c r="A131" s="244"/>
      <c r="M131" s="244"/>
      <c r="N131" s="244"/>
      <c r="O131" s="244"/>
      <c r="P131" s="244"/>
      <c r="Q131" s="244"/>
      <c r="R131" s="244"/>
    </row>
    <row r="132" spans="1:18" x14ac:dyDescent="0.45">
      <c r="A132" s="138"/>
      <c r="B132" s="460"/>
      <c r="C132" s="461"/>
      <c r="D132" s="461"/>
      <c r="E132" s="461"/>
      <c r="F132" s="461"/>
      <c r="G132" s="461"/>
      <c r="H132" s="461"/>
      <c r="I132" s="138"/>
      <c r="K132" s="244"/>
      <c r="L132" s="244"/>
      <c r="M132" s="244"/>
      <c r="N132" s="244"/>
      <c r="O132" s="244"/>
      <c r="P132" s="244"/>
      <c r="Q132" s="244"/>
      <c r="R132" s="244"/>
    </row>
    <row r="133" spans="1:18" ht="15" customHeight="1" x14ac:dyDescent="0.45">
      <c r="A133" s="138"/>
      <c r="B133" s="461"/>
      <c r="C133" s="461"/>
      <c r="D133" s="461"/>
      <c r="E133" s="461"/>
      <c r="F133" s="461"/>
      <c r="G133" s="461"/>
      <c r="H133" s="461"/>
      <c r="I133" s="138"/>
      <c r="K133" s="244"/>
      <c r="L133" s="244"/>
      <c r="M133" s="244"/>
      <c r="N133" s="244"/>
      <c r="O133" s="244"/>
      <c r="P133" s="244"/>
      <c r="Q133" s="244"/>
      <c r="R133" s="244"/>
    </row>
    <row r="134" spans="1:18" x14ac:dyDescent="0.45">
      <c r="A134" s="138"/>
      <c r="B134" s="461"/>
      <c r="C134" s="461"/>
      <c r="D134" s="461"/>
      <c r="E134" s="461"/>
      <c r="F134" s="461"/>
      <c r="G134" s="461"/>
      <c r="H134" s="461"/>
      <c r="I134" s="138"/>
      <c r="K134" s="244"/>
      <c r="L134" s="244"/>
      <c r="M134" s="244"/>
      <c r="N134" s="244"/>
      <c r="O134" s="244"/>
      <c r="P134" s="244"/>
      <c r="Q134" s="244"/>
      <c r="R134" s="244"/>
    </row>
    <row r="135" spans="1:18" x14ac:dyDescent="0.45">
      <c r="A135" s="138"/>
      <c r="B135" s="462"/>
      <c r="C135" s="462"/>
      <c r="D135" s="462"/>
      <c r="E135" s="462"/>
      <c r="F135" s="462"/>
      <c r="G135" s="462"/>
      <c r="H135" s="462"/>
      <c r="I135" s="138"/>
      <c r="K135" s="244"/>
      <c r="L135" s="244"/>
      <c r="M135" s="244"/>
      <c r="N135" s="244"/>
      <c r="O135" s="244"/>
      <c r="P135" s="244"/>
      <c r="Q135" s="244"/>
      <c r="R135" s="244"/>
    </row>
    <row r="136" spans="1:18" x14ac:dyDescent="0.45">
      <c r="A136" s="138"/>
      <c r="B136" s="138"/>
      <c r="C136" s="138"/>
      <c r="D136" s="138"/>
      <c r="E136" s="138"/>
      <c r="F136" s="138"/>
      <c r="G136" s="138"/>
      <c r="H136" s="138"/>
      <c r="I136" s="138"/>
      <c r="K136" s="244"/>
      <c r="L136" s="244"/>
      <c r="M136" s="244"/>
      <c r="N136" s="244"/>
      <c r="O136" s="244"/>
      <c r="P136" s="244"/>
      <c r="Q136" s="244"/>
      <c r="R136" s="244"/>
    </row>
  </sheetData>
  <sheetProtection password="CCA4" sheet="1" objects="1" scenarios="1"/>
  <mergeCells count="10">
    <mergeCell ref="D11:F11"/>
    <mergeCell ref="B2:H2"/>
    <mergeCell ref="B3:H3"/>
    <mergeCell ref="D12:F12"/>
    <mergeCell ref="O97:Q97"/>
    <mergeCell ref="O96:Q96"/>
    <mergeCell ref="L53:P53"/>
    <mergeCell ref="L37:P37"/>
    <mergeCell ref="L21:P21"/>
    <mergeCell ref="D19:F19"/>
  </mergeCells>
  <conditionalFormatting sqref="Q65">
    <cfRule type="expression" dxfId="50" priority="55">
      <formula>FIND("Not",Q65)&gt;1</formula>
    </cfRule>
  </conditionalFormatting>
  <conditionalFormatting sqref="Q64">
    <cfRule type="expression" dxfId="49" priority="54">
      <formula>FIND("Not",Q64)&gt;1</formula>
    </cfRule>
  </conditionalFormatting>
  <conditionalFormatting sqref="H32:H33">
    <cfRule type="expression" dxfId="48" priority="52">
      <formula>H32="PASS"</formula>
    </cfRule>
    <cfRule type="expression" dxfId="47" priority="53">
      <formula>H32="FAIL"</formula>
    </cfRule>
  </conditionalFormatting>
  <conditionalFormatting sqref="H34:H35">
    <cfRule type="expression" dxfId="46" priority="50">
      <formula>H34="YES"</formula>
    </cfRule>
    <cfRule type="expression" dxfId="45" priority="51">
      <formula>H34="NO"</formula>
    </cfRule>
  </conditionalFormatting>
  <conditionalFormatting sqref="F5">
    <cfRule type="expression" dxfId="44" priority="9">
      <formula>F5="REQUIRED"</formula>
    </cfRule>
  </conditionalFormatting>
  <conditionalFormatting sqref="D12">
    <cfRule type="expression" dxfId="43" priority="7">
      <formula>D12="VIOLATION EXISTS"</formula>
    </cfRule>
    <cfRule type="expression" dxfId="42" priority="8">
      <formula>D12="REQUIREMENTS MET"</formula>
    </cfRule>
  </conditionalFormatting>
  <conditionalFormatting sqref="B5">
    <cfRule type="expression" dxfId="41" priority="5">
      <formula>B5="PASS"</formula>
    </cfRule>
    <cfRule type="expression" dxfId="40" priority="6">
      <formula>B5="FAIL"</formula>
    </cfRule>
  </conditionalFormatting>
  <conditionalFormatting sqref="D5">
    <cfRule type="expression" dxfId="39" priority="3">
      <formula>D5="PASS"</formula>
    </cfRule>
    <cfRule type="expression" dxfId="38" priority="4">
      <formula>D5="FAIL"</formula>
    </cfRule>
  </conditionalFormatting>
  <conditionalFormatting sqref="H5">
    <cfRule type="expression" dxfId="37" priority="1">
      <formula>H5="PASS"</formula>
    </cfRule>
    <cfRule type="expression" dxfId="36" priority="2">
      <formula>H5="FAIL"</formula>
    </cfRule>
  </conditionalFormatting>
  <dataValidations xWindow="601" yWindow="723" count="2">
    <dataValidation allowBlank="1" showInputMessage="1" showErrorMessage="1" promptTitle="MAP Appendix 5.VII.B.6" prompt="Reserves balances amounts must equal or exceed the projected capital costs plus any minimum balance requirements for each of the first 10 years in the Estimate Period. " sqref="B5 D5 H5" xr:uid="{00000000-0002-0000-0300-000000000000}"/>
    <dataValidation allowBlank="1" showInputMessage="1" showErrorMessage="1" promptTitle="Amortization Test Requirement" prompt="Amortization Test is required if any of the the Years 11+ does not meet the required minimum balance amounts.  " sqref="F5" xr:uid="{00000000-0002-0000-0300-000001000000}"/>
  </dataValidations>
  <hyperlinks>
    <hyperlink ref="B8" location="'eTool Data Analysis'!eTool_data_Req.Min._Bal._violations__Yr_1_10" display="See Results" xr:uid="{00000000-0004-0000-0300-000000000000}"/>
    <hyperlink ref="D8" location="'eTool Data Analysis'!e_Tool_data_RY_11__Violations" display="See Results" xr:uid="{00000000-0004-0000-0300-000001000000}"/>
    <hyperlink ref="H8" location="'eTool Data Analysis'!eTool_data_Amort._Test_violations" display="See Results" xr:uid="{00000000-0004-0000-0300-000002000000}"/>
    <hyperlink ref="D16" location="'Attachment-RfR Commt Lttr'!Print_Area" display="Go to Firm Commitment Letter Attachment Tab" xr:uid="{00000000-0004-0000-0300-000003000000}"/>
    <hyperlink ref="F16" location="'Trial Deposits Analysis'!A1" display="Go to Trial Deposit Analysis Tab for further testing" xr:uid="{00000000-0004-0000-0300-000004000000}"/>
    <hyperlink ref="H20" location="'Year 11+ Risk Analysis'!A1" display="See Year 11+ Risk Analysis Tab for details" xr:uid="{00000000-0004-0000-0300-000005000000}"/>
    <hyperlink ref="H21" location="'Trial Deposits Analysis'!A1" display="Go To Trial Deposit Analysis Tab to test deposit amounts" xr:uid="{00000000-0004-0000-0300-000006000000}"/>
  </hyperlinks>
  <printOptions horizontalCentered="1"/>
  <pageMargins left="0.35" right="0.31" top="0.75" bottom="0.75" header="0.3" footer="0.3"/>
  <pageSetup scale="91" orientation="portrait" horizontalDpi="1800" verticalDpi="1800" r:id="rId1"/>
  <headerFooter>
    <oddHeader>&amp;C&amp;F
&amp;A&amp;R&amp;D</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79998168889431442"/>
    <pageSetUpPr fitToPage="1"/>
  </sheetPr>
  <dimension ref="A1:AH136"/>
  <sheetViews>
    <sheetView workbookViewId="0"/>
  </sheetViews>
  <sheetFormatPr defaultColWidth="9.06640625" defaultRowHeight="14.25" x14ac:dyDescent="0.45"/>
  <cols>
    <col min="1" max="1" width="5.73046875" style="228" customWidth="1"/>
    <col min="2" max="2" width="10.73046875" style="227" customWidth="1"/>
    <col min="3" max="3" width="15.73046875" style="227" customWidth="1"/>
    <col min="4" max="4" width="4.73046875" style="227" customWidth="1"/>
    <col min="5" max="5" width="15.73046875" style="227" customWidth="1"/>
    <col min="6" max="6" width="4.73046875" style="227" customWidth="1"/>
    <col min="7" max="7" width="15.73046875" style="227" customWidth="1"/>
    <col min="8" max="8" width="4.73046875" style="227" customWidth="1"/>
    <col min="9" max="9" width="15.73046875" style="227" customWidth="1"/>
    <col min="10" max="10" width="4.73046875" style="227" customWidth="1"/>
    <col min="11" max="11" width="15.73046875" style="227" customWidth="1"/>
    <col min="12" max="12" width="10.73046875" style="227" customWidth="1"/>
    <col min="13" max="13" width="22.33203125" style="227" bestFit="1" customWidth="1"/>
    <col min="14" max="14" width="19.33203125" style="227" bestFit="1" customWidth="1"/>
    <col min="15" max="15" width="10.73046875" style="227" customWidth="1"/>
    <col min="16" max="16" width="17.9296875" style="227" customWidth="1"/>
    <col min="17" max="17" width="15.73046875" style="227" customWidth="1"/>
    <col min="18" max="18" width="13.59765625" style="227" bestFit="1" customWidth="1"/>
    <col min="19" max="20" width="9.06640625" style="227" customWidth="1"/>
    <col min="21" max="21" width="12.265625" style="227" bestFit="1" customWidth="1"/>
    <col min="22" max="28" width="9.06640625" style="227"/>
    <col min="29" max="29" width="10.796875" style="227" bestFit="1" customWidth="1"/>
    <col min="30" max="30" width="9.06640625" style="227"/>
    <col min="31" max="31" width="7.796875" style="227" customWidth="1"/>
    <col min="32" max="16384" width="9.06640625" style="227"/>
  </cols>
  <sheetData>
    <row r="1" spans="1:34" x14ac:dyDescent="0.45">
      <c r="A1" s="351"/>
      <c r="B1" s="132"/>
      <c r="C1" s="132"/>
      <c r="D1" s="228"/>
      <c r="E1" s="228"/>
      <c r="F1" s="228"/>
      <c r="G1" s="228"/>
      <c r="H1" s="228"/>
      <c r="I1" s="228"/>
      <c r="J1" s="228"/>
      <c r="L1" s="131"/>
      <c r="M1" s="131"/>
      <c r="N1" s="131"/>
      <c r="O1" s="132"/>
      <c r="P1" s="132"/>
      <c r="Q1" s="132"/>
      <c r="R1" s="132"/>
      <c r="V1" s="228"/>
      <c r="W1" s="228"/>
      <c r="X1" s="228"/>
      <c r="Y1" s="228"/>
      <c r="Z1" s="228"/>
      <c r="AA1" s="228"/>
      <c r="AB1" s="228"/>
      <c r="AC1" s="228"/>
      <c r="AD1" s="228"/>
      <c r="AE1" s="228"/>
      <c r="AF1" s="228"/>
      <c r="AG1" s="228"/>
      <c r="AH1" s="228"/>
    </row>
    <row r="2" spans="1:34" ht="14.65" thickBot="1" x14ac:dyDescent="0.5">
      <c r="A2" s="226"/>
      <c r="B2" s="247"/>
      <c r="C2" s="229"/>
      <c r="D2" s="229"/>
      <c r="E2" s="229"/>
      <c r="F2" s="229"/>
      <c r="G2" s="247"/>
      <c r="H2" s="247"/>
      <c r="I2" s="229"/>
      <c r="J2" s="507"/>
      <c r="L2" s="131"/>
      <c r="V2" s="228"/>
      <c r="W2" s="132"/>
      <c r="X2" s="132"/>
      <c r="Y2" s="132"/>
      <c r="Z2" s="132"/>
      <c r="AA2" s="132"/>
      <c r="AB2" s="132"/>
      <c r="AC2" s="132"/>
      <c r="AD2" s="132"/>
      <c r="AE2" s="132"/>
      <c r="AF2" s="132"/>
      <c r="AG2" s="132"/>
      <c r="AH2" s="228"/>
    </row>
    <row r="3" spans="1:34" ht="15.75" x14ac:dyDescent="0.5">
      <c r="A3" s="226"/>
      <c r="B3" s="229"/>
      <c r="C3" s="1108" t="s">
        <v>429</v>
      </c>
      <c r="D3" s="1109"/>
      <c r="E3" s="1109"/>
      <c r="F3" s="1109"/>
      <c r="G3" s="1110"/>
      <c r="H3" s="247"/>
      <c r="I3" s="234" t="s">
        <v>430</v>
      </c>
      <c r="J3" s="507"/>
      <c r="L3" s="131"/>
      <c r="V3" s="228"/>
      <c r="W3" s="132"/>
      <c r="Y3" s="132"/>
      <c r="Z3" s="132"/>
      <c r="AA3" s="132"/>
      <c r="AB3" s="473"/>
      <c r="AC3" s="132"/>
      <c r="AD3" s="132"/>
      <c r="AE3" s="132"/>
      <c r="AF3" s="132"/>
      <c r="AG3" s="132"/>
      <c r="AH3" s="228"/>
    </row>
    <row r="4" spans="1:34" ht="14.65" thickBot="1" x14ac:dyDescent="0.5">
      <c r="A4" s="226"/>
      <c r="B4" s="247"/>
      <c r="C4" s="229"/>
      <c r="D4" s="229"/>
      <c r="E4" s="229"/>
      <c r="F4" s="229"/>
      <c r="G4" s="248"/>
      <c r="H4" s="248"/>
      <c r="I4" s="235">
        <f>+COUNTIF(I6:I15,"Not OK")</f>
        <v>0</v>
      </c>
      <c r="J4" s="507"/>
      <c r="L4" s="131"/>
      <c r="M4" s="352"/>
      <c r="N4" s="353"/>
      <c r="V4" s="228"/>
      <c r="W4" s="132"/>
      <c r="X4" s="132"/>
      <c r="Y4" s="132"/>
      <c r="Z4" s="132"/>
      <c r="AA4" s="132"/>
      <c r="AB4" s="132"/>
      <c r="AC4" s="132"/>
      <c r="AD4" s="132"/>
      <c r="AE4" s="132"/>
      <c r="AF4" s="132"/>
      <c r="AG4" s="132"/>
      <c r="AH4" s="228"/>
    </row>
    <row r="5" spans="1:34" ht="37.5" customHeight="1" thickBot="1" x14ac:dyDescent="0.5">
      <c r="B5" s="484" t="s">
        <v>431</v>
      </c>
      <c r="C5" s="484" t="s">
        <v>433</v>
      </c>
      <c r="D5" s="229"/>
      <c r="E5" s="484" t="s">
        <v>74</v>
      </c>
      <c r="F5" s="229"/>
      <c r="G5" s="484" t="s">
        <v>459</v>
      </c>
      <c r="H5" s="485"/>
      <c r="I5" s="486" t="s">
        <v>439</v>
      </c>
      <c r="J5" s="507"/>
      <c r="L5" s="1111" t="s">
        <v>464</v>
      </c>
      <c r="M5" s="1112"/>
      <c r="N5" s="1112"/>
      <c r="O5" s="1112"/>
      <c r="P5" s="1112"/>
      <c r="Q5" s="1112"/>
      <c r="R5" s="1113"/>
      <c r="V5" s="228"/>
      <c r="W5" s="132"/>
      <c r="X5" s="132"/>
      <c r="Y5" s="132"/>
      <c r="Z5" s="132"/>
      <c r="AA5" s="132"/>
      <c r="AB5" s="132"/>
      <c r="AC5" s="132"/>
      <c r="AD5" s="132"/>
      <c r="AE5" s="132"/>
      <c r="AF5" s="132"/>
      <c r="AG5" s="132"/>
      <c r="AH5" s="228"/>
    </row>
    <row r="6" spans="1:34" ht="18" customHeight="1" thickBot="1" x14ac:dyDescent="0.5">
      <c r="B6" s="250">
        <f>+'Trial Deposits Engine'!H57</f>
        <v>1</v>
      </c>
      <c r="C6" s="362">
        <f>+'eTool Data Engine'!F17</f>
        <v>725130.25</v>
      </c>
      <c r="D6" s="487"/>
      <c r="E6" s="362">
        <f t="shared" ref="E6:E15" si="0">+E58</f>
        <v>335249.58</v>
      </c>
      <c r="F6" s="222"/>
      <c r="G6" s="362">
        <f t="shared" ref="G6:G15" si="1">+C6-E6</f>
        <v>389880.67</v>
      </c>
      <c r="H6" s="251"/>
      <c r="I6" s="236" t="str">
        <f>+IF(C6&gt;=0,"OK","Not OK")</f>
        <v>OK</v>
      </c>
      <c r="J6" s="508"/>
      <c r="L6" s="1114" t="s">
        <v>526</v>
      </c>
      <c r="M6" s="1115"/>
      <c r="N6" s="1116"/>
      <c r="O6" s="1114" t="s">
        <v>443</v>
      </c>
      <c r="P6" s="1115"/>
      <c r="Q6" s="1115"/>
      <c r="R6" s="707" t="s">
        <v>527</v>
      </c>
      <c r="U6" s="709"/>
      <c r="V6" s="228"/>
      <c r="W6" s="132"/>
      <c r="X6" s="132"/>
      <c r="Y6" s="132"/>
      <c r="Z6" s="132"/>
      <c r="AA6" s="132"/>
      <c r="AB6" s="132"/>
      <c r="AC6" s="132"/>
      <c r="AD6" s="132"/>
      <c r="AE6" s="132"/>
      <c r="AF6" s="132"/>
      <c r="AG6" s="132"/>
      <c r="AH6" s="228"/>
    </row>
    <row r="7" spans="1:34" x14ac:dyDescent="0.45">
      <c r="B7" s="250">
        <f>+'Trial Deposits Engine'!I57</f>
        <v>2</v>
      </c>
      <c r="C7" s="362">
        <f>+'eTool Data Engine'!G17</f>
        <v>990988.27</v>
      </c>
      <c r="D7" s="487"/>
      <c r="E7" s="362">
        <f t="shared" si="0"/>
        <v>341954.57</v>
      </c>
      <c r="F7" s="222"/>
      <c r="G7" s="362">
        <f t="shared" si="1"/>
        <v>649033.69999999995</v>
      </c>
      <c r="H7" s="251"/>
      <c r="I7" s="236" t="str">
        <f>+IF(C7&gt;=0,"OK","Not OK")</f>
        <v>OK</v>
      </c>
      <c r="J7" s="508"/>
      <c r="L7" s="562" t="s">
        <v>58</v>
      </c>
      <c r="M7" s="494">
        <f>+'Paste Financial Sched.'!B3+SUM('Paste Financial Sched.'!B4:K4)+SUM('Paste Financial Sched.'!B5:K5)</f>
        <v>3334493.04</v>
      </c>
      <c r="N7" s="704">
        <f>+M7/M9</f>
        <v>0.49582734950231605</v>
      </c>
      <c r="O7" s="562" t="s">
        <v>58</v>
      </c>
      <c r="P7" s="494">
        <f>+SUM('Paste Financial Sched.'!B7:K7)</f>
        <v>2900719.4400000004</v>
      </c>
      <c r="Q7" s="704">
        <f>+P7/P9</f>
        <v>0.35255846757771697</v>
      </c>
      <c r="R7" s="495">
        <f>+M7-P7</f>
        <v>433773.59999999963</v>
      </c>
      <c r="U7" s="710"/>
      <c r="V7" s="228"/>
      <c r="W7" s="132"/>
      <c r="X7" s="132"/>
      <c r="Y7" s="132"/>
      <c r="Z7" s="132"/>
      <c r="AA7" s="132"/>
      <c r="AB7" s="132"/>
      <c r="AC7" s="132"/>
      <c r="AD7" s="132"/>
      <c r="AE7" s="132"/>
      <c r="AF7" s="132"/>
      <c r="AG7" s="132"/>
      <c r="AH7" s="228"/>
    </row>
    <row r="8" spans="1:34" x14ac:dyDescent="0.45">
      <c r="B8" s="250">
        <f>+'Trial Deposits Engine'!J57</f>
        <v>3</v>
      </c>
      <c r="C8" s="362">
        <f>+'eTool Data Engine'!H17</f>
        <v>924537.53</v>
      </c>
      <c r="D8" s="487"/>
      <c r="E8" s="362">
        <f t="shared" si="0"/>
        <v>348793.66</v>
      </c>
      <c r="F8" s="222"/>
      <c r="G8" s="362">
        <f t="shared" si="1"/>
        <v>575743.87000000011</v>
      </c>
      <c r="H8" s="251"/>
      <c r="I8" s="236" t="str">
        <f t="shared" ref="I8:I15" si="2">+IF(G8&gt;=0,"OK","Not OK")</f>
        <v>OK</v>
      </c>
      <c r="J8" s="508"/>
      <c r="L8" s="563" t="s">
        <v>59</v>
      </c>
      <c r="M8" s="501">
        <f>+SUM('Paste Financial Sched.'!L4:U4)+SUM('Paste Financial Sched.'!L5:U5)</f>
        <v>3390616.1</v>
      </c>
      <c r="N8" s="705">
        <f>+M8/M9</f>
        <v>0.50417265049768401</v>
      </c>
      <c r="O8" s="563" t="s">
        <v>59</v>
      </c>
      <c r="P8" s="501">
        <f>+SUM('Paste Financial Sched.'!L7:U7)</f>
        <v>5326907.2</v>
      </c>
      <c r="Q8" s="705">
        <f>+P8/P9</f>
        <v>0.64744153242228308</v>
      </c>
      <c r="R8" s="502">
        <f>+M8-P8</f>
        <v>-1936291.1</v>
      </c>
      <c r="U8" s="711"/>
      <c r="V8" s="228"/>
      <c r="W8" s="132"/>
      <c r="X8" s="132"/>
      <c r="Y8" s="132"/>
      <c r="Z8" s="132"/>
      <c r="AA8" s="132"/>
      <c r="AB8" s="132"/>
      <c r="AC8" s="132"/>
      <c r="AD8" s="132"/>
      <c r="AE8" s="132"/>
      <c r="AF8" s="228"/>
      <c r="AG8" s="228"/>
      <c r="AH8" s="228"/>
    </row>
    <row r="9" spans="1:34" ht="14.65" thickBot="1" x14ac:dyDescent="0.5">
      <c r="B9" s="250">
        <f>+'Trial Deposits Engine'!K57</f>
        <v>4</v>
      </c>
      <c r="C9" s="362">
        <f>+'eTool Data Engine'!I17</f>
        <v>919611.61</v>
      </c>
      <c r="D9" s="487"/>
      <c r="E9" s="362">
        <f t="shared" si="0"/>
        <v>355769.54</v>
      </c>
      <c r="F9" s="222"/>
      <c r="G9" s="362">
        <f t="shared" si="1"/>
        <v>563842.07000000007</v>
      </c>
      <c r="H9" s="251"/>
      <c r="I9" s="236" t="str">
        <f t="shared" si="2"/>
        <v>OK</v>
      </c>
      <c r="J9" s="508"/>
      <c r="L9" s="564" t="s">
        <v>60</v>
      </c>
      <c r="M9" s="496">
        <f>+'Paste Financial Sched.'!B3+SUM('Paste Financial Sched.'!B4:U4)+SUM('Paste Financial Sched.'!B5:U5)</f>
        <v>6725109.1399999997</v>
      </c>
      <c r="N9" s="706">
        <f>+M9/M9</f>
        <v>1</v>
      </c>
      <c r="O9" s="564" t="s">
        <v>60</v>
      </c>
      <c r="P9" s="496">
        <f>+SUM('Paste Financial Sched.'!B7:U7)</f>
        <v>8227626.6399999997</v>
      </c>
      <c r="Q9" s="706">
        <f>+P9/P9</f>
        <v>1</v>
      </c>
      <c r="R9" s="498">
        <f>+M9-P9</f>
        <v>-1502517.5</v>
      </c>
      <c r="V9" s="228"/>
      <c r="W9" s="132"/>
      <c r="X9" s="132"/>
      <c r="Y9" s="132"/>
      <c r="Z9" s="132"/>
      <c r="AA9" s="132"/>
      <c r="AB9" s="132"/>
      <c r="AC9" s="132"/>
      <c r="AD9" s="132"/>
      <c r="AE9" s="132"/>
      <c r="AF9" s="228"/>
      <c r="AG9" s="228"/>
      <c r="AH9" s="228"/>
    </row>
    <row r="10" spans="1:34" ht="14.65" thickBot="1" x14ac:dyDescent="0.5">
      <c r="B10" s="250">
        <f>+'Trial Deposits Engine'!L57</f>
        <v>5</v>
      </c>
      <c r="C10" s="362">
        <f>+'eTool Data Engine'!J17</f>
        <v>693744.48</v>
      </c>
      <c r="D10" s="487"/>
      <c r="E10" s="362">
        <f t="shared" si="0"/>
        <v>362884.93</v>
      </c>
      <c r="F10" s="222"/>
      <c r="G10" s="362">
        <f t="shared" si="1"/>
        <v>330859.55</v>
      </c>
      <c r="H10" s="251"/>
      <c r="I10" s="236" t="str">
        <f t="shared" si="2"/>
        <v>OK</v>
      </c>
      <c r="J10" s="508"/>
      <c r="L10" s="565"/>
      <c r="M10" s="566"/>
      <c r="N10" s="566"/>
      <c r="O10" s="566"/>
      <c r="P10" s="566"/>
      <c r="Q10" s="566"/>
      <c r="R10" s="567"/>
      <c r="V10" s="228"/>
      <c r="W10" s="132"/>
      <c r="X10" s="132"/>
      <c r="Y10" s="132"/>
      <c r="Z10" s="132"/>
      <c r="AA10" s="132"/>
      <c r="AB10" s="132"/>
      <c r="AC10" s="132"/>
      <c r="AD10" s="132"/>
      <c r="AE10" s="132"/>
      <c r="AF10" s="228"/>
      <c r="AG10" s="228"/>
      <c r="AH10" s="228"/>
    </row>
    <row r="11" spans="1:34" ht="14.65" thickBot="1" x14ac:dyDescent="0.5">
      <c r="B11" s="250">
        <f>+'Trial Deposits Engine'!M57</f>
        <v>6</v>
      </c>
      <c r="C11" s="362">
        <f>+'eTool Data Engine'!K17</f>
        <v>510675.36</v>
      </c>
      <c r="D11" s="487"/>
      <c r="E11" s="362">
        <f t="shared" si="0"/>
        <v>370142.63</v>
      </c>
      <c r="F11" s="222"/>
      <c r="G11" s="362">
        <f t="shared" si="1"/>
        <v>140532.72999999998</v>
      </c>
      <c r="H11" s="251"/>
      <c r="I11" s="236" t="str">
        <f t="shared" si="2"/>
        <v>OK</v>
      </c>
      <c r="J11" s="508"/>
      <c r="L11" s="1117" t="s">
        <v>465</v>
      </c>
      <c r="M11" s="1118"/>
      <c r="N11" s="1119"/>
      <c r="O11" s="1117" t="s">
        <v>466</v>
      </c>
      <c r="P11" s="1118"/>
      <c r="Q11" s="1118"/>
      <c r="R11" s="707" t="s">
        <v>527</v>
      </c>
      <c r="V11" s="228"/>
      <c r="W11" s="132"/>
      <c r="X11" s="132"/>
      <c r="Y11" s="132"/>
      <c r="Z11" s="132"/>
      <c r="AA11" s="132"/>
      <c r="AB11" s="132"/>
      <c r="AC11" s="132"/>
      <c r="AD11" s="132"/>
      <c r="AE11" s="132"/>
      <c r="AF11" s="228"/>
      <c r="AG11" s="228"/>
      <c r="AH11" s="228"/>
    </row>
    <row r="12" spans="1:34" x14ac:dyDescent="0.45">
      <c r="B12" s="250">
        <f>+'Trial Deposits Engine'!N57</f>
        <v>7</v>
      </c>
      <c r="C12" s="362">
        <f>+'eTool Data Engine'!L17</f>
        <v>377894.07</v>
      </c>
      <c r="D12" s="487"/>
      <c r="E12" s="362">
        <f t="shared" si="0"/>
        <v>377545.48</v>
      </c>
      <c r="F12" s="222"/>
      <c r="G12" s="362">
        <f t="shared" si="1"/>
        <v>348.59000000002561</v>
      </c>
      <c r="H12" s="251"/>
      <c r="I12" s="236" t="str">
        <f t="shared" si="2"/>
        <v>OK</v>
      </c>
      <c r="J12" s="508"/>
      <c r="L12" s="499"/>
      <c r="M12" s="494"/>
      <c r="N12" s="1120" t="s">
        <v>467</v>
      </c>
      <c r="O12" s="573"/>
      <c r="P12" s="494"/>
      <c r="Q12" s="1120" t="s">
        <v>468</v>
      </c>
      <c r="R12" s="500" t="s">
        <v>528</v>
      </c>
      <c r="V12" s="228"/>
      <c r="W12" s="132"/>
      <c r="X12" s="132"/>
      <c r="Y12" s="132"/>
      <c r="Z12" s="132"/>
      <c r="AA12" s="132"/>
      <c r="AB12" s="132"/>
      <c r="AC12" s="132"/>
      <c r="AD12" s="132"/>
      <c r="AE12" s="132"/>
      <c r="AF12" s="228"/>
      <c r="AG12" s="228"/>
      <c r="AH12" s="228"/>
    </row>
    <row r="13" spans="1:34" x14ac:dyDescent="0.45">
      <c r="B13" s="250">
        <f>+'Trial Deposits Engine'!O57</f>
        <v>8</v>
      </c>
      <c r="C13" s="362">
        <f>+'eTool Data Engine'!M17</f>
        <v>401502.71999999997</v>
      </c>
      <c r="D13" s="487"/>
      <c r="E13" s="362">
        <f t="shared" si="0"/>
        <v>385096.39</v>
      </c>
      <c r="F13" s="222"/>
      <c r="G13" s="362">
        <f t="shared" si="1"/>
        <v>16406.329999999958</v>
      </c>
      <c r="H13" s="251"/>
      <c r="I13" s="236" t="str">
        <f t="shared" si="2"/>
        <v>OK</v>
      </c>
      <c r="J13" s="508"/>
      <c r="L13" s="563" t="s">
        <v>58</v>
      </c>
      <c r="M13" s="570">
        <f>+M7/10/'eTool Data Engine'!$C$23</f>
        <v>731.24847368421058</v>
      </c>
      <c r="N13" s="1121"/>
      <c r="O13" s="572" t="s">
        <v>58</v>
      </c>
      <c r="P13" s="568">
        <f>+P7/10/'eTool Data Engine'!$C$23</f>
        <v>636.12268421052636</v>
      </c>
      <c r="Q13" s="1121"/>
      <c r="R13" s="502">
        <f>+M13-P13</f>
        <v>95.125789473684222</v>
      </c>
      <c r="V13" s="228"/>
      <c r="W13" s="474"/>
      <c r="AE13" s="474"/>
      <c r="AF13" s="228"/>
      <c r="AG13" s="228"/>
      <c r="AH13" s="228"/>
    </row>
    <row r="14" spans="1:34" x14ac:dyDescent="0.45">
      <c r="B14" s="250">
        <f>+'Trial Deposits Engine'!P57</f>
        <v>9</v>
      </c>
      <c r="C14" s="362">
        <f>+'eTool Data Engine'!N17</f>
        <v>480981.94</v>
      </c>
      <c r="D14" s="487"/>
      <c r="E14" s="362">
        <f t="shared" si="0"/>
        <v>392798.32</v>
      </c>
      <c r="F14" s="222"/>
      <c r="G14" s="362">
        <f t="shared" si="1"/>
        <v>88183.62</v>
      </c>
      <c r="H14" s="251"/>
      <c r="I14" s="236" t="str">
        <f t="shared" si="2"/>
        <v>OK</v>
      </c>
      <c r="J14" s="508"/>
      <c r="L14" s="563" t="s">
        <v>59</v>
      </c>
      <c r="M14" s="570">
        <f>+M8/10/'eTool Data Engine'!$C$23</f>
        <v>743.55616228070176</v>
      </c>
      <c r="N14" s="575">
        <f>+M14/M13-1</f>
        <v>1.6831062271462915E-2</v>
      </c>
      <c r="O14" s="572" t="s">
        <v>59</v>
      </c>
      <c r="P14" s="568">
        <f>+P8/10/'eTool Data Engine'!$C$23</f>
        <v>1168.1814035087718</v>
      </c>
      <c r="Q14" s="575">
        <f>+P14/P13-1</f>
        <v>0.83640897032082462</v>
      </c>
      <c r="R14" s="502">
        <f>+M14-P14</f>
        <v>-424.62524122807008</v>
      </c>
      <c r="V14" s="228"/>
      <c r="W14" s="474"/>
      <c r="AE14" s="474"/>
      <c r="AF14" s="228"/>
      <c r="AG14" s="228"/>
      <c r="AH14" s="228"/>
    </row>
    <row r="15" spans="1:34" ht="14.65" thickBot="1" x14ac:dyDescent="0.5">
      <c r="B15" s="250">
        <f>+'Trial Deposits Engine'!Q57</f>
        <v>10</v>
      </c>
      <c r="C15" s="362">
        <f>+'eTool Data Engine'!O17</f>
        <v>433773.62</v>
      </c>
      <c r="D15" s="487"/>
      <c r="E15" s="362">
        <f t="shared" si="0"/>
        <v>400654.28</v>
      </c>
      <c r="F15" s="222"/>
      <c r="G15" s="362">
        <f t="shared" si="1"/>
        <v>33119.339999999967</v>
      </c>
      <c r="H15" s="251"/>
      <c r="I15" s="236" t="str">
        <f t="shared" si="2"/>
        <v>OK</v>
      </c>
      <c r="J15" s="508"/>
      <c r="L15" s="564" t="s">
        <v>61</v>
      </c>
      <c r="M15" s="571">
        <f>+M9/20/'eTool Data Engine'!$C$23</f>
        <v>737.40231798245611</v>
      </c>
      <c r="N15" s="497"/>
      <c r="O15" s="574" t="s">
        <v>61</v>
      </c>
      <c r="P15" s="569">
        <f>+P9/20/'eTool Data Engine'!$C$23</f>
        <v>902.1520438596491</v>
      </c>
      <c r="Q15" s="497"/>
      <c r="R15" s="498">
        <f>+M15-P15</f>
        <v>-164.74972587719299</v>
      </c>
      <c r="V15" s="228"/>
      <c r="W15" s="475"/>
      <c r="AE15" s="474"/>
      <c r="AF15" s="228"/>
      <c r="AG15" s="228"/>
      <c r="AH15" s="228"/>
    </row>
    <row r="16" spans="1:34" ht="60" customHeight="1" thickBot="1" x14ac:dyDescent="0.5">
      <c r="A16" s="225"/>
      <c r="B16" s="509"/>
      <c r="C16" s="509"/>
      <c r="D16" s="509"/>
      <c r="E16" s="509"/>
      <c r="F16" s="509"/>
      <c r="G16" s="509"/>
      <c r="H16" s="509"/>
      <c r="I16" s="510"/>
      <c r="J16" s="511"/>
      <c r="V16" s="228"/>
      <c r="W16" s="476"/>
      <c r="AE16" s="477"/>
      <c r="AF16" s="228"/>
      <c r="AG16" s="228"/>
      <c r="AH16" s="228"/>
    </row>
    <row r="17" spans="1:34" x14ac:dyDescent="0.45">
      <c r="A17" s="226"/>
      <c r="B17" s="132"/>
      <c r="C17" s="132"/>
      <c r="D17" s="228"/>
      <c r="E17" s="228"/>
      <c r="F17" s="228"/>
      <c r="G17" s="228"/>
      <c r="H17" s="228"/>
      <c r="I17" s="228"/>
      <c r="J17" s="228"/>
      <c r="V17" s="228"/>
      <c r="W17" s="476"/>
      <c r="X17" s="476"/>
      <c r="Y17" s="476"/>
      <c r="Z17" s="476"/>
      <c r="AA17" s="476"/>
      <c r="AB17" s="476"/>
      <c r="AC17" s="478"/>
      <c r="AD17" s="479"/>
      <c r="AE17" s="477"/>
      <c r="AF17" s="228"/>
      <c r="AG17" s="228"/>
      <c r="AH17" s="228"/>
    </row>
    <row r="18" spans="1:34" ht="14.65" thickBot="1" x14ac:dyDescent="0.5">
      <c r="A18" s="226"/>
      <c r="B18" s="253"/>
      <c r="C18" s="218"/>
      <c r="D18" s="218"/>
      <c r="E18" s="218"/>
      <c r="F18" s="218"/>
      <c r="G18" s="254"/>
      <c r="H18" s="218"/>
      <c r="I18" s="218"/>
      <c r="J18" s="326"/>
      <c r="K18" s="228"/>
      <c r="V18" s="228"/>
      <c r="W18" s="474"/>
      <c r="X18" s="474"/>
      <c r="Y18" s="474"/>
      <c r="Z18" s="474"/>
      <c r="AA18" s="474"/>
      <c r="AB18" s="474"/>
      <c r="AC18" s="474"/>
      <c r="AD18" s="474"/>
      <c r="AE18" s="474"/>
      <c r="AF18" s="228"/>
      <c r="AG18" s="228"/>
      <c r="AH18" s="228"/>
    </row>
    <row r="19" spans="1:34" x14ac:dyDescent="0.45">
      <c r="A19" s="226"/>
      <c r="B19" s="218"/>
      <c r="C19" s="1108" t="s">
        <v>432</v>
      </c>
      <c r="D19" s="1109"/>
      <c r="E19" s="1109"/>
      <c r="F19" s="1109"/>
      <c r="G19" s="1110"/>
      <c r="H19" s="218"/>
      <c r="I19" s="237" t="s">
        <v>430</v>
      </c>
      <c r="J19" s="326"/>
      <c r="K19" s="228"/>
      <c r="V19" s="228"/>
      <c r="W19" s="480"/>
      <c r="X19" s="480"/>
      <c r="Y19" s="480"/>
      <c r="Z19" s="480"/>
      <c r="AA19" s="480"/>
      <c r="AB19" s="480"/>
      <c r="AC19" s="479"/>
      <c r="AD19" s="477"/>
      <c r="AE19" s="474"/>
      <c r="AF19" s="228"/>
      <c r="AG19" s="228"/>
      <c r="AH19" s="228"/>
    </row>
    <row r="20" spans="1:34" ht="16.149999999999999" thickBot="1" x14ac:dyDescent="0.5">
      <c r="A20" s="226"/>
      <c r="B20" s="253"/>
      <c r="C20" s="218"/>
      <c r="D20" s="218"/>
      <c r="E20" s="218"/>
      <c r="F20" s="218"/>
      <c r="G20" s="255"/>
      <c r="H20" s="218"/>
      <c r="I20" s="144">
        <f>+COUNTIF(I22:I31,"Not OK")</f>
        <v>10</v>
      </c>
      <c r="J20" s="512"/>
      <c r="K20" s="228"/>
      <c r="V20" s="228"/>
      <c r="W20" s="132"/>
      <c r="X20" s="132"/>
      <c r="Y20" s="132"/>
      <c r="Z20" s="132"/>
      <c r="AA20" s="132"/>
      <c r="AB20" s="132"/>
      <c r="AC20" s="228"/>
      <c r="AD20" s="228"/>
      <c r="AE20" s="228"/>
      <c r="AF20" s="228"/>
      <c r="AG20" s="228"/>
      <c r="AH20" s="228"/>
    </row>
    <row r="21" spans="1:34" ht="42" customHeight="1" x14ac:dyDescent="0.45">
      <c r="A21" s="226"/>
      <c r="B21" s="484" t="s">
        <v>431</v>
      </c>
      <c r="C21" s="484" t="s">
        <v>433</v>
      </c>
      <c r="D21" s="488"/>
      <c r="E21" s="484" t="s">
        <v>74</v>
      </c>
      <c r="F21" s="488"/>
      <c r="G21" s="484" t="s">
        <v>459</v>
      </c>
      <c r="H21" s="249"/>
      <c r="I21" s="486" t="s">
        <v>75</v>
      </c>
      <c r="J21" s="512"/>
      <c r="K21" s="228"/>
      <c r="V21" s="228"/>
      <c r="W21" s="228"/>
      <c r="X21" s="228"/>
      <c r="Y21" s="228"/>
      <c r="Z21" s="228"/>
      <c r="AA21" s="228"/>
      <c r="AB21" s="228"/>
      <c r="AC21" s="228"/>
      <c r="AD21" s="228"/>
      <c r="AE21" s="228"/>
      <c r="AF21" s="228"/>
      <c r="AG21" s="228"/>
      <c r="AH21" s="228"/>
    </row>
    <row r="22" spans="1:34" x14ac:dyDescent="0.45">
      <c r="A22" s="226"/>
      <c r="B22" s="257">
        <f>+'Trial Deposits Engine'!R57</f>
        <v>11</v>
      </c>
      <c r="C22" s="362">
        <f>+'eTool Data Engine'!P17</f>
        <v>-110703.27</v>
      </c>
      <c r="D22" s="489"/>
      <c r="E22" s="362">
        <f t="shared" ref="E22:E31" si="3">+E68</f>
        <v>408667.37</v>
      </c>
      <c r="F22" s="258"/>
      <c r="G22" s="362">
        <f t="shared" ref="G22:G31" si="4">+C22-E22</f>
        <v>-519370.64</v>
      </c>
      <c r="H22" s="259"/>
      <c r="I22" s="236" t="str">
        <f t="shared" ref="I22:I31" si="5">+IF(G22&gt;=0,"OK","Not OK")</f>
        <v>Not OK</v>
      </c>
      <c r="J22" s="326"/>
      <c r="K22" s="228"/>
    </row>
    <row r="23" spans="1:34" x14ac:dyDescent="0.45">
      <c r="A23" s="242"/>
      <c r="B23" s="257">
        <f>+'Trial Deposits Engine'!S57</f>
        <v>12</v>
      </c>
      <c r="C23" s="362">
        <f>+'eTool Data Engine'!Q17</f>
        <v>-610983.27</v>
      </c>
      <c r="D23" s="489"/>
      <c r="E23" s="362">
        <f t="shared" si="3"/>
        <v>416840.71</v>
      </c>
      <c r="F23" s="258"/>
      <c r="G23" s="362">
        <f t="shared" si="4"/>
        <v>-1027823.98</v>
      </c>
      <c r="H23" s="259"/>
      <c r="I23" s="236" t="str">
        <f t="shared" si="5"/>
        <v>Not OK</v>
      </c>
      <c r="J23" s="326"/>
      <c r="K23" s="228"/>
    </row>
    <row r="24" spans="1:34" ht="15" customHeight="1" x14ac:dyDescent="0.45">
      <c r="A24" s="242"/>
      <c r="B24" s="257">
        <f>+'Trial Deposits Engine'!T57</f>
        <v>13</v>
      </c>
      <c r="C24" s="362">
        <f>+'eTool Data Engine'!R17</f>
        <v>-1017555.96</v>
      </c>
      <c r="D24" s="489"/>
      <c r="E24" s="362">
        <f t="shared" si="3"/>
        <v>425177.53</v>
      </c>
      <c r="F24" s="258"/>
      <c r="G24" s="362">
        <f t="shared" si="4"/>
        <v>-1442733.49</v>
      </c>
      <c r="H24" s="259"/>
      <c r="I24" s="236" t="str">
        <f t="shared" si="5"/>
        <v>Not OK</v>
      </c>
      <c r="J24" s="326"/>
      <c r="K24" s="228"/>
    </row>
    <row r="25" spans="1:34" ht="15" customHeight="1" x14ac:dyDescent="0.45">
      <c r="A25" s="132"/>
      <c r="B25" s="257">
        <f>+'Trial Deposits Engine'!U57</f>
        <v>14</v>
      </c>
      <c r="C25" s="362">
        <f>+'eTool Data Engine'!S17</f>
        <v>-966079.5</v>
      </c>
      <c r="D25" s="489"/>
      <c r="E25" s="362">
        <f t="shared" si="3"/>
        <v>433681.08</v>
      </c>
      <c r="F25" s="258"/>
      <c r="G25" s="362">
        <f t="shared" si="4"/>
        <v>-1399760.58</v>
      </c>
      <c r="H25" s="259"/>
      <c r="I25" s="236" t="str">
        <f t="shared" si="5"/>
        <v>Not OK</v>
      </c>
      <c r="J25" s="326"/>
      <c r="K25" s="228"/>
    </row>
    <row r="26" spans="1:34" ht="15" customHeight="1" x14ac:dyDescent="0.45">
      <c r="A26" s="132"/>
      <c r="B26" s="257">
        <f>+'Trial Deposits Engine'!V57</f>
        <v>15</v>
      </c>
      <c r="C26" s="362">
        <f>+'eTool Data Engine'!T17</f>
        <v>-1341212.18</v>
      </c>
      <c r="D26" s="489"/>
      <c r="E26" s="362">
        <f t="shared" si="3"/>
        <v>442354.7</v>
      </c>
      <c r="F26" s="258"/>
      <c r="G26" s="362">
        <f t="shared" si="4"/>
        <v>-1783566.88</v>
      </c>
      <c r="H26" s="259"/>
      <c r="I26" s="236" t="str">
        <f t="shared" si="5"/>
        <v>Not OK</v>
      </c>
      <c r="J26" s="326"/>
      <c r="K26" s="228"/>
    </row>
    <row r="27" spans="1:34" ht="15" customHeight="1" x14ac:dyDescent="0.45">
      <c r="A27" s="132"/>
      <c r="B27" s="257">
        <f>+'Trial Deposits Engine'!W57</f>
        <v>16</v>
      </c>
      <c r="C27" s="362">
        <f>+'eTool Data Engine'!U17</f>
        <v>-1670061.93</v>
      </c>
      <c r="D27" s="489"/>
      <c r="E27" s="362">
        <f t="shared" si="3"/>
        <v>451201.8</v>
      </c>
      <c r="F27" s="258"/>
      <c r="G27" s="362">
        <f t="shared" si="4"/>
        <v>-2121263.73</v>
      </c>
      <c r="H27" s="259"/>
      <c r="I27" s="236" t="str">
        <f t="shared" si="5"/>
        <v>Not OK</v>
      </c>
      <c r="J27" s="326"/>
      <c r="K27" s="228"/>
    </row>
    <row r="28" spans="1:34" ht="15" customHeight="1" x14ac:dyDescent="0.45">
      <c r="A28" s="132"/>
      <c r="B28" s="257">
        <f>+'Trial Deposits Engine'!X57</f>
        <v>17</v>
      </c>
      <c r="C28" s="362">
        <f>+'eTool Data Engine'!V17</f>
        <v>-1956866.88</v>
      </c>
      <c r="D28" s="489"/>
      <c r="E28" s="362">
        <f t="shared" si="3"/>
        <v>460225.83</v>
      </c>
      <c r="F28" s="258"/>
      <c r="G28" s="362">
        <f t="shared" si="4"/>
        <v>-2417092.71</v>
      </c>
      <c r="H28" s="259"/>
      <c r="I28" s="236" t="str">
        <f t="shared" si="5"/>
        <v>Not OK</v>
      </c>
      <c r="J28" s="326"/>
      <c r="K28" s="228"/>
    </row>
    <row r="29" spans="1:34" ht="15" customHeight="1" x14ac:dyDescent="0.45">
      <c r="A29" s="132"/>
      <c r="B29" s="257">
        <f>+'Trial Deposits Engine'!Y57</f>
        <v>18</v>
      </c>
      <c r="C29" s="362">
        <f>+'eTool Data Engine'!W17</f>
        <v>-1910382.63</v>
      </c>
      <c r="D29" s="489"/>
      <c r="E29" s="362">
        <f t="shared" si="3"/>
        <v>469430.35</v>
      </c>
      <c r="F29" s="258"/>
      <c r="G29" s="362">
        <f t="shared" si="4"/>
        <v>-2379812.98</v>
      </c>
      <c r="H29" s="259"/>
      <c r="I29" s="236" t="str">
        <f t="shared" si="5"/>
        <v>Not OK</v>
      </c>
      <c r="J29" s="326"/>
      <c r="K29" s="228"/>
    </row>
    <row r="30" spans="1:34" ht="15" customHeight="1" x14ac:dyDescent="0.45">
      <c r="A30" s="132"/>
      <c r="B30" s="257">
        <f>+'Trial Deposits Engine'!Z57</f>
        <v>19</v>
      </c>
      <c r="C30" s="362">
        <f>+'eTool Data Engine'!X17</f>
        <v>-1717781.01</v>
      </c>
      <c r="D30" s="489"/>
      <c r="E30" s="362">
        <f t="shared" si="3"/>
        <v>478818.95</v>
      </c>
      <c r="F30" s="258"/>
      <c r="G30" s="362">
        <f t="shared" si="4"/>
        <v>-2196599.96</v>
      </c>
      <c r="H30" s="259"/>
      <c r="I30" s="236" t="str">
        <f t="shared" si="5"/>
        <v>Not OK</v>
      </c>
      <c r="J30" s="326"/>
      <c r="K30" s="228"/>
    </row>
    <row r="31" spans="1:34" ht="15" customHeight="1" x14ac:dyDescent="0.45">
      <c r="A31" s="132"/>
      <c r="B31" s="257">
        <f>+'Trial Deposits Engine'!AA57</f>
        <v>20</v>
      </c>
      <c r="C31" s="362">
        <f>+'eTool Data Engine'!Y17</f>
        <v>-1502517.49</v>
      </c>
      <c r="D31" s="489"/>
      <c r="E31" s="362">
        <f t="shared" si="3"/>
        <v>488395.33</v>
      </c>
      <c r="F31" s="258"/>
      <c r="G31" s="362">
        <f t="shared" si="4"/>
        <v>-1990912.82</v>
      </c>
      <c r="H31" s="259"/>
      <c r="I31" s="236" t="str">
        <f t="shared" si="5"/>
        <v>Not OK</v>
      </c>
      <c r="J31" s="326"/>
      <c r="K31" s="228"/>
    </row>
    <row r="32" spans="1:34" ht="15" customHeight="1" thickBot="1" x14ac:dyDescent="0.5">
      <c r="A32" s="132"/>
      <c r="B32" s="327"/>
      <c r="C32" s="327"/>
      <c r="D32" s="327"/>
      <c r="E32" s="327"/>
      <c r="F32" s="327"/>
      <c r="G32" s="327"/>
      <c r="H32" s="327"/>
      <c r="I32" s="327"/>
      <c r="J32" s="328"/>
      <c r="K32" s="228"/>
    </row>
    <row r="33" spans="1:23" ht="15" customHeight="1" x14ac:dyDescent="0.45">
      <c r="A33" s="132"/>
      <c r="B33" s="132"/>
      <c r="C33" s="132"/>
      <c r="D33" s="228"/>
      <c r="E33" s="228"/>
      <c r="F33" s="228"/>
      <c r="G33" s="228"/>
      <c r="H33" s="228"/>
      <c r="I33" s="228"/>
      <c r="J33" s="228"/>
      <c r="K33" s="228"/>
      <c r="V33" s="131"/>
      <c r="W33" s="131"/>
    </row>
    <row r="34" spans="1:23" ht="14.65" thickBot="1" x14ac:dyDescent="0.5">
      <c r="A34" s="132"/>
      <c r="B34" s="218"/>
      <c r="C34" s="218"/>
      <c r="D34" s="218"/>
      <c r="E34" s="218"/>
      <c r="F34" s="218"/>
      <c r="G34" s="218"/>
      <c r="H34" s="218"/>
      <c r="I34" s="260"/>
      <c r="J34" s="326"/>
      <c r="K34" s="228"/>
      <c r="V34" s="131"/>
      <c r="W34" s="131"/>
    </row>
    <row r="35" spans="1:23" x14ac:dyDescent="0.45">
      <c r="B35" s="218"/>
      <c r="C35" s="1108" t="s">
        <v>434</v>
      </c>
      <c r="D35" s="1109"/>
      <c r="E35" s="1109"/>
      <c r="F35" s="1109"/>
      <c r="G35" s="1110"/>
      <c r="H35" s="218"/>
      <c r="I35" s="237" t="s">
        <v>430</v>
      </c>
      <c r="J35" s="326"/>
      <c r="K35" s="228"/>
      <c r="V35" s="131"/>
      <c r="W35" s="131"/>
    </row>
    <row r="36" spans="1:23" ht="15" customHeight="1" thickBot="1" x14ac:dyDescent="0.5">
      <c r="B36" s="218"/>
      <c r="C36" s="218"/>
      <c r="D36" s="218"/>
      <c r="E36" s="218"/>
      <c r="F36" s="218"/>
      <c r="G36" s="218"/>
      <c r="H36" s="218"/>
      <c r="I36" s="150">
        <f>+COUNTIF(I38:I47,"Not OK")</f>
        <v>0</v>
      </c>
      <c r="J36" s="326"/>
      <c r="K36" s="228"/>
      <c r="V36" s="131"/>
      <c r="W36" s="131"/>
    </row>
    <row r="37" spans="1:23" ht="46.5" x14ac:dyDescent="0.45">
      <c r="B37" s="484" t="s">
        <v>431</v>
      </c>
      <c r="C37" s="484" t="s">
        <v>435</v>
      </c>
      <c r="D37" s="488"/>
      <c r="E37" s="484" t="s">
        <v>76</v>
      </c>
      <c r="F37" s="488"/>
      <c r="G37" s="484" t="s">
        <v>460</v>
      </c>
      <c r="H37" s="249"/>
      <c r="I37" s="486" t="s">
        <v>75</v>
      </c>
      <c r="J37" s="326"/>
      <c r="K37" s="228"/>
      <c r="V37" s="131"/>
      <c r="W37" s="131"/>
    </row>
    <row r="38" spans="1:23" ht="15.75" customHeight="1" x14ac:dyDescent="0.45">
      <c r="B38" s="257">
        <f>+'Trial Deposits Engine'!R57</f>
        <v>11</v>
      </c>
      <c r="C38" s="362">
        <f>+'eTool Data Engine'!P19</f>
        <v>-519370.64</v>
      </c>
      <c r="D38" s="261"/>
      <c r="E38" s="490">
        <f>+'eTool Data Engine'!P15</f>
        <v>2263590.8944985745</v>
      </c>
      <c r="F38" s="258"/>
      <c r="G38" s="490">
        <f>+C38+E38</f>
        <v>1744220.2544985744</v>
      </c>
      <c r="H38" s="259"/>
      <c r="I38" s="236" t="str">
        <f>+IF(G38&gt;=0,"OK","Not OK")</f>
        <v>OK</v>
      </c>
      <c r="J38" s="326"/>
      <c r="K38" s="228"/>
      <c r="V38" s="131"/>
      <c r="W38" s="131"/>
    </row>
    <row r="39" spans="1:23" x14ac:dyDescent="0.45">
      <c r="B39" s="257">
        <f>+'Trial Deposits Engine'!S57</f>
        <v>12</v>
      </c>
      <c r="C39" s="362">
        <f>+'eTool Data Engine'!Q19</f>
        <v>-1027823.98</v>
      </c>
      <c r="D39" s="261"/>
      <c r="E39" s="490">
        <f>+'eTool Data Engine'!Q15</f>
        <v>2501893.1596763274</v>
      </c>
      <c r="F39" s="258"/>
      <c r="G39" s="490">
        <f t="shared" ref="G39:G47" si="6">+C39+E39</f>
        <v>1474069.1796763274</v>
      </c>
      <c r="H39" s="259"/>
      <c r="I39" s="236" t="str">
        <f t="shared" ref="I39:I47" si="7">+IF(G39&gt;=0,"OK","Not OK")</f>
        <v>OK</v>
      </c>
      <c r="J39" s="326"/>
      <c r="K39" s="228"/>
      <c r="V39" s="131"/>
      <c r="W39" s="131"/>
    </row>
    <row r="40" spans="1:23" x14ac:dyDescent="0.45">
      <c r="B40" s="257">
        <f>+'Trial Deposits Engine'!T57</f>
        <v>13</v>
      </c>
      <c r="C40" s="362">
        <f>+'eTool Data Engine'!R19</f>
        <v>-1442733.49</v>
      </c>
      <c r="D40" s="261"/>
      <c r="E40" s="490">
        <f>+'eTool Data Engine'!R15</f>
        <v>2746221.7214360489</v>
      </c>
      <c r="F40" s="258"/>
      <c r="G40" s="490">
        <f t="shared" si="6"/>
        <v>1303488.2314360489</v>
      </c>
      <c r="H40" s="259"/>
      <c r="I40" s="236" t="str">
        <f t="shared" si="7"/>
        <v>OK</v>
      </c>
      <c r="J40" s="326"/>
      <c r="K40" s="228"/>
      <c r="V40" s="131"/>
      <c r="W40" s="131"/>
    </row>
    <row r="41" spans="1:23" ht="16.5" customHeight="1" x14ac:dyDescent="0.45">
      <c r="B41" s="257">
        <f>+'Trial Deposits Engine'!U57</f>
        <v>14</v>
      </c>
      <c r="C41" s="362">
        <f>+'eTool Data Engine'!S19</f>
        <v>-1399760.58</v>
      </c>
      <c r="D41" s="261"/>
      <c r="E41" s="490">
        <f>+'eTool Data Engine'!S15</f>
        <v>2996728.9755196162</v>
      </c>
      <c r="F41" s="258"/>
      <c r="G41" s="490">
        <f t="shared" si="6"/>
        <v>1596968.3955196161</v>
      </c>
      <c r="H41" s="259"/>
      <c r="I41" s="236" t="str">
        <f t="shared" si="7"/>
        <v>OK</v>
      </c>
      <c r="J41" s="326"/>
      <c r="K41" s="228"/>
      <c r="V41" s="131"/>
      <c r="W41" s="131"/>
    </row>
    <row r="42" spans="1:23" ht="16.5" customHeight="1" x14ac:dyDescent="0.45">
      <c r="B42" s="257">
        <f>+'Trial Deposits Engine'!V57</f>
        <v>15</v>
      </c>
      <c r="C42" s="362">
        <f>+'eTool Data Engine'!T19</f>
        <v>-1783566.88</v>
      </c>
      <c r="D42" s="261"/>
      <c r="E42" s="490">
        <f>+'eTool Data Engine'!T15</f>
        <v>3253571.1715220837</v>
      </c>
      <c r="F42" s="258"/>
      <c r="G42" s="490">
        <f t="shared" si="6"/>
        <v>1470004.2915220838</v>
      </c>
      <c r="H42" s="259"/>
      <c r="I42" s="236" t="str">
        <f t="shared" si="7"/>
        <v>OK</v>
      </c>
      <c r="J42" s="326"/>
      <c r="K42" s="228"/>
      <c r="V42" s="131"/>
      <c r="W42" s="131"/>
    </row>
    <row r="43" spans="1:23" ht="16.5" customHeight="1" x14ac:dyDescent="0.45">
      <c r="B43" s="257">
        <f>+'Trial Deposits Engine'!W57</f>
        <v>16</v>
      </c>
      <c r="C43" s="362">
        <f>+'eTool Data Engine'!U19</f>
        <v>-2121263.73</v>
      </c>
      <c r="D43" s="261"/>
      <c r="E43" s="490">
        <f>+'eTool Data Engine'!U15</f>
        <v>3516908.510349649</v>
      </c>
      <c r="F43" s="258"/>
      <c r="G43" s="490">
        <f t="shared" si="6"/>
        <v>1395644.780349649</v>
      </c>
      <c r="H43" s="259"/>
      <c r="I43" s="236" t="str">
        <f t="shared" si="7"/>
        <v>OK</v>
      </c>
      <c r="J43" s="326"/>
      <c r="K43" s="228"/>
      <c r="V43" s="131"/>
      <c r="W43" s="131"/>
    </row>
    <row r="44" spans="1:23" ht="16.5" customHeight="1" x14ac:dyDescent="0.45">
      <c r="B44" s="257">
        <f>+'Trial Deposits Engine'!X57</f>
        <v>17</v>
      </c>
      <c r="C44" s="362">
        <f>+'eTool Data Engine'!V19</f>
        <v>-2417092.71</v>
      </c>
      <c r="D44" s="261"/>
      <c r="E44" s="490">
        <f>+'eTool Data Engine'!V15</f>
        <v>3786905.244142253</v>
      </c>
      <c r="F44" s="258"/>
      <c r="G44" s="490">
        <f t="shared" si="6"/>
        <v>1369812.534142253</v>
      </c>
      <c r="H44" s="259"/>
      <c r="I44" s="236" t="str">
        <f t="shared" si="7"/>
        <v>OK</v>
      </c>
      <c r="J44" s="326"/>
      <c r="K44" s="228"/>
      <c r="V44" s="131"/>
      <c r="W44" s="131"/>
    </row>
    <row r="45" spans="1:23" ht="16.5" customHeight="1" x14ac:dyDescent="0.45">
      <c r="B45" s="257">
        <f>+'Trial Deposits Engine'!Y57</f>
        <v>18</v>
      </c>
      <c r="C45" s="362">
        <f>+'eTool Data Engine'!W19</f>
        <v>-2379812.98</v>
      </c>
      <c r="D45" s="261"/>
      <c r="E45" s="490">
        <f>+'eTool Data Engine'!W15</f>
        <v>4063729.7787229968</v>
      </c>
      <c r="F45" s="258"/>
      <c r="G45" s="490">
        <f t="shared" si="6"/>
        <v>1683916.7987229968</v>
      </c>
      <c r="H45" s="259"/>
      <c r="I45" s="236" t="str">
        <f t="shared" si="7"/>
        <v>OK</v>
      </c>
      <c r="J45" s="326"/>
      <c r="K45" s="228"/>
      <c r="V45" s="131"/>
      <c r="W45" s="131"/>
    </row>
    <row r="46" spans="1:23" ht="16.5" customHeight="1" x14ac:dyDescent="0.45">
      <c r="B46" s="257">
        <f>+'Trial Deposits Engine'!Z57</f>
        <v>19</v>
      </c>
      <c r="C46" s="362">
        <f>+'eTool Data Engine'!X19</f>
        <v>-2196599.96</v>
      </c>
      <c r="D46" s="261"/>
      <c r="E46" s="490">
        <f>+'eTool Data Engine'!X15</f>
        <v>4347554.7786384076</v>
      </c>
      <c r="F46" s="258"/>
      <c r="G46" s="490">
        <f t="shared" si="6"/>
        <v>2150954.8186384076</v>
      </c>
      <c r="H46" s="259"/>
      <c r="I46" s="236" t="str">
        <f t="shared" si="7"/>
        <v>OK</v>
      </c>
      <c r="J46" s="326"/>
      <c r="K46" s="228"/>
      <c r="V46" s="131"/>
      <c r="W46" s="131"/>
    </row>
    <row r="47" spans="1:23" ht="16.5" customHeight="1" x14ac:dyDescent="0.45">
      <c r="B47" s="257">
        <f>+'Trial Deposits Engine'!AA57</f>
        <v>20</v>
      </c>
      <c r="C47" s="362">
        <f>+'eTool Data Engine'!Y19</f>
        <v>-1990912.82</v>
      </c>
      <c r="D47" s="261"/>
      <c r="E47" s="490">
        <f>+'eTool Data Engine'!Y15</f>
        <v>4638557.2748549618</v>
      </c>
      <c r="F47" s="258"/>
      <c r="G47" s="490">
        <f t="shared" si="6"/>
        <v>2647644.4548549615</v>
      </c>
      <c r="H47" s="259"/>
      <c r="I47" s="236" t="str">
        <f t="shared" si="7"/>
        <v>OK</v>
      </c>
      <c r="J47" s="326"/>
      <c r="K47" s="132"/>
      <c r="V47" s="131"/>
      <c r="W47" s="131"/>
    </row>
    <row r="48" spans="1:23" ht="16.5" customHeight="1" x14ac:dyDescent="0.45">
      <c r="B48" s="218"/>
      <c r="C48" s="218"/>
      <c r="D48" s="218"/>
      <c r="E48" s="262"/>
      <c r="F48" s="218"/>
      <c r="G48" s="218"/>
      <c r="H48" s="218"/>
      <c r="I48" s="252"/>
      <c r="J48" s="326"/>
      <c r="K48" s="228"/>
      <c r="V48" s="131"/>
      <c r="W48" s="131"/>
    </row>
    <row r="49" spans="2:23" ht="16.5" customHeight="1" x14ac:dyDescent="0.45">
      <c r="B49" s="218"/>
      <c r="C49" s="263"/>
      <c r="D49" s="264"/>
      <c r="E49" s="264"/>
      <c r="F49" s="264"/>
      <c r="G49" s="264"/>
      <c r="H49" s="264"/>
      <c r="I49" s="264"/>
      <c r="J49" s="326"/>
      <c r="K49" s="228"/>
      <c r="V49" s="131"/>
      <c r="W49" s="131"/>
    </row>
    <row r="50" spans="2:23" ht="15" customHeight="1" x14ac:dyDescent="0.45">
      <c r="B50" s="218"/>
      <c r="C50" s="264"/>
      <c r="D50" s="264"/>
      <c r="E50" s="264"/>
      <c r="F50" s="264"/>
      <c r="G50" s="264"/>
      <c r="H50" s="264"/>
      <c r="I50" s="264"/>
      <c r="J50" s="513"/>
      <c r="K50" s="228"/>
      <c r="V50" s="131"/>
      <c r="W50" s="131"/>
    </row>
    <row r="51" spans="2:23" x14ac:dyDescent="0.45">
      <c r="B51" s="218"/>
      <c r="C51" s="264"/>
      <c r="D51" s="264"/>
      <c r="E51" s="264"/>
      <c r="F51" s="264"/>
      <c r="G51" s="264"/>
      <c r="H51" s="264"/>
      <c r="I51" s="264"/>
      <c r="J51" s="514"/>
      <c r="K51" s="228"/>
      <c r="V51" s="131"/>
      <c r="W51" s="131"/>
    </row>
    <row r="52" spans="2:23" ht="14.65" thickBot="1" x14ac:dyDescent="0.5">
      <c r="B52" s="327"/>
      <c r="C52" s="327"/>
      <c r="D52" s="327"/>
      <c r="E52" s="327"/>
      <c r="F52" s="327"/>
      <c r="G52" s="327"/>
      <c r="H52" s="327"/>
      <c r="I52" s="327"/>
      <c r="J52" s="328"/>
      <c r="K52" s="228"/>
      <c r="V52" s="131"/>
      <c r="W52" s="131"/>
    </row>
    <row r="53" spans="2:23" x14ac:dyDescent="0.45">
      <c r="B53" s="228"/>
      <c r="C53" s="132"/>
      <c r="D53" s="228"/>
      <c r="E53" s="228"/>
      <c r="F53" s="228"/>
      <c r="G53" s="228"/>
      <c r="H53" s="228"/>
      <c r="I53" s="228"/>
      <c r="J53" s="228"/>
      <c r="K53" s="228"/>
      <c r="L53" s="228"/>
      <c r="V53" s="131"/>
      <c r="W53" s="131"/>
    </row>
    <row r="54" spans="2:23" x14ac:dyDescent="0.45">
      <c r="B54" s="218"/>
      <c r="C54" s="218"/>
      <c r="D54" s="218"/>
      <c r="E54" s="218"/>
      <c r="F54" s="218"/>
      <c r="G54" s="218"/>
      <c r="H54" s="218"/>
      <c r="I54" s="218"/>
      <c r="J54" s="218"/>
      <c r="K54" s="218"/>
      <c r="L54" s="326"/>
      <c r="M54" s="228"/>
      <c r="V54" s="131"/>
      <c r="W54" s="131"/>
    </row>
    <row r="55" spans="2:23" x14ac:dyDescent="0.45">
      <c r="B55" s="218"/>
      <c r="C55" s="1108" t="s">
        <v>77</v>
      </c>
      <c r="D55" s="1109"/>
      <c r="E55" s="1109"/>
      <c r="F55" s="1109"/>
      <c r="G55" s="1109"/>
      <c r="H55" s="1109"/>
      <c r="I55" s="1109"/>
      <c r="J55" s="1109"/>
      <c r="K55" s="1110"/>
      <c r="L55" s="326"/>
      <c r="M55" s="228"/>
      <c r="V55" s="131"/>
      <c r="W55" s="131"/>
    </row>
    <row r="56" spans="2:23" ht="17.25" customHeight="1" x14ac:dyDescent="0.45">
      <c r="B56" s="218"/>
      <c r="C56" s="218"/>
      <c r="D56" s="218"/>
      <c r="E56" s="218"/>
      <c r="F56" s="218"/>
      <c r="G56" s="218"/>
      <c r="H56" s="218"/>
      <c r="I56" s="218"/>
      <c r="J56" s="218"/>
      <c r="K56" s="218"/>
      <c r="L56" s="326"/>
      <c r="M56" s="228"/>
      <c r="V56" s="131"/>
      <c r="W56" s="131"/>
    </row>
    <row r="57" spans="2:23" ht="34.9" x14ac:dyDescent="0.45">
      <c r="B57" s="484" t="s">
        <v>73</v>
      </c>
      <c r="C57" s="484" t="s">
        <v>79</v>
      </c>
      <c r="D57" s="488"/>
      <c r="E57" s="484" t="s">
        <v>80</v>
      </c>
      <c r="F57" s="488"/>
      <c r="G57" s="484" t="s">
        <v>81</v>
      </c>
      <c r="H57" s="491"/>
      <c r="I57" s="484" t="s">
        <v>538</v>
      </c>
      <c r="J57" s="491"/>
      <c r="K57" s="484" t="s">
        <v>82</v>
      </c>
      <c r="L57" s="326"/>
      <c r="M57" s="228"/>
      <c r="V57" s="131"/>
      <c r="W57" s="131"/>
    </row>
    <row r="58" spans="2:23" x14ac:dyDescent="0.45">
      <c r="B58" s="257">
        <v>1</v>
      </c>
      <c r="C58" s="362">
        <f>-+'Trial Deposits Engine'!H78</f>
        <v>0</v>
      </c>
      <c r="D58" s="489"/>
      <c r="E58" s="362">
        <f>+'eTool Data Engine'!F18</f>
        <v>335249.58</v>
      </c>
      <c r="F58" s="489"/>
      <c r="G58" s="362">
        <f>+'eTool Data Engine'!F17</f>
        <v>725130.25</v>
      </c>
      <c r="H58" s="492"/>
      <c r="I58" s="362">
        <f>+'Paste Financial Sched.'!B3+'Paste Financial Sched.'!B4+'Paste Financial Sched.'!B5</f>
        <v>725130.25</v>
      </c>
      <c r="J58" s="492"/>
      <c r="K58" s="362">
        <f>+C58/'eTool Data Engine'!$C$23</f>
        <v>0</v>
      </c>
      <c r="L58" s="326"/>
      <c r="M58" s="228"/>
      <c r="V58" s="131"/>
      <c r="W58" s="131"/>
    </row>
    <row r="59" spans="2:23" x14ac:dyDescent="0.45">
      <c r="B59" s="257">
        <v>2</v>
      </c>
      <c r="C59" s="362">
        <f>-+'Trial Deposits Engine'!I78</f>
        <v>0</v>
      </c>
      <c r="D59" s="489"/>
      <c r="E59" s="362">
        <f>+'eTool Data Engine'!G18</f>
        <v>341954.57</v>
      </c>
      <c r="F59" s="489"/>
      <c r="G59" s="362">
        <f>+'eTool Data Engine'!G17</f>
        <v>990988.27</v>
      </c>
      <c r="H59" s="493"/>
      <c r="I59" s="362">
        <f>+'Paste Financial Sched.'!C$4+'Paste Financial Sched.'!C$5</f>
        <v>265858.02</v>
      </c>
      <c r="J59" s="493"/>
      <c r="K59" s="362">
        <f>+C59/'eTool Data Engine'!$C$23</f>
        <v>0</v>
      </c>
      <c r="L59" s="326"/>
      <c r="M59" s="228"/>
    </row>
    <row r="60" spans="2:23" x14ac:dyDescent="0.45">
      <c r="B60" s="257">
        <v>3</v>
      </c>
      <c r="C60" s="362">
        <f>-+'Trial Deposits Engine'!J78</f>
        <v>345094.42</v>
      </c>
      <c r="D60" s="489"/>
      <c r="E60" s="362">
        <f>+'eTool Data Engine'!H18</f>
        <v>348793.66</v>
      </c>
      <c r="F60" s="489"/>
      <c r="G60" s="362">
        <f>+'eTool Data Engine'!H17</f>
        <v>924537.53</v>
      </c>
      <c r="H60" s="493"/>
      <c r="I60" s="362">
        <f>+'Paste Financial Sched.'!D$4+'Paste Financial Sched.'!D$5</f>
        <v>278643.67</v>
      </c>
      <c r="J60" s="493"/>
      <c r="K60" s="362">
        <f>+C60/'eTool Data Engine'!$C$23</f>
        <v>756.7860087719298</v>
      </c>
      <c r="L60" s="326"/>
      <c r="M60" s="228"/>
    </row>
    <row r="61" spans="2:23" x14ac:dyDescent="0.45">
      <c r="B61" s="257">
        <v>4</v>
      </c>
      <c r="C61" s="362">
        <f>-+'Trial Deposits Engine'!K78</f>
        <v>287848.42</v>
      </c>
      <c r="D61" s="489"/>
      <c r="E61" s="362">
        <f>+'eTool Data Engine'!I18</f>
        <v>355769.54</v>
      </c>
      <c r="F61" s="489"/>
      <c r="G61" s="362">
        <f>+'eTool Data Engine'!I17</f>
        <v>919611.61</v>
      </c>
      <c r="H61" s="487"/>
      <c r="I61" s="362">
        <f>+'Paste Financial Sched.'!E$4+'Paste Financial Sched.'!E$5</f>
        <v>282922.49</v>
      </c>
      <c r="J61" s="487"/>
      <c r="K61" s="362">
        <f>+C61/'eTool Data Engine'!$C$23</f>
        <v>631.24653508771928</v>
      </c>
      <c r="L61" s="326"/>
      <c r="M61" s="228"/>
    </row>
    <row r="62" spans="2:23" x14ac:dyDescent="0.45">
      <c r="B62" s="257">
        <v>5</v>
      </c>
      <c r="C62" s="362">
        <f>-+'Trial Deposits Engine'!L78</f>
        <v>514096.82</v>
      </c>
      <c r="D62" s="489"/>
      <c r="E62" s="362">
        <f>+'eTool Data Engine'!J18</f>
        <v>362884.93</v>
      </c>
      <c r="F62" s="489"/>
      <c r="G62" s="362">
        <f>+'eTool Data Engine'!J17</f>
        <v>693744.48</v>
      </c>
      <c r="H62" s="487"/>
      <c r="I62" s="362">
        <f>+'Paste Financial Sched.'!F$4+'Paste Financial Sched.'!F$5</f>
        <v>288229.69</v>
      </c>
      <c r="J62" s="487"/>
      <c r="K62" s="362">
        <f>+C62/'eTool Data Engine'!$C$23</f>
        <v>1127.4053070175439</v>
      </c>
      <c r="L62" s="326"/>
      <c r="M62" s="228"/>
      <c r="U62" s="131"/>
    </row>
    <row r="63" spans="2:23" x14ac:dyDescent="0.45">
      <c r="B63" s="257">
        <v>6</v>
      </c>
      <c r="C63" s="362">
        <f>-+'Trial Deposits Engine'!M78</f>
        <v>473399.52</v>
      </c>
      <c r="D63" s="489"/>
      <c r="E63" s="362">
        <f>+'eTool Data Engine'!K18</f>
        <v>370142.63</v>
      </c>
      <c r="F63" s="489"/>
      <c r="G63" s="362">
        <f>+'eTool Data Engine'!K17</f>
        <v>510675.36</v>
      </c>
      <c r="H63" s="487"/>
      <c r="I63" s="362">
        <f>+'Paste Financial Sched.'!G$4+'Paste Financial Sched.'!G$5</f>
        <v>290330.39999999997</v>
      </c>
      <c r="J63" s="487"/>
      <c r="K63" s="362">
        <f>+C63/'eTool Data Engine'!$C$23</f>
        <v>1038.1568421052632</v>
      </c>
      <c r="L63" s="326"/>
      <c r="M63" s="228"/>
    </row>
    <row r="64" spans="2:23" x14ac:dyDescent="0.45">
      <c r="B64" s="257">
        <v>7</v>
      </c>
      <c r="C64" s="362">
        <f>+-'Trial Deposits Engine'!N78</f>
        <v>425964.13</v>
      </c>
      <c r="D64" s="489"/>
      <c r="E64" s="362">
        <f>+'eTool Data Engine'!L18</f>
        <v>377545.48</v>
      </c>
      <c r="F64" s="489"/>
      <c r="G64" s="362">
        <f>+'eTool Data Engine'!L17</f>
        <v>377894.07</v>
      </c>
      <c r="H64" s="487"/>
      <c r="I64" s="362">
        <f>+'Paste Financial Sched.'!H$4+'Paste Financial Sched.'!H$5</f>
        <v>293182.84999999998</v>
      </c>
      <c r="J64" s="487"/>
      <c r="K64" s="362">
        <f>+C64/'eTool Data Engine'!$C$23</f>
        <v>934.13186403508769</v>
      </c>
      <c r="L64" s="326"/>
      <c r="M64" s="228"/>
    </row>
    <row r="65" spans="1:13" x14ac:dyDescent="0.45">
      <c r="B65" s="257">
        <v>8</v>
      </c>
      <c r="C65" s="362">
        <f>-+'Trial Deposits Engine'!O78</f>
        <v>273292.93</v>
      </c>
      <c r="D65" s="489"/>
      <c r="E65" s="362">
        <f>+'eTool Data Engine'!M18</f>
        <v>385096.39</v>
      </c>
      <c r="F65" s="489"/>
      <c r="G65" s="362">
        <f>+'eTool Data Engine'!M17</f>
        <v>401502.71999999997</v>
      </c>
      <c r="H65" s="487"/>
      <c r="I65" s="362">
        <f>+'Paste Financial Sched.'!I$4+'Paste Financial Sched.'!I$5</f>
        <v>296901.57999999996</v>
      </c>
      <c r="J65" s="487"/>
      <c r="K65" s="362">
        <f>+C65/'eTool Data Engine'!$C$23</f>
        <v>599.32660087719296</v>
      </c>
      <c r="L65" s="326"/>
      <c r="M65" s="228"/>
    </row>
    <row r="66" spans="1:13" ht="15" customHeight="1" x14ac:dyDescent="0.45">
      <c r="A66" s="132"/>
      <c r="B66" s="257">
        <v>9</v>
      </c>
      <c r="C66" s="362">
        <f>-+'Trial Deposits Engine'!P78</f>
        <v>223601.16</v>
      </c>
      <c r="D66" s="489"/>
      <c r="E66" s="362">
        <f>+'eTool Data Engine'!N18</f>
        <v>392798.32</v>
      </c>
      <c r="F66" s="489"/>
      <c r="G66" s="362">
        <f>+'eTool Data Engine'!N17</f>
        <v>480981.94</v>
      </c>
      <c r="H66" s="487"/>
      <c r="I66" s="362">
        <f>+'Paste Financial Sched.'!J$4+'Paste Financial Sched.'!J$5</f>
        <v>303080.37</v>
      </c>
      <c r="J66" s="487"/>
      <c r="K66" s="362">
        <f>+C66/'eTool Data Engine'!$C$23</f>
        <v>490.35342105263157</v>
      </c>
      <c r="L66" s="326"/>
      <c r="M66" s="228"/>
    </row>
    <row r="67" spans="1:13" x14ac:dyDescent="0.45">
      <c r="B67" s="257">
        <v>10</v>
      </c>
      <c r="C67" s="362">
        <f>-+'Trial Deposits Engine'!Q78</f>
        <v>357422.04</v>
      </c>
      <c r="D67" s="489"/>
      <c r="E67" s="362">
        <f>+'eTool Data Engine'!O18</f>
        <v>400654.28</v>
      </c>
      <c r="F67" s="489"/>
      <c r="G67" s="362">
        <f>+'eTool Data Engine'!O17</f>
        <v>433773.62</v>
      </c>
      <c r="H67" s="487"/>
      <c r="I67" s="362">
        <f>+'Paste Financial Sched.'!K$4+'Paste Financial Sched.'!K$5</f>
        <v>310213.71999999997</v>
      </c>
      <c r="J67" s="487"/>
      <c r="K67" s="362">
        <f>+C67/'eTool Data Engine'!$C$23</f>
        <v>783.82026315789471</v>
      </c>
      <c r="L67" s="326"/>
      <c r="M67" s="228"/>
    </row>
    <row r="68" spans="1:13" x14ac:dyDescent="0.45">
      <c r="B68" s="257">
        <v>11</v>
      </c>
      <c r="C68" s="362">
        <f>-+'Trial Deposits Engine'!R78</f>
        <v>860042.46</v>
      </c>
      <c r="D68" s="489"/>
      <c r="E68" s="362">
        <f>+'eTool Data Engine'!P18</f>
        <v>408667.37</v>
      </c>
      <c r="F68" s="489"/>
      <c r="G68" s="362">
        <f>+'eTool Data Engine'!P17</f>
        <v>-110703.27</v>
      </c>
      <c r="H68" s="487"/>
      <c r="I68" s="362">
        <f>+'Paste Financial Sched.'!L$4+'Paste Financial Sched.'!L$5</f>
        <v>315565.56999999995</v>
      </c>
      <c r="J68" s="487"/>
      <c r="K68" s="362">
        <f>+C68/'eTool Data Engine'!$C$23</f>
        <v>1886.0580263157894</v>
      </c>
      <c r="L68" s="326"/>
      <c r="M68" s="228"/>
    </row>
    <row r="69" spans="1:13" x14ac:dyDescent="0.45">
      <c r="B69" s="257">
        <v>12</v>
      </c>
      <c r="C69" s="362">
        <f>-+'Trial Deposits Engine'!S78</f>
        <v>815520.15</v>
      </c>
      <c r="D69" s="489"/>
      <c r="E69" s="362">
        <f>+'eTool Data Engine'!Q18</f>
        <v>416840.71</v>
      </c>
      <c r="F69" s="489"/>
      <c r="G69" s="362">
        <f>+'eTool Data Engine'!Q17</f>
        <v>-610983.27</v>
      </c>
      <c r="H69" s="487"/>
      <c r="I69" s="362">
        <f>+'Paste Financial Sched.'!M$4+'Paste Financial Sched.'!M$5</f>
        <v>315240.15000000002</v>
      </c>
      <c r="J69" s="487"/>
      <c r="K69" s="362">
        <f>+C69/'eTool Data Engine'!$C$23</f>
        <v>1788.4213815789474</v>
      </c>
      <c r="L69" s="326"/>
      <c r="M69" s="228"/>
    </row>
    <row r="70" spans="1:13" x14ac:dyDescent="0.45">
      <c r="B70" s="257">
        <v>13</v>
      </c>
      <c r="C70" s="362">
        <f>-+'Trial Deposits Engine'!T78</f>
        <v>728117.64</v>
      </c>
      <c r="D70" s="489"/>
      <c r="E70" s="362">
        <f>+'eTool Data Engine'!R18</f>
        <v>425177.53</v>
      </c>
      <c r="F70" s="489"/>
      <c r="G70" s="362">
        <f>+'eTool Data Engine'!R17</f>
        <v>-1017555.96</v>
      </c>
      <c r="H70" s="487"/>
      <c r="I70" s="362">
        <f>+'Paste Financial Sched.'!N$4+'Paste Financial Sched.'!N$5</f>
        <v>321544.95</v>
      </c>
      <c r="J70" s="487"/>
      <c r="K70" s="362">
        <f>+C70/'eTool Data Engine'!$C$23</f>
        <v>1596.7492105263159</v>
      </c>
      <c r="L70" s="326"/>
      <c r="M70" s="228"/>
    </row>
    <row r="71" spans="1:13" x14ac:dyDescent="0.45">
      <c r="B71" s="257">
        <v>14</v>
      </c>
      <c r="C71" s="362">
        <f>-+'Trial Deposits Engine'!U78</f>
        <v>276499.39</v>
      </c>
      <c r="D71" s="489"/>
      <c r="E71" s="362">
        <f>+'eTool Data Engine'!S18</f>
        <v>433681.08</v>
      </c>
      <c r="F71" s="489"/>
      <c r="G71" s="362">
        <f>+'eTool Data Engine'!S17</f>
        <v>-966079.5</v>
      </c>
      <c r="H71" s="487"/>
      <c r="I71" s="362">
        <f>+'Paste Financial Sched.'!O$4+'Paste Financial Sched.'!O$5</f>
        <v>327975.84999999998</v>
      </c>
      <c r="J71" s="487"/>
      <c r="K71" s="362">
        <f>+C71/'eTool Data Engine'!$C$23</f>
        <v>606.35831140350876</v>
      </c>
      <c r="L71" s="326"/>
      <c r="M71" s="228"/>
    </row>
    <row r="72" spans="1:13" x14ac:dyDescent="0.45">
      <c r="B72" s="257">
        <v>15</v>
      </c>
      <c r="C72" s="362">
        <f>-+'Trial Deposits Engine'!V78</f>
        <v>709668.05</v>
      </c>
      <c r="D72" s="489"/>
      <c r="E72" s="362">
        <f>+'eTool Data Engine'!T18</f>
        <v>442354.7</v>
      </c>
      <c r="F72" s="489"/>
      <c r="G72" s="362">
        <f>+'eTool Data Engine'!T17</f>
        <v>-1341212.18</v>
      </c>
      <c r="H72" s="487"/>
      <c r="I72" s="362">
        <f>+'Paste Financial Sched.'!P$4+'Paste Financial Sched.'!P$5</f>
        <v>334535.37</v>
      </c>
      <c r="J72" s="487"/>
      <c r="K72" s="362">
        <f>+C72/'eTool Data Engine'!$C$23</f>
        <v>1556.2895833333334</v>
      </c>
      <c r="L72" s="326"/>
      <c r="M72" s="228"/>
    </row>
    <row r="73" spans="1:13" x14ac:dyDescent="0.45">
      <c r="B73" s="257">
        <v>16</v>
      </c>
      <c r="C73" s="362">
        <f>-+'Trial Deposits Engine'!W78</f>
        <v>670075.81999999995</v>
      </c>
      <c r="D73" s="489"/>
      <c r="E73" s="362">
        <f>+'eTool Data Engine'!U18</f>
        <v>451201.8</v>
      </c>
      <c r="F73" s="489"/>
      <c r="G73" s="362">
        <f>+'eTool Data Engine'!U17</f>
        <v>-1670061.93</v>
      </c>
      <c r="H73" s="487"/>
      <c r="I73" s="362">
        <f>+'Paste Financial Sched.'!Q$4+'Paste Financial Sched.'!Q$5</f>
        <v>341226.08</v>
      </c>
      <c r="J73" s="487"/>
      <c r="K73" s="362">
        <f>+C73/'eTool Data Engine'!$C$23</f>
        <v>1469.4645175438595</v>
      </c>
      <c r="L73" s="326"/>
      <c r="M73" s="228"/>
    </row>
    <row r="74" spans="1:13" x14ac:dyDescent="0.45">
      <c r="B74" s="257">
        <v>17</v>
      </c>
      <c r="C74" s="362">
        <f>-+'Trial Deposits Engine'!X78</f>
        <v>634855.55000000005</v>
      </c>
      <c r="D74" s="489"/>
      <c r="E74" s="362">
        <f>+'eTool Data Engine'!V18</f>
        <v>460225.83</v>
      </c>
      <c r="F74" s="489"/>
      <c r="G74" s="362">
        <f>+'eTool Data Engine'!V17</f>
        <v>-1956866.88</v>
      </c>
      <c r="H74" s="487"/>
      <c r="I74" s="362">
        <f>+'Paste Financial Sched.'!R$4+'Paste Financial Sched.'!R$5</f>
        <v>348050.6</v>
      </c>
      <c r="J74" s="487"/>
      <c r="K74" s="362">
        <f>+C74/'eTool Data Engine'!$C$23</f>
        <v>1392.2270833333334</v>
      </c>
      <c r="L74" s="326"/>
      <c r="M74" s="228"/>
    </row>
    <row r="75" spans="1:13" x14ac:dyDescent="0.45">
      <c r="B75" s="257">
        <v>18</v>
      </c>
      <c r="C75" s="362">
        <f>-+'Trial Deposits Engine'!Y78</f>
        <v>308527.35999999999</v>
      </c>
      <c r="D75" s="489"/>
      <c r="E75" s="362">
        <f>+'eTool Data Engine'!W18</f>
        <v>469430.35</v>
      </c>
      <c r="F75" s="489"/>
      <c r="G75" s="362">
        <f>+'eTool Data Engine'!W17</f>
        <v>-1910382.63</v>
      </c>
      <c r="H75" s="487"/>
      <c r="I75" s="362">
        <f>+'Paste Financial Sched.'!S$4+'Paste Financial Sched.'!S$5</f>
        <v>355011.61</v>
      </c>
      <c r="J75" s="487"/>
      <c r="K75" s="362">
        <f>+C75/'eTool Data Engine'!$C$23</f>
        <v>676.59508771929825</v>
      </c>
      <c r="L75" s="326"/>
      <c r="M75" s="228"/>
    </row>
    <row r="76" spans="1:13" x14ac:dyDescent="0.45">
      <c r="B76" s="257">
        <v>19</v>
      </c>
      <c r="C76" s="362">
        <f>-+'Trial Deposits Engine'!Z78</f>
        <v>169510.22</v>
      </c>
      <c r="D76" s="489"/>
      <c r="E76" s="362">
        <f>+'eTool Data Engine'!X18</f>
        <v>478818.95</v>
      </c>
      <c r="F76" s="489"/>
      <c r="G76" s="362">
        <f>+'eTool Data Engine'!X17</f>
        <v>-1717781.01</v>
      </c>
      <c r="H76" s="487"/>
      <c r="I76" s="362">
        <f>+'Paste Financial Sched.'!T$4+'Paste Financial Sched.'!T$5</f>
        <v>362111.84</v>
      </c>
      <c r="J76" s="487"/>
      <c r="K76" s="362">
        <f>+C76/'eTool Data Engine'!$C$23</f>
        <v>371.73293859649124</v>
      </c>
      <c r="L76" s="326"/>
      <c r="M76" s="228"/>
    </row>
    <row r="77" spans="1:13" x14ac:dyDescent="0.45">
      <c r="B77" s="257">
        <v>20</v>
      </c>
      <c r="C77" s="362">
        <f>-+'Trial Deposits Engine'!AA78</f>
        <v>154090.56</v>
      </c>
      <c r="D77" s="489"/>
      <c r="E77" s="362">
        <f>+'eTool Data Engine'!Y18</f>
        <v>488395.33</v>
      </c>
      <c r="F77" s="489"/>
      <c r="G77" s="362">
        <f>+'eTool Data Engine'!Y17</f>
        <v>-1502517.49</v>
      </c>
      <c r="H77" s="487"/>
      <c r="I77" s="362">
        <f>+'Paste Financial Sched.'!U$4+'Paste Financial Sched.'!U$5</f>
        <v>369354.08</v>
      </c>
      <c r="J77" s="487"/>
      <c r="K77" s="362">
        <f>+C77/'eTool Data Engine'!$C$23</f>
        <v>337.91789473684207</v>
      </c>
      <c r="L77" s="326"/>
      <c r="M77" s="228"/>
    </row>
    <row r="78" spans="1:13" ht="16.5" customHeight="1" x14ac:dyDescent="0.45">
      <c r="B78" s="503" t="s">
        <v>436</v>
      </c>
      <c r="C78" s="504">
        <f>SUM(C58:C77)</f>
        <v>8227626.6399999997</v>
      </c>
      <c r="D78" s="331"/>
      <c r="E78" s="331"/>
      <c r="F78" s="1106" t="s">
        <v>437</v>
      </c>
      <c r="G78" s="1106"/>
      <c r="H78" s="1106"/>
      <c r="I78" s="504">
        <f>SUM(I58:I77)</f>
        <v>6725109.1399999997</v>
      </c>
      <c r="J78" s="331"/>
      <c r="K78" s="504">
        <f>SUM(K58:K77)</f>
        <v>18043.040877192983</v>
      </c>
      <c r="L78" s="140"/>
      <c r="M78" s="228"/>
    </row>
    <row r="79" spans="1:13" ht="14.65" thickBot="1" x14ac:dyDescent="0.5">
      <c r="B79" s="505"/>
      <c r="C79" s="505"/>
      <c r="D79" s="505"/>
      <c r="E79" s="505"/>
      <c r="F79" s="1107" t="s">
        <v>438</v>
      </c>
      <c r="G79" s="1107"/>
      <c r="H79" s="1107"/>
      <c r="I79" s="506">
        <f>+I78-C78</f>
        <v>-1502517.5</v>
      </c>
      <c r="J79" s="505"/>
      <c r="K79" s="506">
        <f>+I79/'eTool Data Engine'!C23</f>
        <v>-3294.9945175438597</v>
      </c>
      <c r="L79" s="142"/>
      <c r="M79" s="228"/>
    </row>
    <row r="80" spans="1:13" ht="15" customHeight="1" x14ac:dyDescent="0.45">
      <c r="B80" s="228"/>
      <c r="C80" s="228"/>
      <c r="D80" s="228"/>
      <c r="E80" s="228"/>
      <c r="F80" s="228"/>
      <c r="G80" s="228"/>
      <c r="H80" s="228"/>
      <c r="I80" s="228"/>
      <c r="J80" s="228"/>
      <c r="K80" s="228"/>
      <c r="L80" s="228"/>
      <c r="M80" s="228"/>
    </row>
    <row r="81" spans="1:13" x14ac:dyDescent="0.45">
      <c r="A81" s="132"/>
      <c r="B81" s="132"/>
      <c r="C81" s="132"/>
      <c r="D81" s="132"/>
      <c r="E81" s="132"/>
      <c r="F81" s="132"/>
      <c r="G81" s="132"/>
      <c r="H81" s="132"/>
      <c r="I81" s="132"/>
      <c r="J81" s="132"/>
      <c r="K81" s="132"/>
      <c r="L81" s="228"/>
      <c r="M81" s="228"/>
    </row>
    <row r="82" spans="1:13" ht="15" customHeight="1" x14ac:dyDescent="0.45">
      <c r="A82" s="132"/>
    </row>
    <row r="83" spans="1:13" ht="15" customHeight="1" x14ac:dyDescent="0.45">
      <c r="A83" s="132"/>
    </row>
    <row r="84" spans="1:13" x14ac:dyDescent="0.45">
      <c r="A84" s="132"/>
    </row>
    <row r="85" spans="1:13" x14ac:dyDescent="0.45">
      <c r="A85" s="132"/>
    </row>
    <row r="86" spans="1:13" x14ac:dyDescent="0.45">
      <c r="A86" s="132"/>
    </row>
    <row r="87" spans="1:13" x14ac:dyDescent="0.45">
      <c r="A87" s="132"/>
    </row>
    <row r="88" spans="1:13" x14ac:dyDescent="0.45">
      <c r="A88" s="132"/>
    </row>
    <row r="89" spans="1:13" x14ac:dyDescent="0.45">
      <c r="A89" s="132"/>
    </row>
    <row r="90" spans="1:13" x14ac:dyDescent="0.45">
      <c r="A90" s="132"/>
    </row>
    <row r="91" spans="1:13" x14ac:dyDescent="0.45">
      <c r="A91" s="132"/>
    </row>
    <row r="92" spans="1:13" x14ac:dyDescent="0.45">
      <c r="A92" s="132"/>
    </row>
    <row r="93" spans="1:13" x14ac:dyDescent="0.45">
      <c r="A93" s="132"/>
    </row>
    <row r="94" spans="1:13" x14ac:dyDescent="0.45">
      <c r="A94" s="132"/>
    </row>
    <row r="95" spans="1:13" x14ac:dyDescent="0.45">
      <c r="A95" s="132"/>
    </row>
    <row r="96" spans="1:13" x14ac:dyDescent="0.45">
      <c r="A96" s="132"/>
    </row>
    <row r="97" spans="1:21" ht="15" customHeight="1" x14ac:dyDescent="0.45">
      <c r="A97" s="132"/>
    </row>
    <row r="98" spans="1:21" x14ac:dyDescent="0.45">
      <c r="A98" s="132"/>
    </row>
    <row r="99" spans="1:21" x14ac:dyDescent="0.45">
      <c r="A99" s="132"/>
    </row>
    <row r="100" spans="1:21" ht="15.75" customHeight="1" x14ac:dyDescent="0.45">
      <c r="A100" s="132"/>
    </row>
    <row r="101" spans="1:21" x14ac:dyDescent="0.45">
      <c r="A101" s="132"/>
      <c r="B101" s="131"/>
      <c r="C101" s="131"/>
      <c r="D101" s="131"/>
      <c r="E101" s="131"/>
      <c r="F101" s="131"/>
      <c r="G101" s="131"/>
      <c r="H101" s="131"/>
      <c r="I101" s="131"/>
      <c r="J101" s="131"/>
      <c r="K101" s="131"/>
      <c r="L101" s="131"/>
      <c r="M101" s="131"/>
      <c r="N101" s="131"/>
      <c r="O101" s="131"/>
      <c r="P101" s="131"/>
      <c r="Q101" s="131"/>
      <c r="R101" s="131"/>
      <c r="S101" s="131"/>
      <c r="T101" s="131"/>
      <c r="U101" s="131"/>
    </row>
    <row r="102" spans="1:21" x14ac:dyDescent="0.45">
      <c r="A102" s="132"/>
      <c r="B102" s="131"/>
      <c r="C102" s="131"/>
      <c r="D102" s="131"/>
      <c r="E102" s="131"/>
      <c r="F102" s="131"/>
      <c r="G102" s="131"/>
      <c r="H102" s="131"/>
      <c r="I102" s="131"/>
      <c r="J102" s="131"/>
      <c r="K102" s="131"/>
      <c r="L102" s="131"/>
      <c r="M102" s="131"/>
      <c r="N102" s="131"/>
      <c r="O102" s="131"/>
      <c r="P102" s="131"/>
      <c r="Q102" s="131"/>
      <c r="R102" s="131"/>
      <c r="S102" s="131"/>
      <c r="T102" s="131"/>
      <c r="U102" s="131"/>
    </row>
    <row r="103" spans="1:21" x14ac:dyDescent="0.45">
      <c r="A103" s="132"/>
      <c r="B103" s="131"/>
      <c r="C103" s="131"/>
      <c r="D103" s="131"/>
      <c r="E103" s="131"/>
      <c r="F103" s="131"/>
      <c r="G103" s="131"/>
      <c r="H103" s="131"/>
      <c r="I103" s="131"/>
      <c r="J103" s="131"/>
      <c r="K103" s="131"/>
      <c r="L103" s="131"/>
      <c r="M103" s="131"/>
      <c r="N103" s="131"/>
      <c r="O103" s="131"/>
      <c r="P103" s="131"/>
      <c r="Q103" s="131"/>
      <c r="R103" s="131"/>
      <c r="S103" s="131"/>
      <c r="T103" s="131"/>
      <c r="U103" s="131"/>
    </row>
    <row r="104" spans="1:21" x14ac:dyDescent="0.45">
      <c r="A104" s="132"/>
      <c r="B104" s="131"/>
      <c r="C104" s="131"/>
      <c r="D104" s="131"/>
      <c r="E104" s="131"/>
      <c r="F104" s="131"/>
      <c r="G104" s="131"/>
      <c r="H104" s="131"/>
      <c r="I104" s="131"/>
      <c r="J104" s="131"/>
      <c r="K104" s="131"/>
      <c r="L104" s="131"/>
      <c r="M104" s="131"/>
      <c r="N104" s="131"/>
      <c r="O104" s="131"/>
      <c r="P104" s="131"/>
      <c r="Q104" s="131"/>
      <c r="R104" s="131"/>
      <c r="S104" s="131"/>
      <c r="T104" s="131"/>
      <c r="U104" s="131"/>
    </row>
    <row r="105" spans="1:21" ht="15" customHeight="1" x14ac:dyDescent="0.45">
      <c r="A105" s="132"/>
    </row>
    <row r="106" spans="1:21" ht="15" customHeight="1" x14ac:dyDescent="0.45">
      <c r="A106" s="132"/>
    </row>
    <row r="107" spans="1:21" x14ac:dyDescent="0.45">
      <c r="A107" s="132"/>
    </row>
    <row r="108" spans="1:21" x14ac:dyDescent="0.45">
      <c r="A108" s="132"/>
    </row>
    <row r="109" spans="1:21" x14ac:dyDescent="0.45">
      <c r="A109" s="132"/>
    </row>
    <row r="110" spans="1:21" x14ac:dyDescent="0.45">
      <c r="A110" s="132"/>
    </row>
    <row r="111" spans="1:21" x14ac:dyDescent="0.45">
      <c r="A111" s="132"/>
    </row>
    <row r="112" spans="1:21" x14ac:dyDescent="0.45">
      <c r="A112" s="132"/>
    </row>
    <row r="113" spans="1:1" x14ac:dyDescent="0.45">
      <c r="A113" s="132"/>
    </row>
    <row r="114" spans="1:1" x14ac:dyDescent="0.45">
      <c r="A114" s="132"/>
    </row>
    <row r="115" spans="1:1" x14ac:dyDescent="0.45">
      <c r="A115" s="132"/>
    </row>
    <row r="116" spans="1:1" x14ac:dyDescent="0.45">
      <c r="A116" s="132"/>
    </row>
    <row r="117" spans="1:1" x14ac:dyDescent="0.45">
      <c r="A117" s="132"/>
    </row>
    <row r="118" spans="1:1" x14ac:dyDescent="0.45">
      <c r="A118" s="132"/>
    </row>
    <row r="119" spans="1:1" x14ac:dyDescent="0.45">
      <c r="A119" s="132"/>
    </row>
    <row r="120" spans="1:1" x14ac:dyDescent="0.45">
      <c r="A120" s="132"/>
    </row>
    <row r="121" spans="1:1" x14ac:dyDescent="0.45">
      <c r="A121" s="132"/>
    </row>
    <row r="122" spans="1:1" x14ac:dyDescent="0.45">
      <c r="A122" s="132"/>
    </row>
    <row r="123" spans="1:1" x14ac:dyDescent="0.45">
      <c r="A123" s="132"/>
    </row>
    <row r="124" spans="1:1" x14ac:dyDescent="0.45">
      <c r="A124" s="132"/>
    </row>
    <row r="125" spans="1:1" x14ac:dyDescent="0.45">
      <c r="A125" s="132"/>
    </row>
    <row r="126" spans="1:1" x14ac:dyDescent="0.45">
      <c r="A126" s="132"/>
    </row>
    <row r="127" spans="1:1" x14ac:dyDescent="0.45">
      <c r="A127" s="132"/>
    </row>
    <row r="128" spans="1:1" x14ac:dyDescent="0.45">
      <c r="A128" s="132"/>
    </row>
    <row r="129" spans="1:18" x14ac:dyDescent="0.45">
      <c r="A129" s="132"/>
    </row>
    <row r="130" spans="1:18" x14ac:dyDescent="0.45">
      <c r="A130" s="132"/>
    </row>
    <row r="131" spans="1:18" x14ac:dyDescent="0.45">
      <c r="A131" s="132"/>
      <c r="M131" s="131"/>
      <c r="N131" s="131"/>
      <c r="O131" s="131"/>
      <c r="P131" s="131"/>
      <c r="Q131" s="131"/>
      <c r="R131" s="131"/>
    </row>
    <row r="132" spans="1:18" x14ac:dyDescent="0.45">
      <c r="A132" s="132"/>
      <c r="B132" s="481"/>
      <c r="C132" s="482"/>
      <c r="D132" s="482"/>
      <c r="E132" s="482"/>
      <c r="F132" s="482"/>
      <c r="G132" s="482"/>
      <c r="H132" s="482"/>
      <c r="I132" s="132"/>
      <c r="K132" s="131"/>
      <c r="L132" s="131"/>
      <c r="M132" s="131"/>
      <c r="N132" s="131"/>
      <c r="O132" s="131"/>
      <c r="P132" s="131"/>
      <c r="Q132" s="131"/>
      <c r="R132" s="131"/>
    </row>
    <row r="133" spans="1:18" ht="15" customHeight="1" x14ac:dyDescent="0.45">
      <c r="A133" s="132"/>
      <c r="B133" s="482"/>
      <c r="C133" s="482"/>
      <c r="D133" s="482"/>
      <c r="E133" s="482"/>
      <c r="F133" s="482"/>
      <c r="G133" s="482"/>
      <c r="H133" s="482"/>
      <c r="I133" s="132"/>
      <c r="K133" s="131"/>
      <c r="L133" s="131"/>
      <c r="M133" s="131"/>
      <c r="N133" s="131"/>
      <c r="O133" s="131"/>
      <c r="P133" s="131"/>
      <c r="Q133" s="131"/>
      <c r="R133" s="131"/>
    </row>
    <row r="134" spans="1:18" x14ac:dyDescent="0.45">
      <c r="A134" s="132"/>
      <c r="B134" s="482"/>
      <c r="C134" s="482"/>
      <c r="D134" s="482"/>
      <c r="E134" s="482"/>
      <c r="F134" s="482"/>
      <c r="G134" s="482"/>
      <c r="H134" s="482"/>
      <c r="I134" s="132"/>
      <c r="K134" s="131"/>
      <c r="L134" s="131"/>
      <c r="M134" s="131"/>
      <c r="N134" s="131"/>
      <c r="O134" s="131"/>
      <c r="P134" s="131"/>
      <c r="Q134" s="131"/>
      <c r="R134" s="131"/>
    </row>
    <row r="135" spans="1:18" x14ac:dyDescent="0.45">
      <c r="A135" s="132"/>
      <c r="B135" s="483"/>
      <c r="C135" s="483"/>
      <c r="D135" s="483"/>
      <c r="E135" s="483"/>
      <c r="F135" s="483"/>
      <c r="G135" s="483"/>
      <c r="H135" s="483"/>
      <c r="I135" s="132"/>
      <c r="K135" s="131"/>
      <c r="L135" s="131"/>
      <c r="M135" s="131"/>
      <c r="N135" s="131"/>
      <c r="O135" s="131"/>
      <c r="P135" s="131"/>
      <c r="Q135" s="131"/>
      <c r="R135" s="131"/>
    </row>
    <row r="136" spans="1:18" x14ac:dyDescent="0.45">
      <c r="A136" s="132"/>
      <c r="B136" s="132"/>
      <c r="C136" s="132"/>
      <c r="D136" s="132"/>
      <c r="E136" s="132"/>
      <c r="F136" s="132"/>
      <c r="G136" s="132"/>
      <c r="H136" s="132"/>
      <c r="I136" s="132"/>
      <c r="K136" s="131"/>
      <c r="L136" s="131"/>
      <c r="M136" s="131"/>
      <c r="N136" s="131"/>
      <c r="O136" s="131"/>
      <c r="P136" s="131"/>
      <c r="Q136" s="131"/>
      <c r="R136" s="131"/>
    </row>
  </sheetData>
  <sheetProtection algorithmName="SHA-512" hashValue="HvkzXY5szMeHQx5efoM/N3aHCOpG1DAsv+VKW7/wm5yEKG32EcyjtOvTyWkKcsvsmOKQfF1vwH0nqor5HKD9qA==" saltValue="d7mrXPbmldyIIxYSYEw3Zw==" spinCount="100000" sheet="1" objects="1" scenarios="1" selectLockedCells="1"/>
  <mergeCells count="13">
    <mergeCell ref="F78:H78"/>
    <mergeCell ref="F79:H79"/>
    <mergeCell ref="C3:G3"/>
    <mergeCell ref="C19:G19"/>
    <mergeCell ref="L5:R5"/>
    <mergeCell ref="L6:N6"/>
    <mergeCell ref="L11:N11"/>
    <mergeCell ref="C55:K55"/>
    <mergeCell ref="N12:N13"/>
    <mergeCell ref="Q12:Q13"/>
    <mergeCell ref="O6:Q6"/>
    <mergeCell ref="O11:Q11"/>
    <mergeCell ref="C35:G35"/>
  </mergeCells>
  <conditionalFormatting sqref="H47">
    <cfRule type="expression" dxfId="35" priority="15">
      <formula>FIND("Not",H47)&gt;1</formula>
    </cfRule>
  </conditionalFormatting>
  <conditionalFormatting sqref="H46">
    <cfRule type="expression" dxfId="34" priority="14">
      <formula>FIND("Not",H46)&gt;1</formula>
    </cfRule>
  </conditionalFormatting>
  <printOptions horizontalCentered="1"/>
  <pageMargins left="0.35" right="0.31" top="0.75" bottom="0.75" header="0.3" footer="0.3"/>
  <pageSetup scale="91" orientation="portrait" horizontalDpi="1800" verticalDpi="1800" r:id="rId1"/>
  <headerFooter>
    <oddHeader>&amp;C&amp;F
&amp;A&amp;R&amp;D</oddHeader>
  </headerFooter>
  <ignoredErrors>
    <ignoredError sqref="M7:M8 P7:P8"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00"/>
    <pageSetUpPr fitToPage="1"/>
  </sheetPr>
  <dimension ref="A1:L46"/>
  <sheetViews>
    <sheetView workbookViewId="0">
      <selection activeCell="G16" sqref="G16"/>
    </sheetView>
  </sheetViews>
  <sheetFormatPr defaultColWidth="9.06640625" defaultRowHeight="14.25" x14ac:dyDescent="0.45"/>
  <cols>
    <col min="1" max="1" width="9.06640625" style="396"/>
    <col min="2" max="2" width="4.33203125" style="396" customWidth="1"/>
    <col min="3" max="3" width="16.796875" style="396" customWidth="1"/>
    <col min="4" max="4" width="3.06640625" style="396" customWidth="1"/>
    <col min="5" max="5" width="18.265625" style="396" customWidth="1"/>
    <col min="6" max="6" width="3.33203125" style="396" customWidth="1"/>
    <col min="7" max="7" width="21.73046875" style="396" customWidth="1"/>
    <col min="8" max="8" width="4" style="396" customWidth="1"/>
    <col min="9" max="9" width="18.73046875" style="396" customWidth="1"/>
    <col min="10" max="10" width="4" style="396" customWidth="1"/>
    <col min="11" max="11" width="9.06640625" style="396"/>
    <col min="12" max="12" width="66.59765625" style="396" customWidth="1"/>
    <col min="13" max="16384" width="9.06640625" style="396"/>
  </cols>
  <sheetData>
    <row r="1" spans="1:10" x14ac:dyDescent="0.45">
      <c r="A1" s="208"/>
      <c r="B1" s="208"/>
      <c r="C1" s="208"/>
      <c r="D1" s="208"/>
      <c r="E1" s="208"/>
      <c r="F1" s="208"/>
      <c r="G1" s="208"/>
      <c r="H1" s="208"/>
      <c r="I1" s="208"/>
      <c r="J1" s="208"/>
    </row>
    <row r="2" spans="1:10" x14ac:dyDescent="0.45">
      <c r="A2" s="208"/>
      <c r="B2" s="158"/>
      <c r="C2" s="158"/>
      <c r="D2" s="158"/>
      <c r="E2" s="158"/>
      <c r="F2" s="158"/>
      <c r="G2" s="158"/>
      <c r="H2" s="158"/>
      <c r="I2" s="158"/>
      <c r="J2" s="160"/>
    </row>
    <row r="3" spans="1:10" x14ac:dyDescent="0.45">
      <c r="A3" s="208"/>
      <c r="B3" s="158"/>
      <c r="C3" s="158"/>
      <c r="D3" s="158"/>
      <c r="E3" s="158"/>
      <c r="F3" s="159" t="s">
        <v>103</v>
      </c>
      <c r="G3" s="158"/>
      <c r="H3" s="158"/>
      <c r="I3" s="158"/>
      <c r="J3" s="160"/>
    </row>
    <row r="4" spans="1:10" x14ac:dyDescent="0.45">
      <c r="A4" s="208"/>
      <c r="B4" s="158"/>
      <c r="C4" s="158"/>
      <c r="D4" s="158"/>
      <c r="E4" s="158"/>
      <c r="F4" s="159"/>
      <c r="G4" s="158"/>
      <c r="H4" s="158"/>
      <c r="I4" s="158"/>
      <c r="J4" s="160"/>
    </row>
    <row r="5" spans="1:10" ht="15" customHeight="1" x14ac:dyDescent="0.45">
      <c r="A5" s="208"/>
      <c r="B5" s="158"/>
      <c r="C5" s="1126" t="s">
        <v>104</v>
      </c>
      <c r="D5" s="1126"/>
      <c r="E5" s="1126"/>
      <c r="F5" s="1126"/>
      <c r="G5" s="1126"/>
      <c r="H5" s="1126"/>
      <c r="I5" s="1126"/>
      <c r="J5" s="160"/>
    </row>
    <row r="6" spans="1:10" x14ac:dyDescent="0.45">
      <c r="A6" s="208"/>
      <c r="B6" s="158"/>
      <c r="C6" s="1126"/>
      <c r="D6" s="1126"/>
      <c r="E6" s="1126"/>
      <c r="F6" s="1126"/>
      <c r="G6" s="1126"/>
      <c r="H6" s="1126"/>
      <c r="I6" s="1126"/>
      <c r="J6" s="160"/>
    </row>
    <row r="7" spans="1:10" x14ac:dyDescent="0.45">
      <c r="A7" s="208"/>
      <c r="B7" s="161"/>
      <c r="C7" s="1133" t="s">
        <v>105</v>
      </c>
      <c r="D7" s="1133"/>
      <c r="E7" s="1133"/>
      <c r="F7" s="1133"/>
      <c r="G7" s="1133"/>
      <c r="H7" s="1133"/>
      <c r="I7" s="1133"/>
      <c r="J7" s="162"/>
    </row>
    <row r="8" spans="1:10" ht="14.65" thickBot="1" x14ac:dyDescent="0.5">
      <c r="A8" s="208"/>
      <c r="B8" s="158"/>
      <c r="C8" s="158"/>
      <c r="D8" s="158"/>
      <c r="E8" s="158"/>
      <c r="F8" s="158"/>
      <c r="G8" s="158"/>
      <c r="H8" s="158"/>
      <c r="I8" s="158"/>
      <c r="J8" s="160"/>
    </row>
    <row r="9" spans="1:10" ht="14.65" thickBot="1" x14ac:dyDescent="0.5">
      <c r="A9" s="208"/>
      <c r="B9" s="158"/>
      <c r="C9" s="158" t="s">
        <v>56</v>
      </c>
      <c r="D9" s="158"/>
      <c r="E9" s="1127" t="str">
        <f>+'Project Info Entry'!C3</f>
        <v>ABC</v>
      </c>
      <c r="F9" s="1128"/>
      <c r="G9" s="1129"/>
      <c r="H9" s="158"/>
      <c r="I9" s="163"/>
      <c r="J9" s="160"/>
    </row>
    <row r="10" spans="1:10" ht="14.65" thickBot="1" x14ac:dyDescent="0.5">
      <c r="A10" s="208"/>
      <c r="B10" s="158"/>
      <c r="C10" s="158" t="s">
        <v>106</v>
      </c>
      <c r="D10" s="158"/>
      <c r="E10" s="1130" t="str">
        <f>+'Project Info Entry'!C4</f>
        <v>111-11111</v>
      </c>
      <c r="F10" s="1131"/>
      <c r="G10" s="1132"/>
      <c r="H10" s="158"/>
      <c r="I10" s="163"/>
      <c r="J10" s="160"/>
    </row>
    <row r="11" spans="1:10" ht="15" customHeight="1" thickBot="1" x14ac:dyDescent="0.5">
      <c r="A11" s="208"/>
      <c r="B11" s="158"/>
      <c r="C11" s="158" t="s">
        <v>62</v>
      </c>
      <c r="D11" s="158"/>
      <c r="E11" s="1123" t="str">
        <f>+'Project Info Entry'!C5</f>
        <v xml:space="preserve">ABC </v>
      </c>
      <c r="F11" s="1124"/>
      <c r="G11" s="1125"/>
      <c r="H11" s="164"/>
      <c r="I11" s="165"/>
      <c r="J11" s="160"/>
    </row>
    <row r="12" spans="1:10" ht="15" customHeight="1" thickBot="1" x14ac:dyDescent="0.5">
      <c r="A12" s="208"/>
      <c r="B12" s="158"/>
      <c r="C12" s="158" t="s">
        <v>64</v>
      </c>
      <c r="D12" s="158"/>
      <c r="E12" s="1123" t="str">
        <f>+'Project Info Entry'!C6</f>
        <v>VA</v>
      </c>
      <c r="F12" s="1124"/>
      <c r="G12" s="1125"/>
      <c r="H12" s="164"/>
      <c r="I12" s="165"/>
      <c r="J12" s="160"/>
    </row>
    <row r="13" spans="1:10" ht="14.65" thickBot="1" x14ac:dyDescent="0.5">
      <c r="A13" s="208"/>
      <c r="B13" s="158"/>
      <c r="C13" s="158" t="s">
        <v>66</v>
      </c>
      <c r="D13" s="158"/>
      <c r="E13" s="1123" t="str">
        <f>+'Project Info Entry'!C7</f>
        <v>221d4</v>
      </c>
      <c r="F13" s="1124"/>
      <c r="G13" s="1125"/>
      <c r="H13" s="164"/>
      <c r="I13" s="165"/>
      <c r="J13" s="160"/>
    </row>
    <row r="14" spans="1:10" ht="15" customHeight="1" thickBot="1" x14ac:dyDescent="0.5">
      <c r="A14" s="208"/>
      <c r="B14" s="158"/>
      <c r="C14" s="158" t="s">
        <v>67</v>
      </c>
      <c r="D14" s="158"/>
      <c r="E14" s="1123" t="str">
        <f>+'Project Info Entry'!C8</f>
        <v>Lender Name</v>
      </c>
      <c r="F14" s="1124"/>
      <c r="G14" s="1125"/>
      <c r="H14" s="164"/>
      <c r="I14" s="165"/>
      <c r="J14" s="160"/>
    </row>
    <row r="15" spans="1:10" ht="15" customHeight="1" x14ac:dyDescent="0.45">
      <c r="A15" s="208"/>
      <c r="B15" s="158"/>
      <c r="C15" s="158"/>
      <c r="D15" s="158"/>
      <c r="E15" s="166"/>
      <c r="F15" s="166"/>
      <c r="G15" s="167"/>
      <c r="H15" s="164"/>
      <c r="I15" s="165"/>
      <c r="J15" s="160"/>
    </row>
    <row r="16" spans="1:10" x14ac:dyDescent="0.45">
      <c r="A16" s="208"/>
      <c r="B16" s="158"/>
      <c r="C16" s="168"/>
      <c r="D16" s="158"/>
      <c r="E16" s="204" t="s">
        <v>107</v>
      </c>
      <c r="F16" s="169"/>
      <c r="G16" s="722"/>
      <c r="H16" s="164"/>
      <c r="I16" s="165"/>
      <c r="J16" s="160"/>
    </row>
    <row r="17" spans="1:12" ht="14.65" thickBot="1" x14ac:dyDescent="0.5">
      <c r="A17" s="208"/>
      <c r="B17" s="170"/>
      <c r="C17" s="170"/>
      <c r="D17" s="170"/>
      <c r="E17" s="170"/>
      <c r="F17" s="170"/>
      <c r="G17" s="170"/>
      <c r="H17" s="170"/>
      <c r="I17" s="170"/>
      <c r="J17" s="171"/>
    </row>
    <row r="18" spans="1:12" x14ac:dyDescent="0.45">
      <c r="A18" s="208"/>
      <c r="B18" s="156"/>
      <c r="C18" s="156"/>
      <c r="D18" s="156"/>
      <c r="E18" s="168"/>
      <c r="F18" s="172" t="s">
        <v>108</v>
      </c>
      <c r="G18" s="156"/>
      <c r="H18" s="156"/>
      <c r="I18" s="156"/>
      <c r="J18" s="157"/>
    </row>
    <row r="19" spans="1:12" ht="15" customHeight="1" x14ac:dyDescent="0.45">
      <c r="A19" s="208"/>
      <c r="B19" s="158"/>
      <c r="C19" s="168"/>
      <c r="D19" s="158"/>
      <c r="E19" s="173"/>
      <c r="F19" s="158"/>
      <c r="G19" s="174"/>
      <c r="H19" s="158"/>
      <c r="I19" s="158"/>
      <c r="J19" s="160"/>
    </row>
    <row r="20" spans="1:12" ht="15" customHeight="1" x14ac:dyDescent="0.45">
      <c r="A20" s="208"/>
      <c r="B20" s="158"/>
      <c r="C20" s="175" t="s">
        <v>109</v>
      </c>
      <c r="D20" s="168"/>
      <c r="E20" s="173"/>
      <c r="F20" s="158"/>
      <c r="G20" s="174"/>
      <c r="H20" s="158"/>
      <c r="I20" s="515">
        <f>+'eTool Data Engine'!C20</f>
        <v>466925</v>
      </c>
      <c r="J20" s="160"/>
    </row>
    <row r="21" spans="1:12" ht="15" customHeight="1" x14ac:dyDescent="0.45">
      <c r="A21" s="208"/>
      <c r="B21" s="158"/>
      <c r="C21" s="133"/>
      <c r="D21" s="133"/>
      <c r="E21" s="173"/>
      <c r="F21" s="158"/>
      <c r="G21" s="174"/>
      <c r="H21" s="158"/>
      <c r="I21" s="158"/>
      <c r="J21" s="160"/>
    </row>
    <row r="22" spans="1:12" ht="15" customHeight="1" x14ac:dyDescent="0.45">
      <c r="A22" s="208"/>
      <c r="B22" s="179"/>
      <c r="C22" s="176"/>
      <c r="D22" s="177" t="s">
        <v>110</v>
      </c>
      <c r="E22" s="178"/>
      <c r="F22" s="179"/>
      <c r="G22" s="180"/>
      <c r="H22" s="179"/>
      <c r="I22" s="179"/>
      <c r="J22" s="181"/>
    </row>
    <row r="23" spans="1:12" x14ac:dyDescent="0.45">
      <c r="A23" s="208"/>
      <c r="B23" s="158"/>
      <c r="C23" s="182" t="s">
        <v>111</v>
      </c>
      <c r="D23" s="158"/>
      <c r="E23" s="173"/>
      <c r="F23" s="158"/>
      <c r="G23" s="174"/>
      <c r="H23" s="158"/>
      <c r="I23" s="158"/>
      <c r="J23" s="160"/>
    </row>
    <row r="24" spans="1:12" ht="12.75" customHeight="1" x14ac:dyDescent="0.45">
      <c r="A24" s="208"/>
      <c r="B24" s="158"/>
      <c r="C24" s="515">
        <f>+'eTool Data Engine'!C22</f>
        <v>556</v>
      </c>
      <c r="D24" s="158"/>
      <c r="E24" s="1122" t="s">
        <v>112</v>
      </c>
      <c r="F24" s="1122"/>
      <c r="G24" s="1122"/>
      <c r="H24" s="168"/>
      <c r="I24" s="183"/>
      <c r="J24" s="160"/>
    </row>
    <row r="25" spans="1:12" ht="17.25" customHeight="1" x14ac:dyDescent="0.45">
      <c r="A25" s="208"/>
      <c r="B25" s="158"/>
      <c r="C25" s="182" t="s">
        <v>113</v>
      </c>
      <c r="D25" s="158"/>
      <c r="E25" s="184"/>
      <c r="F25" s="134"/>
      <c r="G25" s="185" t="str">
        <f>+'Trial Deposits Analysis'!C4</f>
        <v>Initial Rate of Change:</v>
      </c>
      <c r="H25" s="168"/>
      <c r="I25" s="516">
        <f>+'eTool Data Engine'!F32</f>
        <v>0</v>
      </c>
      <c r="J25" s="160"/>
    </row>
    <row r="26" spans="1:12" ht="15" customHeight="1" x14ac:dyDescent="0.45">
      <c r="A26" s="208"/>
      <c r="B26" s="158"/>
      <c r="C26" s="517">
        <f>+'eTool Data Engine'!C23</f>
        <v>456</v>
      </c>
      <c r="D26" s="158"/>
      <c r="E26" s="184"/>
      <c r="F26" s="134"/>
      <c r="G26" s="185" t="str">
        <f>+'Trial Deposits Analysis'!E4</f>
        <v>Relative Year of Change:</v>
      </c>
      <c r="H26" s="168"/>
      <c r="I26" s="518">
        <f ca="1">IF(I25=I27,"Constant Rate",'eTool Data Engine'!F33)</f>
        <v>1</v>
      </c>
      <c r="J26" s="160"/>
    </row>
    <row r="27" spans="1:12" ht="15" customHeight="1" x14ac:dyDescent="0.45">
      <c r="A27" s="208"/>
      <c r="B27" s="158"/>
      <c r="C27" s="182" t="s">
        <v>114</v>
      </c>
      <c r="D27" s="158"/>
      <c r="E27" s="184"/>
      <c r="F27" s="134"/>
      <c r="G27" s="185" t="str">
        <f>+'Trial Deposits Analysis'!G4</f>
        <v>New Rate of Change:</v>
      </c>
      <c r="H27" s="168"/>
      <c r="I27" s="516">
        <f ca="1">+'eTool Data Engine'!F34</f>
        <v>0.02</v>
      </c>
      <c r="J27" s="160"/>
    </row>
    <row r="28" spans="1:12" x14ac:dyDescent="0.45">
      <c r="A28" s="208"/>
      <c r="B28" s="158"/>
      <c r="C28" s="515">
        <f>+C24*C26</f>
        <v>253536</v>
      </c>
      <c r="D28" s="158"/>
      <c r="E28" s="186"/>
      <c r="F28" s="187"/>
      <c r="G28" s="174"/>
      <c r="H28" s="158"/>
      <c r="I28" s="158"/>
      <c r="J28" s="160"/>
    </row>
    <row r="29" spans="1:12" ht="39" customHeight="1" x14ac:dyDescent="0.45">
      <c r="A29" s="208"/>
      <c r="B29" s="158"/>
      <c r="C29" s="188" t="s">
        <v>73</v>
      </c>
      <c r="D29" s="158"/>
      <c r="E29" s="188" t="s">
        <v>115</v>
      </c>
      <c r="F29" s="158"/>
      <c r="G29" s="188" t="s">
        <v>116</v>
      </c>
      <c r="H29" s="164"/>
      <c r="I29" s="188" t="s">
        <v>117</v>
      </c>
      <c r="J29" s="160"/>
    </row>
    <row r="30" spans="1:12" x14ac:dyDescent="0.45">
      <c r="A30" s="208"/>
      <c r="B30" s="158"/>
      <c r="C30" s="189">
        <v>1</v>
      </c>
      <c r="D30" s="158"/>
      <c r="E30" s="190">
        <f>+'Paste Financial Sched.'!B5</f>
        <v>253536</v>
      </c>
      <c r="F30" s="158"/>
      <c r="G30" s="190">
        <f>+'Paste Financial Sched.'!B5</f>
        <v>253536</v>
      </c>
      <c r="H30" s="158"/>
      <c r="I30" s="191">
        <f>+G30/12</f>
        <v>21128</v>
      </c>
      <c r="J30" s="160"/>
      <c r="L30" s="519"/>
    </row>
    <row r="31" spans="1:12" x14ac:dyDescent="0.45">
      <c r="A31" s="208"/>
      <c r="B31" s="158"/>
      <c r="C31" s="189">
        <v>2</v>
      </c>
      <c r="D31" s="158"/>
      <c r="E31" s="190">
        <f t="shared" ref="E31:E39" si="0">+E30</f>
        <v>253536</v>
      </c>
      <c r="F31" s="158"/>
      <c r="G31" s="190">
        <f>+'Paste Financial Sched.'!C5</f>
        <v>258606.72</v>
      </c>
      <c r="H31" s="192"/>
      <c r="I31" s="191">
        <f t="shared" ref="I31:I39" si="1">+G31/12</f>
        <v>21550.560000000001</v>
      </c>
      <c r="J31" s="160"/>
      <c r="L31" s="519"/>
    </row>
    <row r="32" spans="1:12" x14ac:dyDescent="0.45">
      <c r="A32" s="208"/>
      <c r="B32" s="158"/>
      <c r="C32" s="189">
        <v>3</v>
      </c>
      <c r="D32" s="158"/>
      <c r="E32" s="190">
        <f t="shared" si="0"/>
        <v>253536</v>
      </c>
      <c r="F32" s="158"/>
      <c r="G32" s="190">
        <f>+'Paste Financial Sched.'!D5</f>
        <v>263778.84999999998</v>
      </c>
      <c r="H32" s="158"/>
      <c r="I32" s="191">
        <f t="shared" si="1"/>
        <v>21981.570833333331</v>
      </c>
      <c r="J32" s="160"/>
      <c r="L32" s="519"/>
    </row>
    <row r="33" spans="1:12" x14ac:dyDescent="0.45">
      <c r="A33" s="208"/>
      <c r="B33" s="158"/>
      <c r="C33" s="189">
        <v>4</v>
      </c>
      <c r="D33" s="158"/>
      <c r="E33" s="190">
        <f t="shared" si="0"/>
        <v>253536</v>
      </c>
      <c r="F33" s="158"/>
      <c r="G33" s="190">
        <f>+'Paste Financial Sched.'!E5</f>
        <v>269054.43</v>
      </c>
      <c r="H33" s="158"/>
      <c r="I33" s="191">
        <f t="shared" si="1"/>
        <v>22421.202499999999</v>
      </c>
      <c r="J33" s="160"/>
      <c r="L33" s="519"/>
    </row>
    <row r="34" spans="1:12" x14ac:dyDescent="0.45">
      <c r="A34" s="208"/>
      <c r="B34" s="158"/>
      <c r="C34" s="189">
        <v>5</v>
      </c>
      <c r="D34" s="158"/>
      <c r="E34" s="190">
        <f t="shared" si="0"/>
        <v>253536</v>
      </c>
      <c r="F34" s="158"/>
      <c r="G34" s="190">
        <f>+'Paste Financial Sched.'!F5</f>
        <v>274435.52</v>
      </c>
      <c r="H34" s="158"/>
      <c r="I34" s="191">
        <f t="shared" si="1"/>
        <v>22869.626666666667</v>
      </c>
      <c r="J34" s="160"/>
      <c r="L34" s="519"/>
    </row>
    <row r="35" spans="1:12" x14ac:dyDescent="0.45">
      <c r="A35" s="208"/>
      <c r="B35" s="158"/>
      <c r="C35" s="189">
        <v>6</v>
      </c>
      <c r="D35" s="158"/>
      <c r="E35" s="190">
        <f t="shared" si="0"/>
        <v>253536</v>
      </c>
      <c r="F35" s="158"/>
      <c r="G35" s="190">
        <f>+'Paste Financial Sched.'!G5</f>
        <v>279924.23</v>
      </c>
      <c r="H35" s="158"/>
      <c r="I35" s="191">
        <f t="shared" si="1"/>
        <v>23327.019166666665</v>
      </c>
      <c r="J35" s="160"/>
      <c r="L35" s="519"/>
    </row>
    <row r="36" spans="1:12" x14ac:dyDescent="0.45">
      <c r="A36" s="208"/>
      <c r="B36" s="158"/>
      <c r="C36" s="189">
        <v>7</v>
      </c>
      <c r="D36" s="158"/>
      <c r="E36" s="190">
        <f t="shared" si="0"/>
        <v>253536</v>
      </c>
      <c r="F36" s="158"/>
      <c r="G36" s="190">
        <f>+'Paste Financial Sched.'!H5</f>
        <v>285522.71999999997</v>
      </c>
      <c r="H36" s="158"/>
      <c r="I36" s="191">
        <f t="shared" si="1"/>
        <v>23793.559999999998</v>
      </c>
      <c r="J36" s="160"/>
      <c r="L36" s="519"/>
    </row>
    <row r="37" spans="1:12" x14ac:dyDescent="0.45">
      <c r="A37" s="208"/>
      <c r="B37" s="158"/>
      <c r="C37" s="189">
        <v>8</v>
      </c>
      <c r="D37" s="158"/>
      <c r="E37" s="190">
        <f t="shared" si="0"/>
        <v>253536</v>
      </c>
      <c r="F37" s="158"/>
      <c r="G37" s="190">
        <f>+'Paste Financial Sched.'!I5</f>
        <v>291233.17</v>
      </c>
      <c r="H37" s="158"/>
      <c r="I37" s="191">
        <f t="shared" si="1"/>
        <v>24269.430833333332</v>
      </c>
      <c r="J37" s="160"/>
      <c r="L37" s="519"/>
    </row>
    <row r="38" spans="1:12" x14ac:dyDescent="0.45">
      <c r="A38" s="208"/>
      <c r="B38" s="158"/>
      <c r="C38" s="189">
        <v>9</v>
      </c>
      <c r="D38" s="158"/>
      <c r="E38" s="190">
        <f t="shared" si="0"/>
        <v>253536</v>
      </c>
      <c r="F38" s="158"/>
      <c r="G38" s="190">
        <f>+'Paste Financial Sched.'!J5</f>
        <v>297057.83</v>
      </c>
      <c r="H38" s="158"/>
      <c r="I38" s="191">
        <f t="shared" si="1"/>
        <v>24754.819166666668</v>
      </c>
      <c r="J38" s="160"/>
    </row>
    <row r="39" spans="1:12" x14ac:dyDescent="0.45">
      <c r="A39" s="208"/>
      <c r="B39" s="158"/>
      <c r="C39" s="189">
        <v>10</v>
      </c>
      <c r="D39" s="158"/>
      <c r="E39" s="190">
        <f t="shared" si="0"/>
        <v>253536</v>
      </c>
      <c r="F39" s="158"/>
      <c r="G39" s="190">
        <f>+'Paste Financial Sched.'!K5</f>
        <v>302998.99</v>
      </c>
      <c r="H39" s="158"/>
      <c r="I39" s="191">
        <f t="shared" si="1"/>
        <v>25249.915833333333</v>
      </c>
      <c r="J39" s="160"/>
    </row>
    <row r="40" spans="1:12" ht="14.65" thickBot="1" x14ac:dyDescent="0.5">
      <c r="A40" s="208"/>
      <c r="B40" s="158"/>
      <c r="C40" s="159" t="s">
        <v>60</v>
      </c>
      <c r="D40" s="158"/>
      <c r="E40" s="193">
        <f>SUM(E30:E39)</f>
        <v>2535360</v>
      </c>
      <c r="F40" s="158"/>
      <c r="G40" s="193">
        <f>SUM(G30:G39)</f>
        <v>2776148.46</v>
      </c>
      <c r="H40" s="158"/>
      <c r="I40" s="158"/>
      <c r="J40" s="160"/>
    </row>
    <row r="41" spans="1:12" ht="14.65" thickTop="1" x14ac:dyDescent="0.45">
      <c r="A41" s="208"/>
      <c r="B41" s="158"/>
      <c r="C41" s="158"/>
      <c r="D41" s="158"/>
      <c r="E41" s="158"/>
      <c r="F41" s="158"/>
      <c r="G41" s="158"/>
      <c r="H41" s="158"/>
      <c r="I41" s="158"/>
      <c r="J41" s="160"/>
    </row>
    <row r="42" spans="1:12" x14ac:dyDescent="0.45">
      <c r="A42" s="208"/>
      <c r="B42" s="158"/>
      <c r="C42" s="158" t="s">
        <v>118</v>
      </c>
      <c r="D42" s="158"/>
      <c r="E42" s="158"/>
      <c r="F42" s="158"/>
      <c r="G42" s="158"/>
      <c r="H42" s="158"/>
      <c r="I42" s="158"/>
      <c r="J42" s="160"/>
    </row>
    <row r="43" spans="1:12" x14ac:dyDescent="0.45">
      <c r="A43" s="208"/>
      <c r="B43" s="158"/>
      <c r="C43" s="158" t="s">
        <v>119</v>
      </c>
      <c r="D43" s="158"/>
      <c r="E43" s="158"/>
      <c r="F43" s="158"/>
      <c r="G43" s="158"/>
      <c r="H43" s="158"/>
      <c r="I43" s="158"/>
      <c r="J43" s="160"/>
    </row>
    <row r="44" spans="1:12" x14ac:dyDescent="0.45">
      <c r="A44" s="208"/>
      <c r="B44" s="158"/>
      <c r="C44" s="158" t="s">
        <v>120</v>
      </c>
      <c r="D44" s="158"/>
      <c r="E44" s="158"/>
      <c r="F44" s="158"/>
      <c r="G44" s="158"/>
      <c r="H44" s="158"/>
      <c r="I44" s="158"/>
      <c r="J44" s="160"/>
    </row>
    <row r="45" spans="1:12" ht="14.65" thickBot="1" x14ac:dyDescent="0.5">
      <c r="A45" s="208"/>
      <c r="B45" s="170"/>
      <c r="C45" s="170"/>
      <c r="D45" s="170"/>
      <c r="E45" s="170"/>
      <c r="F45" s="170"/>
      <c r="G45" s="170"/>
      <c r="H45" s="170"/>
      <c r="I45" s="170"/>
      <c r="J45" s="171"/>
    </row>
    <row r="46" spans="1:12" x14ac:dyDescent="0.45">
      <c r="A46" s="208"/>
      <c r="J46" s="520"/>
    </row>
  </sheetData>
  <sheetProtection password="CCA4" sheet="1" objects="1" scenarios="1" selectLockedCells="1"/>
  <mergeCells count="9">
    <mergeCell ref="E24:G24"/>
    <mergeCell ref="E13:G13"/>
    <mergeCell ref="E14:G14"/>
    <mergeCell ref="C5:I6"/>
    <mergeCell ref="E9:G9"/>
    <mergeCell ref="E10:G10"/>
    <mergeCell ref="E11:G11"/>
    <mergeCell ref="E12:G12"/>
    <mergeCell ref="C7:I7"/>
  </mergeCells>
  <dataValidations disablePrompts="1" count="2">
    <dataValidation type="textLength" allowBlank="1" showInputMessage="1" showErrorMessage="1" promptTitle="Please input per application" prompt="Input information consistent that in the application." sqref="E15:G15" xr:uid="{00000000-0002-0000-0500-000000000000}">
      <formula1>0</formula1>
      <formula2>75</formula2>
    </dataValidation>
    <dataValidation type="date" allowBlank="1" showInputMessage="1" showErrorMessage="1" promptTitle="For HUD staff" prompt="Please input date of the commitment letter." sqref="F16:G16" xr:uid="{00000000-0002-0000-0500-000001000000}">
      <formula1>42370</formula1>
      <formula2>56980</formula2>
    </dataValidation>
  </dataValidations>
  <printOptions horizontalCentered="1"/>
  <pageMargins left="0.7" right="0.7" top="0.75" bottom="0.75" header="0.3" footer="0.3"/>
  <pageSetup scale="95" orientation="portrait" r:id="rId1"/>
  <headerFooter>
    <oddHeader xml:space="preserve">&amp;C&amp;A&amp;R&amp;D
Page &amp;P of &amp;N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92D050"/>
    <pageSetUpPr fitToPage="1"/>
  </sheetPr>
  <dimension ref="A1:AA152"/>
  <sheetViews>
    <sheetView workbookViewId="0">
      <selection activeCell="E6" sqref="E6"/>
    </sheetView>
  </sheetViews>
  <sheetFormatPr defaultColWidth="9.06640625" defaultRowHeight="14.25" x14ac:dyDescent="0.45"/>
  <cols>
    <col min="1" max="1" width="3.06640625" style="246" customWidth="1"/>
    <col min="2" max="2" width="15.06640625" style="245" customWidth="1"/>
    <col min="3" max="3" width="20.73046875" style="245" customWidth="1"/>
    <col min="4" max="4" width="2.265625" style="245" customWidth="1"/>
    <col min="5" max="5" width="20.73046875" style="245" customWidth="1"/>
    <col min="6" max="6" width="2.265625" style="245" customWidth="1"/>
    <col min="7" max="7" width="20.73046875" style="245" customWidth="1"/>
    <col min="8" max="8" width="2.265625" style="245" customWidth="1"/>
    <col min="9" max="9" width="20.73046875" style="245" customWidth="1"/>
    <col min="10" max="10" width="2.265625" style="245" customWidth="1"/>
    <col min="11" max="11" width="20.73046875" style="245" customWidth="1"/>
    <col min="12" max="12" width="2.265625" style="245" customWidth="1"/>
    <col min="13" max="13" width="20.73046875" style="245" customWidth="1"/>
    <col min="14" max="14" width="2.265625" style="245" customWidth="1"/>
    <col min="15" max="15" width="12.73046875" style="245" customWidth="1"/>
    <col min="16" max="16" width="2.73046875" style="245" customWidth="1"/>
    <col min="17" max="17" width="12.73046875" style="245" customWidth="1"/>
    <col min="18" max="18" width="2.73046875" style="245" customWidth="1"/>
    <col min="19" max="19" width="25.73046875" style="245" customWidth="1"/>
    <col min="20" max="20" width="2.73046875" style="245" customWidth="1"/>
    <col min="21" max="24" width="12.73046875" style="245" customWidth="1"/>
    <col min="25" max="25" width="12" style="245" customWidth="1"/>
    <col min="26" max="16384" width="9.06640625" style="245"/>
  </cols>
  <sheetData>
    <row r="1" spans="1:23" ht="64.5" customHeight="1" x14ac:dyDescent="0.45">
      <c r="A1" s="138"/>
      <c r="B1" s="138"/>
      <c r="C1" s="138"/>
      <c r="D1" s="138"/>
      <c r="E1" s="138"/>
      <c r="F1" s="138"/>
      <c r="G1" s="138"/>
      <c r="H1" s="138"/>
      <c r="I1" s="138"/>
      <c r="J1" s="138"/>
      <c r="K1" s="244"/>
      <c r="L1" s="138"/>
      <c r="M1" s="138"/>
      <c r="N1" s="138"/>
      <c r="O1" s="138"/>
      <c r="P1" s="138"/>
      <c r="Q1" s="138"/>
      <c r="R1" s="138"/>
      <c r="S1" s="138"/>
      <c r="T1" s="138"/>
      <c r="U1" s="138"/>
      <c r="V1" s="138"/>
      <c r="W1" s="244"/>
    </row>
    <row r="2" spans="1:23" ht="35.200000000000003" customHeight="1" x14ac:dyDescent="0.45">
      <c r="A2" s="138"/>
      <c r="B2" s="1105" t="s">
        <v>458</v>
      </c>
      <c r="C2" s="1105"/>
      <c r="D2" s="1105"/>
      <c r="E2" s="1105"/>
      <c r="F2" s="1105"/>
      <c r="G2" s="1105"/>
      <c r="H2" s="1105"/>
      <c r="I2" s="1105"/>
      <c r="J2" s="1136"/>
      <c r="K2" s="244"/>
      <c r="L2" s="218"/>
      <c r="M2" s="1135" t="s">
        <v>539</v>
      </c>
      <c r="N2" s="1135"/>
      <c r="O2" s="1135"/>
      <c r="P2" s="1135"/>
      <c r="Q2" s="1135"/>
      <c r="R2" s="1135"/>
      <c r="S2" s="1135"/>
      <c r="T2" s="218"/>
      <c r="U2" s="708"/>
      <c r="V2" s="138"/>
      <c r="W2" s="138"/>
    </row>
    <row r="3" spans="1:23" ht="24" customHeight="1" x14ac:dyDescent="0.45">
      <c r="A3" s="138"/>
      <c r="B3" s="302"/>
      <c r="C3" s="1139" t="s">
        <v>445</v>
      </c>
      <c r="D3" s="1140"/>
      <c r="E3" s="1140"/>
      <c r="F3" s="1140"/>
      <c r="G3" s="1141"/>
      <c r="H3" s="135"/>
      <c r="I3" s="302"/>
      <c r="J3" s="536"/>
      <c r="K3" s="244"/>
      <c r="L3" s="314"/>
      <c r="M3" s="213"/>
      <c r="N3" s="213"/>
      <c r="O3" s="213"/>
      <c r="P3" s="213"/>
      <c r="Q3" s="213"/>
      <c r="R3" s="139"/>
      <c r="S3" s="213"/>
      <c r="T3" s="139"/>
      <c r="U3" s="708"/>
      <c r="V3" s="138"/>
      <c r="W3" s="138"/>
    </row>
    <row r="4" spans="1:23" ht="25.05" customHeight="1" x14ac:dyDescent="0.45">
      <c r="A4" s="138"/>
      <c r="B4" s="302"/>
      <c r="C4" s="284" t="s">
        <v>446</v>
      </c>
      <c r="D4" s="285"/>
      <c r="E4" s="286" t="s">
        <v>83</v>
      </c>
      <c r="F4" s="287"/>
      <c r="G4" s="288" t="s">
        <v>444</v>
      </c>
      <c r="H4" s="280"/>
      <c r="I4" s="302"/>
      <c r="J4" s="536"/>
      <c r="K4" s="244"/>
      <c r="L4" s="281"/>
      <c r="M4" s="135"/>
      <c r="N4" s="135"/>
      <c r="O4" s="147" t="s">
        <v>86</v>
      </c>
      <c r="P4" s="312"/>
      <c r="Q4" s="147" t="s">
        <v>87</v>
      </c>
      <c r="R4" s="310"/>
      <c r="S4" s="318"/>
      <c r="T4" s="139"/>
      <c r="U4" s="708"/>
      <c r="V4" s="138"/>
      <c r="W4" s="138"/>
    </row>
    <row r="5" spans="1:23" ht="25.05" customHeight="1" x14ac:dyDescent="0.45">
      <c r="A5" s="138"/>
      <c r="B5" s="578" t="s">
        <v>451</v>
      </c>
      <c r="C5" s="556">
        <f>+'eTool Data Engine'!F32</f>
        <v>0</v>
      </c>
      <c r="D5" s="294"/>
      <c r="E5" s="557">
        <f ca="1">+'eTool Data Engine'!F33</f>
        <v>1</v>
      </c>
      <c r="F5" s="295"/>
      <c r="G5" s="558">
        <f ca="1">+'eTool Data Engine'!F34</f>
        <v>0.02</v>
      </c>
      <c r="H5" s="152"/>
      <c r="I5" s="302"/>
      <c r="J5" s="537"/>
      <c r="K5" s="244"/>
      <c r="L5" s="281"/>
      <c r="M5" s="587" t="s">
        <v>84</v>
      </c>
      <c r="N5" s="134"/>
      <c r="O5" s="134"/>
      <c r="P5" s="134"/>
      <c r="Q5" s="134"/>
      <c r="R5" s="139"/>
      <c r="S5" s="1134" t="s">
        <v>473</v>
      </c>
      <c r="T5" s="139"/>
      <c r="U5" s="708"/>
      <c r="V5" s="138"/>
      <c r="W5" s="138"/>
    </row>
    <row r="6" spans="1:23" ht="25.05" customHeight="1" x14ac:dyDescent="0.45">
      <c r="A6" s="138"/>
      <c r="B6" s="278" t="s">
        <v>452</v>
      </c>
      <c r="C6" s="717">
        <f>C5</f>
        <v>0</v>
      </c>
      <c r="D6" s="289"/>
      <c r="E6" s="718">
        <f ca="1">E5</f>
        <v>1</v>
      </c>
      <c r="F6" s="289"/>
      <c r="G6" s="719">
        <f ca="1">G5</f>
        <v>0.02</v>
      </c>
      <c r="H6" s="164"/>
      <c r="I6" s="306" t="s">
        <v>455</v>
      </c>
      <c r="J6" s="538"/>
      <c r="K6" s="244"/>
      <c r="L6" s="281"/>
      <c r="M6" s="580" t="s">
        <v>475</v>
      </c>
      <c r="N6" s="584"/>
      <c r="O6" s="581">
        <f>+C11</f>
        <v>466925</v>
      </c>
      <c r="P6" s="584"/>
      <c r="Q6" s="581">
        <f>+E12</f>
        <v>253536</v>
      </c>
      <c r="R6" s="139"/>
      <c r="S6" s="1134"/>
      <c r="T6" s="139"/>
      <c r="U6" s="708"/>
      <c r="V6" s="138"/>
      <c r="W6" s="138"/>
    </row>
    <row r="7" spans="1:23" ht="25.05" customHeight="1" x14ac:dyDescent="0.45">
      <c r="A7" s="138"/>
      <c r="B7" s="302"/>
      <c r="C7" s="302"/>
      <c r="D7" s="302"/>
      <c r="E7" s="302"/>
      <c r="F7" s="302"/>
      <c r="G7" s="302"/>
      <c r="H7" s="164"/>
      <c r="I7" s="307" t="s">
        <v>532</v>
      </c>
      <c r="J7" s="538"/>
      <c r="K7" s="244"/>
      <c r="L7" s="281"/>
      <c r="M7" s="585" t="s">
        <v>476</v>
      </c>
      <c r="N7" s="586"/>
      <c r="O7" s="582">
        <f>+'Paste Financial Sched.'!B3</f>
        <v>466925</v>
      </c>
      <c r="P7" s="583"/>
      <c r="Q7" s="582">
        <f>+M10*Q12</f>
        <v>253536</v>
      </c>
      <c r="R7" s="139"/>
      <c r="S7" s="504">
        <f ca="1">+M103</f>
        <v>-1.763529576419387E-2</v>
      </c>
      <c r="T7" s="139"/>
      <c r="U7" s="708"/>
      <c r="V7" s="138"/>
      <c r="W7" s="246"/>
    </row>
    <row r="8" spans="1:23" ht="24" customHeight="1" x14ac:dyDescent="0.45">
      <c r="A8" s="138"/>
      <c r="B8" s="302"/>
      <c r="C8" s="1139" t="s">
        <v>450</v>
      </c>
      <c r="D8" s="1140"/>
      <c r="E8" s="1141"/>
      <c r="F8" s="283"/>
      <c r="G8" s="302"/>
      <c r="H8" s="303"/>
      <c r="I8" s="577">
        <f ca="1">+I12/(10*'Trial Deposits Analysis'!M10)</f>
        <v>7.6446222627355218E-2</v>
      </c>
      <c r="J8" s="145"/>
      <c r="K8" s="244"/>
      <c r="L8" s="281"/>
      <c r="M8" s="592" t="s">
        <v>477</v>
      </c>
      <c r="N8" s="593"/>
      <c r="O8" s="594">
        <f>+C11-O7</f>
        <v>0</v>
      </c>
      <c r="P8" s="593"/>
      <c r="Q8" s="594">
        <f>+E12-Q7</f>
        <v>0</v>
      </c>
      <c r="R8" s="139"/>
      <c r="S8" s="316"/>
      <c r="T8" s="139"/>
      <c r="U8" s="708"/>
      <c r="V8" s="138"/>
      <c r="W8" s="246"/>
    </row>
    <row r="9" spans="1:23" ht="35.65" x14ac:dyDescent="0.45">
      <c r="A9" s="138"/>
      <c r="B9" s="277"/>
      <c r="C9" s="290" t="s">
        <v>57</v>
      </c>
      <c r="D9" s="291"/>
      <c r="E9" s="292" t="s">
        <v>456</v>
      </c>
      <c r="F9" s="186"/>
      <c r="G9" s="302"/>
      <c r="H9" s="304"/>
      <c r="I9" s="308" t="s">
        <v>531</v>
      </c>
      <c r="J9" s="145"/>
      <c r="K9" s="244"/>
      <c r="L9" s="139"/>
      <c r="M9" s="587" t="s">
        <v>85</v>
      </c>
      <c r="N9" s="135"/>
      <c r="O9" s="135"/>
      <c r="P9" s="135"/>
      <c r="Q9" s="135"/>
      <c r="R9" s="139"/>
      <c r="S9" s="316"/>
      <c r="T9" s="139"/>
      <c r="U9" s="708"/>
      <c r="V9" s="138"/>
      <c r="W9" s="246"/>
    </row>
    <row r="10" spans="1:23" ht="25.05" customHeight="1" x14ac:dyDescent="0.45">
      <c r="A10" s="138"/>
      <c r="B10" s="561" t="s">
        <v>453</v>
      </c>
      <c r="C10" s="559">
        <f>+O7</f>
        <v>466925</v>
      </c>
      <c r="D10" s="296"/>
      <c r="E10" s="560">
        <f>+Q12</f>
        <v>556</v>
      </c>
      <c r="F10" s="277"/>
      <c r="G10" s="302"/>
      <c r="H10" s="304"/>
      <c r="I10" s="590">
        <f ca="1">+S7</f>
        <v>-1.763529576419387E-2</v>
      </c>
      <c r="J10" s="145"/>
      <c r="K10" s="244"/>
      <c r="L10" s="281"/>
      <c r="M10" s="313">
        <f>+'eTool Data Engine'!C23</f>
        <v>456</v>
      </c>
      <c r="N10" s="309" t="s">
        <v>88</v>
      </c>
      <c r="O10" s="149"/>
      <c r="P10" s="135"/>
      <c r="Q10" s="135"/>
      <c r="R10" s="293"/>
      <c r="S10" s="311"/>
      <c r="T10" s="139"/>
      <c r="U10" s="708"/>
      <c r="V10" s="138"/>
      <c r="W10" s="246"/>
    </row>
    <row r="11" spans="1:23" ht="25.05" customHeight="1" x14ac:dyDescent="0.45">
      <c r="A11" s="138"/>
      <c r="B11" s="278" t="s">
        <v>452</v>
      </c>
      <c r="C11" s="720">
        <f>C10</f>
        <v>466925</v>
      </c>
      <c r="D11" s="149"/>
      <c r="E11" s="721">
        <f>E10</f>
        <v>556</v>
      </c>
      <c r="F11" s="152"/>
      <c r="G11" s="302"/>
      <c r="H11" s="304"/>
      <c r="I11" s="308" t="s">
        <v>469</v>
      </c>
      <c r="J11" s="145"/>
      <c r="K11" s="244"/>
      <c r="L11" s="139"/>
      <c r="M11" s="580" t="s">
        <v>475</v>
      </c>
      <c r="N11" s="584"/>
      <c r="O11" s="581">
        <f>+C12</f>
        <v>1023.9583333333334</v>
      </c>
      <c r="P11" s="584"/>
      <c r="Q11" s="581">
        <f>+E11</f>
        <v>556</v>
      </c>
      <c r="R11" s="293"/>
      <c r="S11" s="588" t="s">
        <v>474</v>
      </c>
      <c r="T11" s="139"/>
      <c r="U11" s="708"/>
      <c r="V11" s="407"/>
      <c r="W11" s="246"/>
    </row>
    <row r="12" spans="1:23" ht="21" customHeight="1" x14ac:dyDescent="0.45">
      <c r="A12" s="138"/>
      <c r="B12" s="278"/>
      <c r="C12" s="297">
        <f>C11/M10</f>
        <v>1023.9583333333334</v>
      </c>
      <c r="D12" s="295"/>
      <c r="E12" s="298">
        <f>+M10*E11</f>
        <v>253536</v>
      </c>
      <c r="F12" s="148"/>
      <c r="G12" s="302"/>
      <c r="H12" s="304"/>
      <c r="I12" s="591">
        <f ca="1">+'Trial Deposits Engine'!G104</f>
        <v>348.59477518073982</v>
      </c>
      <c r="J12" s="538"/>
      <c r="K12" s="244"/>
      <c r="L12" s="139"/>
      <c r="M12" s="585" t="s">
        <v>476</v>
      </c>
      <c r="N12" s="586"/>
      <c r="O12" s="582">
        <f>+O7/M10</f>
        <v>1023.9583333333334</v>
      </c>
      <c r="P12" s="583"/>
      <c r="Q12" s="582">
        <f>+'Paste Financial Sched.'!B13</f>
        <v>556</v>
      </c>
      <c r="R12" s="293"/>
      <c r="S12" s="315" t="s">
        <v>69</v>
      </c>
      <c r="T12" s="139"/>
      <c r="U12" s="708"/>
      <c r="V12" s="138"/>
      <c r="W12" s="246"/>
    </row>
    <row r="13" spans="1:23" ht="20.2" customHeight="1" x14ac:dyDescent="0.45">
      <c r="A13" s="138"/>
      <c r="B13" s="277"/>
      <c r="C13" s="299" t="s">
        <v>85</v>
      </c>
      <c r="D13" s="300"/>
      <c r="E13" s="301" t="s">
        <v>457</v>
      </c>
      <c r="F13" s="135"/>
      <c r="G13" s="305"/>
      <c r="H13" s="305"/>
      <c r="I13" s="589" t="str">
        <f ca="1">+CONCATENATE("Occuring In: RY ",+'Trial Deposits Engine'!I104)</f>
        <v>Occuring In: RY 7</v>
      </c>
      <c r="J13" s="538"/>
      <c r="K13" s="244"/>
      <c r="L13" s="139"/>
      <c r="M13" s="592" t="s">
        <v>477</v>
      </c>
      <c r="N13" s="593"/>
      <c r="O13" s="594">
        <f>+C12-O12</f>
        <v>0</v>
      </c>
      <c r="P13" s="593"/>
      <c r="Q13" s="594">
        <f>E11-Q12</f>
        <v>0</v>
      </c>
      <c r="R13" s="238"/>
      <c r="S13" s="213"/>
      <c r="T13" s="139"/>
      <c r="U13" s="708"/>
      <c r="V13" s="138"/>
      <c r="W13" s="246"/>
    </row>
    <row r="14" spans="1:23" ht="14.65" thickBot="1" x14ac:dyDescent="0.5">
      <c r="A14" s="138"/>
      <c r="B14" s="277"/>
      <c r="C14" s="302"/>
      <c r="D14" s="302"/>
      <c r="E14" s="302"/>
      <c r="F14" s="302"/>
      <c r="G14" s="302"/>
      <c r="H14" s="302"/>
      <c r="I14" s="302"/>
      <c r="J14" s="538"/>
      <c r="K14" s="244"/>
      <c r="L14" s="141"/>
      <c r="M14" s="543"/>
      <c r="N14" s="543"/>
      <c r="O14" s="543"/>
      <c r="P14" s="543"/>
      <c r="Q14" s="543"/>
      <c r="R14" s="544"/>
      <c r="S14" s="141"/>
      <c r="T14" s="141"/>
      <c r="U14" s="708"/>
      <c r="V14" s="138"/>
      <c r="W14" s="246"/>
    </row>
    <row r="15" spans="1:23" ht="35.200000000000003" customHeight="1" x14ac:dyDescent="0.45">
      <c r="A15" s="138"/>
      <c r="B15" s="1137" t="s">
        <v>454</v>
      </c>
      <c r="C15" s="1137"/>
      <c r="D15" s="1137"/>
      <c r="E15" s="1137"/>
      <c r="F15" s="1137"/>
      <c r="G15" s="1137"/>
      <c r="H15" s="1137"/>
      <c r="I15" s="1137"/>
      <c r="J15" s="1138"/>
      <c r="K15" s="244"/>
      <c r="U15" s="246"/>
      <c r="V15" s="138"/>
      <c r="W15" s="246"/>
    </row>
    <row r="16" spans="1:23" ht="60" customHeight="1" thickBot="1" x14ac:dyDescent="0.5">
      <c r="A16" s="138"/>
      <c r="B16" s="256"/>
      <c r="C16" s="528" t="s">
        <v>448</v>
      </c>
      <c r="D16" s="222"/>
      <c r="E16" s="528" t="s">
        <v>447</v>
      </c>
      <c r="F16" s="222"/>
      <c r="G16" s="528" t="s">
        <v>449</v>
      </c>
      <c r="H16" s="222"/>
      <c r="I16" s="579" t="s">
        <v>517</v>
      </c>
      <c r="J16" s="326"/>
      <c r="K16" s="244"/>
      <c r="L16" s="244"/>
      <c r="M16" s="244"/>
      <c r="N16" s="244"/>
      <c r="O16" s="244"/>
      <c r="P16" s="244"/>
      <c r="Q16" s="244"/>
      <c r="R16" s="244"/>
      <c r="S16" s="244"/>
      <c r="T16" s="244"/>
      <c r="U16" s="244"/>
      <c r="V16" s="244"/>
    </row>
    <row r="17" spans="1:22" ht="30" customHeight="1" thickBot="1" x14ac:dyDescent="0.5">
      <c r="A17" s="138"/>
      <c r="B17" s="529"/>
      <c r="C17" s="345" t="str">
        <f ca="1">+IF(C19&lt;&gt;0,"FAIL","PASS")</f>
        <v>PASS</v>
      </c>
      <c r="D17" s="218"/>
      <c r="E17" s="345" t="str">
        <f ca="1">+IF(E19&lt;&gt;0,"FAIL","PASS")</f>
        <v>FAIL</v>
      </c>
      <c r="F17" s="230"/>
      <c r="G17" s="345" t="str">
        <f ca="1">+IF(G19&lt;&gt;0,"FAIL","PASS")</f>
        <v>PASS</v>
      </c>
      <c r="H17" s="230"/>
      <c r="I17" s="530" t="str">
        <f ca="1">+IF(AND(C17="FAIL",E17="FAIL",G17="FAIL"),"VIOLATION EXISTS",IF(AND(C17="PASS",E17="FAIL",G17="FAIL"),"VIOLATION EXISTS",IF(AND(C17="FAIL",E17="FAIL",G17="PASS"),"VIOLATION EXISTS",IF(AND(C17="FAIL",E17="PASS",G17="FAIL"),"VIOLATION EXISTS","REQUIREMENTS MET"))))</f>
        <v>REQUIREMENTS MET</v>
      </c>
      <c r="J17" s="326"/>
      <c r="K17" s="244"/>
      <c r="L17" s="244"/>
      <c r="M17" s="244"/>
      <c r="N17" s="244"/>
      <c r="O17" s="244"/>
      <c r="P17" s="244"/>
      <c r="Q17" s="244"/>
      <c r="R17" s="244"/>
      <c r="S17" s="244"/>
      <c r="T17" s="244"/>
      <c r="U17" s="244"/>
      <c r="V17" s="244"/>
    </row>
    <row r="18" spans="1:22" ht="18" x14ac:dyDescent="0.45">
      <c r="A18" s="138"/>
      <c r="B18" s="529"/>
      <c r="C18" s="531" t="s">
        <v>68</v>
      </c>
      <c r="D18" s="229"/>
      <c r="E18" s="531" t="s">
        <v>68</v>
      </c>
      <c r="F18" s="229"/>
      <c r="G18" s="531" t="s">
        <v>68</v>
      </c>
      <c r="H18" s="218"/>
      <c r="I18" s="532"/>
      <c r="J18" s="326"/>
      <c r="K18" s="244"/>
      <c r="L18" s="244"/>
      <c r="M18" s="244"/>
      <c r="N18" s="244"/>
      <c r="O18" s="244"/>
      <c r="P18" s="244"/>
      <c r="Q18" s="244"/>
      <c r="R18" s="244"/>
      <c r="S18" s="244"/>
      <c r="T18" s="244"/>
      <c r="U18" s="244"/>
      <c r="V18" s="244"/>
    </row>
    <row r="19" spans="1:22" ht="18" x14ac:dyDescent="0.45">
      <c r="A19" s="138"/>
      <c r="B19" s="529"/>
      <c r="C19" s="527">
        <f ca="1">+I31</f>
        <v>0</v>
      </c>
      <c r="D19" s="222"/>
      <c r="E19" s="533">
        <f ca="1">+I47</f>
        <v>10</v>
      </c>
      <c r="F19" s="231"/>
      <c r="G19" s="533">
        <f ca="1">+I63</f>
        <v>0</v>
      </c>
      <c r="H19" s="218"/>
      <c r="I19" s="532"/>
      <c r="J19" s="326"/>
      <c r="K19" s="244"/>
      <c r="L19" s="244"/>
      <c r="M19" s="244"/>
      <c r="N19" s="244"/>
      <c r="O19" s="244"/>
      <c r="P19" s="244"/>
      <c r="Q19" s="244"/>
      <c r="R19" s="244"/>
      <c r="S19" s="244"/>
      <c r="T19" s="244"/>
      <c r="U19" s="244"/>
      <c r="V19" s="244"/>
    </row>
    <row r="20" spans="1:22" ht="18" x14ac:dyDescent="0.45">
      <c r="A20" s="138"/>
      <c r="B20" s="534"/>
      <c r="C20" s="535" t="s">
        <v>425</v>
      </c>
      <c r="D20" s="222"/>
      <c r="E20" s="535" t="s">
        <v>425</v>
      </c>
      <c r="F20" s="231"/>
      <c r="G20" s="535" t="s">
        <v>425</v>
      </c>
      <c r="H20" s="218"/>
      <c r="I20" s="532"/>
      <c r="J20" s="545"/>
      <c r="K20" s="244"/>
      <c r="L20" s="244"/>
      <c r="M20" s="244"/>
      <c r="N20" s="244"/>
      <c r="O20" s="244"/>
      <c r="P20" s="244"/>
      <c r="Q20" s="244"/>
      <c r="R20" s="244"/>
      <c r="S20" s="244"/>
      <c r="T20" s="244"/>
      <c r="U20" s="244"/>
      <c r="V20" s="244"/>
    </row>
    <row r="21" spans="1:22" ht="16.05" customHeight="1" x14ac:dyDescent="0.45">
      <c r="A21" s="138"/>
      <c r="B21" s="281"/>
      <c r="C21" s="139"/>
      <c r="D21" s="139"/>
      <c r="E21" s="139"/>
      <c r="F21" s="139"/>
      <c r="G21" s="139"/>
      <c r="H21" s="139"/>
      <c r="I21" s="139"/>
      <c r="J21" s="539"/>
      <c r="K21" s="244"/>
      <c r="L21" s="244"/>
      <c r="M21" s="244"/>
      <c r="N21" s="244"/>
      <c r="O21" s="244"/>
      <c r="P21" s="244"/>
      <c r="Q21" s="244"/>
      <c r="R21" s="244"/>
      <c r="S21" s="244"/>
      <c r="T21" s="244"/>
      <c r="U21" s="244"/>
      <c r="V21" s="244"/>
    </row>
    <row r="22" spans="1:22" ht="16.05" customHeight="1" x14ac:dyDescent="0.45">
      <c r="A22" s="138"/>
      <c r="B22" s="213"/>
      <c r="C22" s="213"/>
      <c r="D22" s="213"/>
      <c r="E22" s="213"/>
      <c r="F22" s="213"/>
      <c r="G22" s="213"/>
      <c r="H22" s="213"/>
      <c r="I22" s="213"/>
      <c r="J22" s="540"/>
      <c r="K22" s="244"/>
      <c r="L22" s="244"/>
      <c r="M22" s="244"/>
      <c r="N22" s="244"/>
      <c r="O22" s="244"/>
      <c r="P22" s="244"/>
      <c r="Q22" s="244"/>
      <c r="R22" s="244"/>
      <c r="S22" s="244"/>
      <c r="T22" s="244"/>
      <c r="U22" s="244"/>
      <c r="V22" s="244"/>
    </row>
    <row r="23" spans="1:22" x14ac:dyDescent="0.45">
      <c r="A23" s="138"/>
      <c r="B23" s="213"/>
      <c r="C23" s="213"/>
      <c r="D23" s="213"/>
      <c r="E23" s="213"/>
      <c r="F23" s="213"/>
      <c r="G23" s="213"/>
      <c r="H23" s="213"/>
      <c r="I23" s="213"/>
      <c r="J23" s="540"/>
      <c r="K23" s="244"/>
      <c r="L23" s="244"/>
      <c r="M23" s="244"/>
      <c r="N23" s="244"/>
      <c r="O23" s="244"/>
      <c r="P23" s="244"/>
      <c r="Q23" s="244"/>
      <c r="R23" s="244"/>
      <c r="S23" s="244"/>
      <c r="T23" s="244"/>
      <c r="U23" s="244"/>
      <c r="V23" s="244"/>
    </row>
    <row r="24" spans="1:22" ht="16.5" customHeight="1" x14ac:dyDescent="0.45">
      <c r="A24" s="138"/>
      <c r="B24" s="213"/>
      <c r="C24" s="213"/>
      <c r="D24" s="213"/>
      <c r="E24" s="213"/>
      <c r="F24" s="213"/>
      <c r="G24" s="213"/>
      <c r="H24" s="213"/>
      <c r="I24" s="213"/>
      <c r="J24" s="540"/>
      <c r="K24" s="244"/>
      <c r="L24" s="244"/>
      <c r="M24" s="244"/>
      <c r="N24" s="244"/>
      <c r="O24" s="244"/>
      <c r="P24" s="244"/>
      <c r="Q24" s="244"/>
      <c r="R24" s="244"/>
      <c r="S24" s="244"/>
      <c r="T24" s="244"/>
      <c r="U24" s="244"/>
      <c r="V24" s="244"/>
    </row>
    <row r="25" spans="1:22" ht="15.75" customHeight="1" thickBot="1" x14ac:dyDescent="0.5">
      <c r="A25" s="138"/>
      <c r="B25" s="541"/>
      <c r="C25" s="541"/>
      <c r="D25" s="541"/>
      <c r="E25" s="541"/>
      <c r="F25" s="541"/>
      <c r="G25" s="541"/>
      <c r="H25" s="541"/>
      <c r="I25" s="541"/>
      <c r="J25" s="542"/>
      <c r="K25" s="244"/>
      <c r="L25" s="244"/>
      <c r="M25" s="244"/>
      <c r="N25" s="244"/>
      <c r="O25" s="244"/>
      <c r="P25" s="244"/>
      <c r="Q25" s="244"/>
      <c r="R25" s="244"/>
      <c r="S25" s="244"/>
      <c r="T25" s="244"/>
      <c r="U25" s="244"/>
      <c r="V25" s="244"/>
    </row>
    <row r="26" spans="1:22" ht="16.05" customHeight="1" x14ac:dyDescent="0.45">
      <c r="A26" s="138"/>
      <c r="B26" s="522"/>
      <c r="C26" s="138"/>
      <c r="D26" s="138"/>
      <c r="E26" s="138"/>
      <c r="F26" s="138"/>
      <c r="G26" s="138"/>
      <c r="H26" s="523"/>
      <c r="I26" s="137"/>
      <c r="J26" s="521"/>
      <c r="K26" s="244"/>
      <c r="L26" s="244"/>
      <c r="M26" s="244"/>
      <c r="N26" s="244"/>
      <c r="O26" s="244"/>
      <c r="P26" s="244"/>
      <c r="Q26" s="244"/>
      <c r="R26" s="244"/>
      <c r="S26" s="244"/>
      <c r="T26" s="244"/>
      <c r="U26" s="244"/>
      <c r="V26" s="244"/>
    </row>
    <row r="27" spans="1:22" ht="25.05" customHeight="1" x14ac:dyDescent="0.45">
      <c r="A27" s="138"/>
      <c r="K27" s="244"/>
      <c r="L27" s="244"/>
      <c r="M27" s="244"/>
      <c r="N27" s="244"/>
      <c r="O27" s="244"/>
      <c r="P27" s="244"/>
      <c r="Q27" s="244"/>
      <c r="R27" s="244"/>
      <c r="S27" s="244"/>
      <c r="T27" s="244"/>
      <c r="U27" s="244"/>
      <c r="V27" s="244"/>
    </row>
    <row r="28" spans="1:22" ht="15.75" customHeight="1" x14ac:dyDescent="0.45">
      <c r="A28" s="138"/>
      <c r="B28" s="138"/>
      <c r="C28" s="138"/>
      <c r="D28" s="138"/>
      <c r="E28" s="138"/>
      <c r="F28" s="138"/>
      <c r="G28" s="138"/>
      <c r="H28" s="138"/>
      <c r="I28" s="138"/>
      <c r="J28" s="138"/>
      <c r="K28" s="138"/>
      <c r="L28" s="138"/>
      <c r="M28" s="138"/>
      <c r="N28" s="244"/>
      <c r="O28" s="244"/>
      <c r="P28" s="244"/>
      <c r="Q28" s="244"/>
      <c r="R28" s="244"/>
      <c r="S28" s="244"/>
      <c r="T28" s="244"/>
      <c r="U28" s="244"/>
      <c r="V28" s="244"/>
    </row>
    <row r="29" spans="1:22" ht="15.75" customHeight="1" thickBot="1" x14ac:dyDescent="0.5">
      <c r="A29" s="138"/>
      <c r="B29" s="370"/>
      <c r="C29" s="139"/>
      <c r="D29" s="139"/>
      <c r="E29" s="139"/>
      <c r="F29" s="139"/>
      <c r="G29" s="136"/>
      <c r="H29" s="139"/>
      <c r="I29" s="139"/>
      <c r="J29" s="140"/>
      <c r="K29" s="244"/>
      <c r="L29" s="244"/>
      <c r="M29" s="244"/>
      <c r="N29" s="244"/>
      <c r="O29" s="244"/>
      <c r="P29" s="244"/>
      <c r="Q29" s="244"/>
      <c r="R29" s="244"/>
      <c r="S29" s="244"/>
      <c r="T29" s="244"/>
      <c r="U29" s="244"/>
      <c r="V29" s="244"/>
    </row>
    <row r="30" spans="1:22" ht="16.05" customHeight="1" x14ac:dyDescent="0.45">
      <c r="A30" s="138"/>
      <c r="B30" s="139"/>
      <c r="C30" s="1108" t="s">
        <v>89</v>
      </c>
      <c r="D30" s="1109"/>
      <c r="E30" s="1109"/>
      <c r="F30" s="1109"/>
      <c r="G30" s="1110"/>
      <c r="H30" s="139"/>
      <c r="I30" s="143" t="s">
        <v>430</v>
      </c>
      <c r="J30" s="140"/>
      <c r="K30" s="244"/>
      <c r="L30" s="244"/>
      <c r="M30" s="244"/>
      <c r="N30" s="244"/>
      <c r="O30" s="244"/>
      <c r="P30" s="244"/>
      <c r="Q30" s="244"/>
      <c r="R30" s="244"/>
      <c r="S30" s="244"/>
      <c r="T30" s="244"/>
      <c r="U30" s="244"/>
      <c r="V30" s="244"/>
    </row>
    <row r="31" spans="1:22" ht="15" customHeight="1" thickBot="1" x14ac:dyDescent="0.5">
      <c r="A31" s="138"/>
      <c r="B31" s="370"/>
      <c r="C31" s="139"/>
      <c r="D31" s="139"/>
      <c r="E31" s="139"/>
      <c r="F31" s="139"/>
      <c r="G31" s="224"/>
      <c r="H31" s="139"/>
      <c r="I31" s="144">
        <f ca="1">+COUNTIF(I33:I42,"Not OK")</f>
        <v>0</v>
      </c>
      <c r="J31" s="140"/>
      <c r="K31" s="244"/>
      <c r="L31" s="244"/>
      <c r="M31" s="244"/>
      <c r="N31" s="244"/>
      <c r="O31" s="244"/>
      <c r="P31" s="244"/>
      <c r="Q31" s="244"/>
      <c r="R31" s="244"/>
      <c r="S31" s="244"/>
      <c r="T31" s="244"/>
      <c r="U31" s="244"/>
      <c r="V31" s="244"/>
    </row>
    <row r="32" spans="1:22" ht="39.4" x14ac:dyDescent="0.45">
      <c r="A32" s="138"/>
      <c r="B32" s="200" t="s">
        <v>73</v>
      </c>
      <c r="C32" s="200" t="s">
        <v>90</v>
      </c>
      <c r="D32" s="373"/>
      <c r="E32" s="200" t="s">
        <v>74</v>
      </c>
      <c r="F32" s="373"/>
      <c r="G32" s="200" t="s">
        <v>461</v>
      </c>
      <c r="H32" s="373"/>
      <c r="I32" s="374" t="s">
        <v>92</v>
      </c>
      <c r="J32" s="140"/>
      <c r="K32" s="244"/>
      <c r="L32" s="244"/>
      <c r="M32" s="244"/>
      <c r="N32" s="244"/>
      <c r="O32" s="244"/>
      <c r="P32" s="244"/>
      <c r="Q32" s="244"/>
      <c r="R32" s="244"/>
      <c r="S32" s="244"/>
      <c r="T32" s="244"/>
      <c r="U32" s="244"/>
      <c r="V32" s="244"/>
    </row>
    <row r="33" spans="1:22" ht="15" customHeight="1" x14ac:dyDescent="0.45">
      <c r="A33" s="138"/>
      <c r="B33" s="371">
        <v>1</v>
      </c>
      <c r="C33" s="329">
        <f t="shared" ref="C33:C42" ca="1" si="0">+K83</f>
        <v>725130.25</v>
      </c>
      <c r="D33" s="357"/>
      <c r="E33" s="232">
        <f t="shared" ref="E33:E42" si="1">+E83</f>
        <v>335249.58</v>
      </c>
      <c r="F33" s="322"/>
      <c r="G33" s="329">
        <f t="shared" ref="G33:G42" ca="1" si="2">+C33-E33</f>
        <v>389880.67</v>
      </c>
      <c r="H33" s="224"/>
      <c r="I33" s="236" t="str">
        <f ca="1">+IF(C33&gt;=0,"OK","Not OK")</f>
        <v>OK</v>
      </c>
      <c r="J33" s="140"/>
      <c r="K33" s="244"/>
      <c r="L33" s="244"/>
      <c r="M33" s="244"/>
      <c r="N33" s="244"/>
      <c r="O33" s="244"/>
      <c r="P33" s="244"/>
      <c r="Q33" s="244"/>
      <c r="R33" s="244"/>
      <c r="S33" s="244"/>
      <c r="T33" s="244"/>
      <c r="U33" s="244"/>
      <c r="V33" s="244"/>
    </row>
    <row r="34" spans="1:22" ht="19.5" customHeight="1" x14ac:dyDescent="0.45">
      <c r="A34" s="138"/>
      <c r="B34" s="371">
        <v>2</v>
      </c>
      <c r="C34" s="329">
        <f t="shared" ca="1" si="0"/>
        <v>990988.27249999996</v>
      </c>
      <c r="D34" s="357"/>
      <c r="E34" s="232">
        <f t="shared" si="1"/>
        <v>341954.57</v>
      </c>
      <c r="F34" s="322"/>
      <c r="G34" s="329">
        <f t="shared" ca="1" si="2"/>
        <v>649033.7024999999</v>
      </c>
      <c r="H34" s="224"/>
      <c r="I34" s="236" t="str">
        <f ca="1">+IF(C34&gt;=0,"OK","Not OK")</f>
        <v>OK</v>
      </c>
      <c r="J34" s="140"/>
      <c r="K34" s="244"/>
      <c r="L34" s="244"/>
      <c r="M34" s="244"/>
      <c r="N34" s="244"/>
      <c r="O34" s="244"/>
      <c r="P34" s="244"/>
      <c r="Q34" s="244"/>
      <c r="R34" s="244"/>
      <c r="S34" s="244"/>
      <c r="T34" s="244"/>
      <c r="U34" s="244"/>
      <c r="V34" s="244"/>
    </row>
    <row r="35" spans="1:22" ht="15" customHeight="1" x14ac:dyDescent="0.45">
      <c r="A35" s="138"/>
      <c r="B35" s="371">
        <v>3</v>
      </c>
      <c r="C35" s="329">
        <f t="shared" ca="1" si="0"/>
        <v>924537.53098749998</v>
      </c>
      <c r="D35" s="357"/>
      <c r="E35" s="232">
        <f t="shared" si="1"/>
        <v>348793.66</v>
      </c>
      <c r="F35" s="322"/>
      <c r="G35" s="329">
        <f t="shared" ca="1" si="2"/>
        <v>575743.87098750006</v>
      </c>
      <c r="H35" s="224"/>
      <c r="I35" s="236" t="str">
        <f t="shared" ref="I35:I42" ca="1" si="3">+IF(G35&gt;=0,"OK","Not OK")</f>
        <v>OK</v>
      </c>
      <c r="J35" s="140"/>
      <c r="K35" s="244"/>
      <c r="L35" s="244"/>
      <c r="M35" s="244"/>
      <c r="N35" s="244"/>
      <c r="O35" s="244"/>
      <c r="P35" s="244"/>
      <c r="Q35" s="244"/>
      <c r="R35" s="244"/>
      <c r="S35" s="244"/>
      <c r="T35" s="244"/>
      <c r="U35" s="244"/>
      <c r="V35" s="244"/>
    </row>
    <row r="36" spans="1:22" ht="15.75" customHeight="1" x14ac:dyDescent="0.45">
      <c r="A36" s="138"/>
      <c r="B36" s="371">
        <v>4</v>
      </c>
      <c r="C36" s="329">
        <f t="shared" ca="1" si="0"/>
        <v>919611.60544031253</v>
      </c>
      <c r="D36" s="357"/>
      <c r="E36" s="232">
        <f t="shared" si="1"/>
        <v>355769.54</v>
      </c>
      <c r="F36" s="322"/>
      <c r="G36" s="329">
        <f t="shared" ca="1" si="2"/>
        <v>563842.06544031249</v>
      </c>
      <c r="H36" s="224"/>
      <c r="I36" s="236" t="str">
        <f t="shared" ca="1" si="3"/>
        <v>OK</v>
      </c>
      <c r="J36" s="140"/>
      <c r="K36" s="244"/>
      <c r="L36" s="244"/>
      <c r="M36" s="244"/>
      <c r="N36" s="244"/>
      <c r="O36" s="244"/>
      <c r="P36" s="244"/>
      <c r="Q36" s="244"/>
      <c r="R36" s="244"/>
      <c r="S36" s="244"/>
      <c r="T36" s="244"/>
      <c r="U36" s="244"/>
      <c r="V36" s="244"/>
    </row>
    <row r="37" spans="1:22" ht="15" customHeight="1" x14ac:dyDescent="0.45">
      <c r="A37" s="138"/>
      <c r="B37" s="371">
        <v>5</v>
      </c>
      <c r="C37" s="329">
        <f t="shared" ca="1" si="0"/>
        <v>693744.4796396771</v>
      </c>
      <c r="D37" s="357"/>
      <c r="E37" s="232">
        <f t="shared" si="1"/>
        <v>362884.93</v>
      </c>
      <c r="F37" s="322"/>
      <c r="G37" s="329">
        <f t="shared" ca="1" si="2"/>
        <v>330859.54963967711</v>
      </c>
      <c r="H37" s="224"/>
      <c r="I37" s="236" t="str">
        <f t="shared" ca="1" si="3"/>
        <v>OK</v>
      </c>
      <c r="J37" s="140"/>
      <c r="K37" s="244"/>
      <c r="L37" s="244"/>
      <c r="M37" s="244"/>
      <c r="N37" s="244"/>
      <c r="O37" s="244"/>
      <c r="P37" s="244"/>
      <c r="Q37" s="244"/>
      <c r="R37" s="244"/>
      <c r="S37" s="244"/>
      <c r="T37" s="244"/>
      <c r="U37" s="244"/>
      <c r="V37" s="244"/>
    </row>
    <row r="38" spans="1:22" ht="15" customHeight="1" x14ac:dyDescent="0.45">
      <c r="A38" s="138"/>
      <c r="B38" s="371">
        <v>6</v>
      </c>
      <c r="C38" s="329">
        <f t="shared" ca="1" si="0"/>
        <v>510675.35735438741</v>
      </c>
      <c r="D38" s="357"/>
      <c r="E38" s="232">
        <f t="shared" si="1"/>
        <v>370142.63</v>
      </c>
      <c r="F38" s="322"/>
      <c r="G38" s="329">
        <f t="shared" ca="1" si="2"/>
        <v>140532.7273543874</v>
      </c>
      <c r="H38" s="224"/>
      <c r="I38" s="236" t="str">
        <f t="shared" ca="1" si="3"/>
        <v>OK</v>
      </c>
      <c r="J38" s="140"/>
      <c r="K38" s="244"/>
      <c r="L38" s="244"/>
      <c r="M38" s="244"/>
      <c r="N38" s="244"/>
      <c r="O38" s="244"/>
      <c r="P38" s="244"/>
      <c r="Q38" s="244"/>
      <c r="R38" s="244"/>
      <c r="S38" s="244"/>
      <c r="T38" s="244"/>
      <c r="U38" s="244"/>
      <c r="V38" s="244"/>
    </row>
    <row r="39" spans="1:22" ht="18" customHeight="1" x14ac:dyDescent="0.45">
      <c r="A39" s="138"/>
      <c r="B39" s="371">
        <v>7</v>
      </c>
      <c r="C39" s="329">
        <f t="shared" ca="1" si="0"/>
        <v>377894.07284522068</v>
      </c>
      <c r="D39" s="357"/>
      <c r="E39" s="232">
        <f t="shared" si="1"/>
        <v>377545.48</v>
      </c>
      <c r="F39" s="322"/>
      <c r="G39" s="329">
        <f t="shared" ca="1" si="2"/>
        <v>348.59284522070084</v>
      </c>
      <c r="H39" s="224"/>
      <c r="I39" s="236" t="str">
        <f t="shared" ca="1" si="3"/>
        <v>OK</v>
      </c>
      <c r="J39" s="140"/>
      <c r="K39" s="244"/>
      <c r="L39" s="244"/>
      <c r="M39" s="244"/>
      <c r="N39" s="244"/>
      <c r="O39" s="244"/>
      <c r="P39" s="244"/>
      <c r="Q39" s="244"/>
      <c r="R39" s="244"/>
      <c r="S39" s="244"/>
      <c r="T39" s="244"/>
      <c r="U39" s="244"/>
      <c r="V39" s="244"/>
    </row>
    <row r="40" spans="1:22" ht="16.5" customHeight="1" x14ac:dyDescent="0.45">
      <c r="A40" s="138"/>
      <c r="B40" s="371">
        <v>8</v>
      </c>
      <c r="C40" s="329">
        <f t="shared" ca="1" si="0"/>
        <v>401502.72337102686</v>
      </c>
      <c r="D40" s="357"/>
      <c r="E40" s="232">
        <f t="shared" si="1"/>
        <v>385096.39</v>
      </c>
      <c r="F40" s="322"/>
      <c r="G40" s="329">
        <f t="shared" ca="1" si="2"/>
        <v>16406.333371026849</v>
      </c>
      <c r="H40" s="224"/>
      <c r="I40" s="236" t="str">
        <f t="shared" ca="1" si="3"/>
        <v>OK</v>
      </c>
      <c r="J40" s="140"/>
      <c r="K40" s="244"/>
      <c r="L40" s="244"/>
      <c r="M40" s="244"/>
      <c r="N40" s="244"/>
      <c r="O40" s="244"/>
      <c r="P40" s="244"/>
      <c r="Q40" s="244"/>
      <c r="R40" s="244"/>
      <c r="S40" s="244"/>
      <c r="T40" s="244"/>
      <c r="U40" s="244"/>
      <c r="V40" s="244"/>
    </row>
    <row r="41" spans="1:22" ht="15" customHeight="1" x14ac:dyDescent="0.45">
      <c r="A41" s="138"/>
      <c r="B41" s="371">
        <v>9</v>
      </c>
      <c r="C41" s="329">
        <f t="shared" ca="1" si="0"/>
        <v>480981.93704338267</v>
      </c>
      <c r="D41" s="357"/>
      <c r="E41" s="232">
        <f t="shared" si="1"/>
        <v>392798.32</v>
      </c>
      <c r="F41" s="322"/>
      <c r="G41" s="329">
        <f t="shared" ca="1" si="2"/>
        <v>88183.617043382663</v>
      </c>
      <c r="H41" s="224"/>
      <c r="I41" s="236" t="str">
        <f t="shared" ca="1" si="3"/>
        <v>OK</v>
      </c>
      <c r="J41" s="140"/>
      <c r="K41" s="244"/>
      <c r="L41" s="244"/>
      <c r="M41" s="244"/>
      <c r="N41" s="244"/>
      <c r="O41" s="244"/>
      <c r="P41" s="244"/>
      <c r="Q41" s="244"/>
      <c r="R41" s="244"/>
      <c r="S41" s="244"/>
      <c r="T41" s="244"/>
      <c r="U41" s="244"/>
      <c r="V41" s="244"/>
    </row>
    <row r="42" spans="1:22" x14ac:dyDescent="0.45">
      <c r="A42" s="138"/>
      <c r="B42" s="371">
        <v>10</v>
      </c>
      <c r="C42" s="329">
        <f t="shared" ca="1" si="0"/>
        <v>433773.61557725974</v>
      </c>
      <c r="D42" s="357"/>
      <c r="E42" s="232">
        <f t="shared" si="1"/>
        <v>400654.28</v>
      </c>
      <c r="F42" s="322"/>
      <c r="G42" s="329">
        <f t="shared" ca="1" si="2"/>
        <v>33119.335577259713</v>
      </c>
      <c r="H42" s="224"/>
      <c r="I42" s="236" t="str">
        <f t="shared" ca="1" si="3"/>
        <v>OK</v>
      </c>
      <c r="J42" s="140"/>
      <c r="K42" s="244"/>
      <c r="L42" s="244"/>
      <c r="M42" s="244"/>
      <c r="N42" s="244"/>
      <c r="O42" s="244"/>
      <c r="P42" s="244"/>
      <c r="Q42" s="244"/>
      <c r="R42" s="244"/>
      <c r="S42" s="244"/>
      <c r="T42" s="244"/>
      <c r="U42" s="244"/>
      <c r="V42" s="244"/>
    </row>
    <row r="43" spans="1:22" ht="50.2" customHeight="1" thickBot="1" x14ac:dyDescent="0.5">
      <c r="A43" s="138"/>
      <c r="B43" s="141"/>
      <c r="C43" s="323"/>
      <c r="D43" s="141"/>
      <c r="E43" s="141"/>
      <c r="F43" s="141"/>
      <c r="G43" s="323"/>
      <c r="H43" s="141"/>
      <c r="I43" s="141"/>
      <c r="J43" s="142"/>
      <c r="K43" s="524"/>
      <c r="L43" s="244"/>
      <c r="M43" s="244"/>
      <c r="N43" s="244"/>
      <c r="O43" s="244"/>
      <c r="P43" s="244"/>
      <c r="Q43" s="244"/>
      <c r="R43" s="244"/>
      <c r="S43" s="244"/>
      <c r="T43" s="244"/>
      <c r="U43" s="244"/>
      <c r="V43" s="244"/>
    </row>
    <row r="44" spans="1:22" x14ac:dyDescent="0.45">
      <c r="A44" s="138"/>
      <c r="B44" s="138"/>
      <c r="C44" s="138"/>
      <c r="D44" s="138"/>
      <c r="E44" s="138"/>
      <c r="F44" s="138"/>
      <c r="G44" s="138"/>
      <c r="H44" s="138"/>
      <c r="I44" s="138"/>
      <c r="J44" s="138"/>
      <c r="K44" s="244"/>
      <c r="L44" s="244"/>
      <c r="M44" s="244"/>
      <c r="N44" s="244"/>
      <c r="O44" s="244"/>
      <c r="P44" s="244"/>
      <c r="Q44" s="244"/>
      <c r="R44" s="244"/>
      <c r="S44" s="244"/>
      <c r="T44" s="244"/>
      <c r="U44" s="244"/>
      <c r="V44" s="244"/>
    </row>
    <row r="45" spans="1:22" ht="14.65" thickBot="1" x14ac:dyDescent="0.5">
      <c r="A45" s="138"/>
      <c r="B45" s="370"/>
      <c r="C45" s="139"/>
      <c r="D45" s="139"/>
      <c r="E45" s="139"/>
      <c r="F45" s="139"/>
      <c r="G45" s="136"/>
      <c r="H45" s="139"/>
      <c r="I45" s="139"/>
      <c r="J45" s="140"/>
      <c r="K45" s="138"/>
      <c r="L45" s="244"/>
      <c r="M45" s="244"/>
      <c r="N45" s="244"/>
      <c r="O45" s="244"/>
      <c r="P45" s="244"/>
      <c r="Q45" s="244"/>
      <c r="R45" s="244"/>
      <c r="S45" s="244"/>
      <c r="T45" s="244"/>
      <c r="U45" s="244"/>
      <c r="V45" s="244"/>
    </row>
    <row r="46" spans="1:22" x14ac:dyDescent="0.45">
      <c r="A46" s="138"/>
      <c r="B46" s="139"/>
      <c r="C46" s="1108" t="s">
        <v>91</v>
      </c>
      <c r="D46" s="1109"/>
      <c r="E46" s="1109"/>
      <c r="F46" s="1109"/>
      <c r="G46" s="1110"/>
      <c r="H46" s="139"/>
      <c r="I46" s="237" t="s">
        <v>430</v>
      </c>
      <c r="J46" s="140"/>
      <c r="K46" s="138"/>
      <c r="L46" s="244"/>
      <c r="M46" s="244"/>
      <c r="N46" s="244"/>
      <c r="O46" s="244"/>
      <c r="P46" s="244"/>
      <c r="Q46" s="244"/>
      <c r="R46" s="244"/>
      <c r="S46" s="244"/>
      <c r="T46" s="244"/>
      <c r="U46" s="244"/>
      <c r="V46" s="244"/>
    </row>
    <row r="47" spans="1:22" ht="16.149999999999999" thickBot="1" x14ac:dyDescent="0.5">
      <c r="A47" s="138"/>
      <c r="B47" s="370"/>
      <c r="C47" s="139"/>
      <c r="D47" s="139"/>
      <c r="E47" s="139"/>
      <c r="F47" s="139"/>
      <c r="G47" s="224"/>
      <c r="H47" s="139"/>
      <c r="I47" s="150">
        <f ca="1">+COUNTIF(I49:I58,"Not OK")</f>
        <v>10</v>
      </c>
      <c r="J47" s="140"/>
      <c r="K47" s="521"/>
      <c r="L47" s="244"/>
      <c r="M47" s="244"/>
      <c r="N47" s="244"/>
      <c r="O47" s="244"/>
      <c r="P47" s="244"/>
      <c r="Q47" s="244"/>
      <c r="R47" s="244"/>
      <c r="S47" s="244"/>
      <c r="T47" s="244"/>
      <c r="U47" s="244"/>
      <c r="V47" s="244"/>
    </row>
    <row r="48" spans="1:22" ht="39.4" x14ac:dyDescent="0.45">
      <c r="A48" s="138"/>
      <c r="B48" s="200" t="s">
        <v>73</v>
      </c>
      <c r="C48" s="200" t="s">
        <v>90</v>
      </c>
      <c r="D48" s="219"/>
      <c r="E48" s="200" t="s">
        <v>74</v>
      </c>
      <c r="F48" s="219"/>
      <c r="G48" s="200" t="s">
        <v>461</v>
      </c>
      <c r="H48" s="219"/>
      <c r="I48" s="375" t="s">
        <v>92</v>
      </c>
      <c r="J48" s="140"/>
      <c r="K48" s="521"/>
      <c r="L48" s="244"/>
      <c r="M48" s="244"/>
      <c r="N48" s="244"/>
      <c r="O48" s="244"/>
      <c r="P48" s="244"/>
      <c r="Q48" s="244"/>
      <c r="R48" s="244"/>
      <c r="S48" s="244"/>
      <c r="T48" s="244"/>
      <c r="U48" s="244"/>
      <c r="V48" s="244"/>
    </row>
    <row r="49" spans="1:22" ht="18.75" customHeight="1" x14ac:dyDescent="0.45">
      <c r="A49" s="138"/>
      <c r="B49" s="371">
        <v>11</v>
      </c>
      <c r="C49" s="233">
        <f t="shared" ref="C49:C58" ca="1" si="4">+K93</f>
        <v>-110703.27092129062</v>
      </c>
      <c r="D49" s="322"/>
      <c r="E49" s="232">
        <f t="shared" ref="E49:E58" si="5">+E93</f>
        <v>408667.37</v>
      </c>
      <c r="F49" s="322"/>
      <c r="G49" s="329">
        <f t="shared" ref="G49:G58" ca="1" si="6">+C49-E49</f>
        <v>-519370.64092129061</v>
      </c>
      <c r="H49" s="224"/>
      <c r="I49" s="236" t="str">
        <f ca="1">+IF(G49&gt;=0,"OK","Not OK")</f>
        <v>Not OK</v>
      </c>
      <c r="J49" s="140"/>
      <c r="K49" s="138"/>
      <c r="L49" s="244"/>
      <c r="M49" s="244"/>
      <c r="N49" s="244"/>
      <c r="O49" s="244"/>
      <c r="P49" s="244"/>
      <c r="Q49" s="244"/>
      <c r="R49" s="244"/>
      <c r="S49" s="244"/>
      <c r="T49" s="244"/>
      <c r="U49" s="244"/>
      <c r="V49" s="244"/>
    </row>
    <row r="50" spans="1:22" x14ac:dyDescent="0.45">
      <c r="A50" s="138"/>
      <c r="B50" s="371">
        <v>12</v>
      </c>
      <c r="C50" s="233">
        <f t="shared" ca="1" si="4"/>
        <v>-610983.27226814406</v>
      </c>
      <c r="D50" s="322"/>
      <c r="E50" s="232">
        <f t="shared" si="5"/>
        <v>416840.71</v>
      </c>
      <c r="F50" s="322"/>
      <c r="G50" s="329">
        <f t="shared" ca="1" si="6"/>
        <v>-1027823.9822681441</v>
      </c>
      <c r="H50" s="224"/>
      <c r="I50" s="236" t="str">
        <f t="shared" ref="I50:I58" ca="1" si="7">+IF(G50&gt;=0,"OK","Not OK")</f>
        <v>Not OK</v>
      </c>
      <c r="J50" s="140"/>
      <c r="K50" s="138"/>
      <c r="L50" s="244"/>
      <c r="M50" s="244"/>
      <c r="N50" s="244"/>
      <c r="O50" s="244"/>
      <c r="P50" s="244"/>
      <c r="Q50" s="244"/>
      <c r="R50" s="244"/>
      <c r="S50" s="244"/>
      <c r="T50" s="244"/>
      <c r="U50" s="244"/>
      <c r="V50" s="244"/>
    </row>
    <row r="51" spans="1:22" ht="15" customHeight="1" x14ac:dyDescent="0.45">
      <c r="A51" s="138"/>
      <c r="B51" s="371">
        <v>13</v>
      </c>
      <c r="C51" s="233">
        <f t="shared" ca="1" si="4"/>
        <v>-1017555.9606419345</v>
      </c>
      <c r="D51" s="322"/>
      <c r="E51" s="232">
        <f t="shared" si="5"/>
        <v>425177.53</v>
      </c>
      <c r="F51" s="322"/>
      <c r="G51" s="329">
        <f t="shared" ca="1" si="6"/>
        <v>-1442733.4906419346</v>
      </c>
      <c r="H51" s="224"/>
      <c r="I51" s="236" t="str">
        <f t="shared" ca="1" si="7"/>
        <v>Not OK</v>
      </c>
      <c r="J51" s="140"/>
      <c r="K51" s="138"/>
      <c r="L51" s="244"/>
      <c r="M51" s="244"/>
      <c r="N51" s="244"/>
      <c r="O51" s="244"/>
      <c r="P51" s="244"/>
      <c r="Q51" s="244"/>
      <c r="R51" s="244"/>
      <c r="S51" s="244"/>
      <c r="T51" s="244"/>
      <c r="U51" s="244"/>
      <c r="V51" s="244"/>
    </row>
    <row r="52" spans="1:22" ht="15" customHeight="1" x14ac:dyDescent="0.45">
      <c r="A52" s="138"/>
      <c r="B52" s="371">
        <v>14</v>
      </c>
      <c r="C52" s="233">
        <f t="shared" ca="1" si="4"/>
        <v>-966079.49998320092</v>
      </c>
      <c r="D52" s="322"/>
      <c r="E52" s="232">
        <f t="shared" si="5"/>
        <v>433681.08</v>
      </c>
      <c r="F52" s="322"/>
      <c r="G52" s="329">
        <f t="shared" ca="1" si="6"/>
        <v>-1399760.5799832009</v>
      </c>
      <c r="H52" s="224"/>
      <c r="I52" s="236" t="str">
        <f t="shared" ca="1" si="7"/>
        <v>Not OK</v>
      </c>
      <c r="J52" s="140"/>
      <c r="K52" s="138"/>
      <c r="L52" s="244"/>
      <c r="M52" s="244"/>
      <c r="N52" s="244"/>
      <c r="O52" s="244"/>
      <c r="P52" s="244"/>
      <c r="Q52" s="244"/>
      <c r="R52" s="244"/>
      <c r="S52" s="244"/>
      <c r="T52" s="244"/>
      <c r="U52" s="244"/>
      <c r="V52" s="244"/>
    </row>
    <row r="53" spans="1:22" ht="15" customHeight="1" x14ac:dyDescent="0.45">
      <c r="A53" s="138"/>
      <c r="B53" s="371">
        <v>15</v>
      </c>
      <c r="C53" s="233">
        <f t="shared" ca="1" si="4"/>
        <v>-1341212.1823112925</v>
      </c>
      <c r="D53" s="322"/>
      <c r="E53" s="232">
        <f t="shared" si="5"/>
        <v>442354.7</v>
      </c>
      <c r="F53" s="322"/>
      <c r="G53" s="329">
        <f t="shared" ca="1" si="6"/>
        <v>-1783566.8823112925</v>
      </c>
      <c r="H53" s="224"/>
      <c r="I53" s="236" t="str">
        <f t="shared" ca="1" si="7"/>
        <v>Not OK</v>
      </c>
      <c r="J53" s="140"/>
      <c r="K53" s="138"/>
      <c r="L53" s="244"/>
      <c r="M53" s="244"/>
      <c r="N53" s="244"/>
      <c r="O53" s="244"/>
      <c r="P53" s="244"/>
      <c r="Q53" s="244"/>
      <c r="R53" s="244"/>
      <c r="S53" s="244"/>
      <c r="T53" s="244"/>
      <c r="U53" s="244"/>
      <c r="V53" s="244"/>
    </row>
    <row r="54" spans="1:22" x14ac:dyDescent="0.45">
      <c r="A54" s="138"/>
      <c r="B54" s="371">
        <v>16</v>
      </c>
      <c r="C54" s="233">
        <f t="shared" ca="1" si="4"/>
        <v>-1670061.927285946</v>
      </c>
      <c r="D54" s="322"/>
      <c r="E54" s="232">
        <f t="shared" si="5"/>
        <v>451201.8</v>
      </c>
      <c r="F54" s="322"/>
      <c r="G54" s="329">
        <f t="shared" ca="1" si="6"/>
        <v>-2121263.7272859458</v>
      </c>
      <c r="H54" s="224"/>
      <c r="I54" s="236" t="str">
        <f t="shared" ca="1" si="7"/>
        <v>Not OK</v>
      </c>
      <c r="J54" s="140"/>
      <c r="K54" s="138"/>
      <c r="L54" s="244"/>
      <c r="M54" s="244"/>
      <c r="N54" s="244"/>
      <c r="O54" s="244"/>
      <c r="P54" s="244"/>
      <c r="Q54" s="244"/>
      <c r="R54" s="244"/>
      <c r="S54" s="244"/>
      <c r="T54" s="244"/>
      <c r="U54" s="244"/>
      <c r="V54" s="244"/>
    </row>
    <row r="55" spans="1:22" x14ac:dyDescent="0.45">
      <c r="A55" s="138"/>
      <c r="B55" s="371">
        <v>17</v>
      </c>
      <c r="C55" s="233">
        <f t="shared" ca="1" si="4"/>
        <v>-1956866.8807600925</v>
      </c>
      <c r="D55" s="322"/>
      <c r="E55" s="232">
        <f t="shared" si="5"/>
        <v>460225.83</v>
      </c>
      <c r="F55" s="322"/>
      <c r="G55" s="329">
        <f t="shared" ca="1" si="6"/>
        <v>-2417092.7107600924</v>
      </c>
      <c r="H55" s="224"/>
      <c r="I55" s="236" t="str">
        <f t="shared" ca="1" si="7"/>
        <v>Not OK</v>
      </c>
      <c r="J55" s="140"/>
      <c r="K55" s="138"/>
      <c r="L55" s="244"/>
      <c r="M55" s="244"/>
      <c r="N55" s="244"/>
      <c r="O55" s="244"/>
      <c r="P55" s="244"/>
      <c r="Q55" s="244"/>
      <c r="R55" s="244"/>
      <c r="S55" s="244"/>
      <c r="T55" s="244"/>
      <c r="U55" s="244"/>
      <c r="V55" s="244"/>
    </row>
    <row r="56" spans="1:22" x14ac:dyDescent="0.45">
      <c r="A56" s="138"/>
      <c r="B56" s="371">
        <v>18</v>
      </c>
      <c r="C56" s="233">
        <f t="shared" ca="1" si="4"/>
        <v>-1910382.6323037217</v>
      </c>
      <c r="D56" s="322"/>
      <c r="E56" s="232">
        <f t="shared" si="5"/>
        <v>469430.35</v>
      </c>
      <c r="F56" s="322"/>
      <c r="G56" s="329">
        <f t="shared" ca="1" si="6"/>
        <v>-2379812.9823037218</v>
      </c>
      <c r="H56" s="224"/>
      <c r="I56" s="236" t="str">
        <f t="shared" ca="1" si="7"/>
        <v>Not OK</v>
      </c>
      <c r="J56" s="140"/>
      <c r="K56" s="138"/>
      <c r="L56" s="244"/>
      <c r="M56" s="244"/>
      <c r="N56" s="244"/>
      <c r="O56" s="244"/>
      <c r="P56" s="244"/>
      <c r="Q56" s="244"/>
      <c r="R56" s="244"/>
      <c r="S56" s="244"/>
      <c r="T56" s="244"/>
      <c r="U56" s="244"/>
      <c r="V56" s="244"/>
    </row>
    <row r="57" spans="1:22" x14ac:dyDescent="0.45">
      <c r="A57" s="138"/>
      <c r="B57" s="371">
        <v>19</v>
      </c>
      <c r="C57" s="233">
        <f t="shared" ca="1" si="4"/>
        <v>-1717781.0116782237</v>
      </c>
      <c r="D57" s="322"/>
      <c r="E57" s="232">
        <f t="shared" si="5"/>
        <v>478818.95</v>
      </c>
      <c r="F57" s="322"/>
      <c r="G57" s="329">
        <f t="shared" ca="1" si="6"/>
        <v>-2196599.9616782237</v>
      </c>
      <c r="H57" s="224"/>
      <c r="I57" s="236" t="str">
        <f t="shared" ca="1" si="7"/>
        <v>Not OK</v>
      </c>
      <c r="J57" s="140"/>
      <c r="K57" s="138"/>
      <c r="L57" s="244"/>
      <c r="M57" s="244"/>
      <c r="N57" s="244"/>
      <c r="O57" s="244"/>
      <c r="P57" s="244"/>
      <c r="Q57" s="244"/>
      <c r="R57" s="244"/>
      <c r="S57" s="244"/>
      <c r="T57" s="244"/>
      <c r="U57" s="244"/>
      <c r="V57" s="244"/>
    </row>
    <row r="58" spans="1:22" x14ac:dyDescent="0.45">
      <c r="A58" s="138"/>
      <c r="B58" s="371">
        <v>20</v>
      </c>
      <c r="C58" s="233">
        <f t="shared" ca="1" si="4"/>
        <v>-1502517.4942402157</v>
      </c>
      <c r="D58" s="322"/>
      <c r="E58" s="232">
        <f t="shared" si="5"/>
        <v>488395.33</v>
      </c>
      <c r="F58" s="322"/>
      <c r="G58" s="329">
        <f t="shared" ca="1" si="6"/>
        <v>-1990912.8242402158</v>
      </c>
      <c r="H58" s="224"/>
      <c r="I58" s="236" t="str">
        <f t="shared" ca="1" si="7"/>
        <v>Not OK</v>
      </c>
      <c r="J58" s="140"/>
      <c r="K58" s="138"/>
      <c r="L58" s="244"/>
      <c r="M58" s="244"/>
      <c r="N58" s="244"/>
      <c r="O58" s="244"/>
      <c r="P58" s="244"/>
      <c r="Q58" s="244"/>
      <c r="R58" s="244"/>
      <c r="S58" s="244"/>
      <c r="T58" s="244"/>
      <c r="U58" s="244"/>
      <c r="V58" s="244"/>
    </row>
    <row r="59" spans="1:22" ht="14.65" thickBot="1" x14ac:dyDescent="0.5">
      <c r="A59" s="138"/>
      <c r="B59" s="141"/>
      <c r="C59" s="323"/>
      <c r="D59" s="141"/>
      <c r="E59" s="141"/>
      <c r="F59" s="141"/>
      <c r="G59" s="323"/>
      <c r="H59" s="141"/>
      <c r="I59" s="141"/>
      <c r="J59" s="142"/>
      <c r="K59" s="138"/>
      <c r="L59" s="244"/>
      <c r="M59" s="244"/>
      <c r="N59" s="244"/>
      <c r="O59" s="244"/>
      <c r="P59" s="244"/>
      <c r="Q59" s="244"/>
      <c r="R59" s="244"/>
      <c r="S59" s="244"/>
      <c r="T59" s="244"/>
      <c r="U59" s="244"/>
      <c r="V59" s="244"/>
    </row>
    <row r="60" spans="1:22" x14ac:dyDescent="0.45">
      <c r="A60" s="138"/>
      <c r="B60" s="138"/>
      <c r="C60" s="138"/>
      <c r="D60" s="138"/>
      <c r="E60" s="138"/>
      <c r="F60" s="138"/>
      <c r="G60" s="138"/>
      <c r="H60" s="138"/>
      <c r="I60" s="138"/>
      <c r="J60" s="138"/>
      <c r="K60" s="244"/>
      <c r="L60" s="244"/>
      <c r="M60" s="244"/>
      <c r="N60" s="244"/>
      <c r="O60" s="244"/>
      <c r="P60" s="244"/>
      <c r="Q60" s="244"/>
      <c r="R60" s="244"/>
      <c r="S60" s="244"/>
      <c r="T60" s="244"/>
      <c r="U60" s="244"/>
      <c r="V60" s="244"/>
    </row>
    <row r="61" spans="1:22" ht="14.65" thickBot="1" x14ac:dyDescent="0.5">
      <c r="A61" s="138"/>
      <c r="B61" s="139"/>
      <c r="C61" s="224"/>
      <c r="D61" s="139"/>
      <c r="E61" s="139"/>
      <c r="F61" s="139"/>
      <c r="G61" s="224"/>
      <c r="H61" s="139"/>
      <c r="I61" s="372"/>
      <c r="J61" s="140"/>
      <c r="K61" s="244"/>
      <c r="L61" s="244"/>
      <c r="M61" s="244"/>
      <c r="N61" s="244"/>
      <c r="O61" s="244"/>
      <c r="P61" s="244"/>
      <c r="Q61" s="244"/>
      <c r="R61" s="244"/>
      <c r="S61" s="244"/>
      <c r="T61" s="244"/>
      <c r="U61" s="244"/>
      <c r="V61" s="244"/>
    </row>
    <row r="62" spans="1:22" x14ac:dyDescent="0.45">
      <c r="A62" s="138"/>
      <c r="B62" s="139"/>
      <c r="C62" s="1108" t="s">
        <v>93</v>
      </c>
      <c r="D62" s="1109"/>
      <c r="E62" s="1109"/>
      <c r="F62" s="1109"/>
      <c r="G62" s="1110"/>
      <c r="H62" s="139"/>
      <c r="I62" s="151" t="s">
        <v>430</v>
      </c>
      <c r="J62" s="140"/>
      <c r="K62" s="244"/>
      <c r="L62" s="244"/>
      <c r="M62" s="244"/>
      <c r="N62" s="244"/>
      <c r="O62" s="244"/>
      <c r="P62" s="244"/>
      <c r="Q62" s="244"/>
      <c r="R62" s="244"/>
      <c r="S62" s="244"/>
      <c r="T62" s="244"/>
      <c r="U62" s="244"/>
      <c r="V62" s="244"/>
    </row>
    <row r="63" spans="1:22" ht="16.149999999999999" thickBot="1" x14ac:dyDescent="0.5">
      <c r="A63" s="138"/>
      <c r="B63" s="139"/>
      <c r="C63" s="139"/>
      <c r="D63" s="139"/>
      <c r="E63" s="139"/>
      <c r="F63" s="139"/>
      <c r="G63" s="139"/>
      <c r="H63" s="139"/>
      <c r="I63" s="144">
        <f ca="1">+COUNTIF(I65:I74,"Not OK")</f>
        <v>0</v>
      </c>
      <c r="J63" s="140"/>
      <c r="K63" s="244"/>
      <c r="L63" s="244"/>
      <c r="M63" s="244"/>
      <c r="N63" s="244"/>
      <c r="O63" s="244"/>
      <c r="P63" s="244"/>
      <c r="Q63" s="244"/>
      <c r="R63" s="244"/>
      <c r="S63" s="244"/>
      <c r="T63" s="244"/>
      <c r="U63" s="244"/>
      <c r="V63" s="244"/>
    </row>
    <row r="64" spans="1:22" ht="52.5" x14ac:dyDescent="0.45">
      <c r="A64" s="138"/>
      <c r="B64" s="200" t="s">
        <v>73</v>
      </c>
      <c r="C64" s="200" t="s">
        <v>94</v>
      </c>
      <c r="D64" s="219"/>
      <c r="E64" s="200" t="s">
        <v>472</v>
      </c>
      <c r="F64" s="219"/>
      <c r="G64" s="200" t="s">
        <v>462</v>
      </c>
      <c r="H64" s="219"/>
      <c r="I64" s="375" t="s">
        <v>95</v>
      </c>
      <c r="J64" s="140"/>
      <c r="K64" s="244"/>
      <c r="L64" s="244"/>
      <c r="M64" s="244"/>
      <c r="N64" s="244"/>
      <c r="O64" s="244"/>
      <c r="P64" s="244"/>
      <c r="Q64" s="244"/>
      <c r="R64" s="244"/>
      <c r="S64" s="244"/>
      <c r="T64" s="244"/>
      <c r="U64" s="244"/>
      <c r="V64" s="244"/>
    </row>
    <row r="65" spans="1:22" x14ac:dyDescent="0.45">
      <c r="A65" s="138"/>
      <c r="B65" s="371">
        <f>+'eTool Data Analysis'!B38</f>
        <v>11</v>
      </c>
      <c r="C65" s="330">
        <f ca="1">+'eTool Data Engine'!P48</f>
        <v>-519370.64092129061</v>
      </c>
      <c r="D65" s="322"/>
      <c r="E65" s="240">
        <f>+'eTool Data Analysis'!E38</f>
        <v>2263590.8944985745</v>
      </c>
      <c r="F65" s="322"/>
      <c r="G65" s="363">
        <f t="shared" ref="G65:G74" ca="1" si="8">+C65+E65</f>
        <v>1744220.253577284</v>
      </c>
      <c r="H65" s="224"/>
      <c r="I65" s="236" t="str">
        <f t="shared" ref="I65:I74" ca="1" si="9">+IF(G65&gt;=0,"OK","Not OK")</f>
        <v>OK</v>
      </c>
      <c r="J65" s="140"/>
      <c r="K65" s="244"/>
      <c r="L65" s="244"/>
      <c r="M65" s="244"/>
      <c r="N65" s="244"/>
      <c r="O65" s="244"/>
      <c r="P65" s="244"/>
      <c r="Q65" s="244"/>
      <c r="R65" s="244"/>
      <c r="S65" s="244"/>
      <c r="T65" s="244"/>
      <c r="U65" s="244"/>
      <c r="V65" s="244"/>
    </row>
    <row r="66" spans="1:22" x14ac:dyDescent="0.45">
      <c r="A66" s="138"/>
      <c r="B66" s="371">
        <f>+'eTool Data Analysis'!B39</f>
        <v>12</v>
      </c>
      <c r="C66" s="330">
        <f ca="1">+'eTool Data Engine'!Q48</f>
        <v>-1027823.9822681441</v>
      </c>
      <c r="D66" s="322"/>
      <c r="E66" s="240">
        <f>+'eTool Data Analysis'!E39</f>
        <v>2501893.1596763274</v>
      </c>
      <c r="F66" s="322"/>
      <c r="G66" s="363">
        <f t="shared" ca="1" si="8"/>
        <v>1474069.1774081832</v>
      </c>
      <c r="H66" s="224"/>
      <c r="I66" s="236" t="str">
        <f t="shared" ca="1" si="9"/>
        <v>OK</v>
      </c>
      <c r="J66" s="140"/>
      <c r="K66" s="244"/>
      <c r="L66" s="244"/>
      <c r="M66" s="244"/>
      <c r="N66" s="244"/>
      <c r="O66" s="244"/>
      <c r="P66" s="244"/>
      <c r="Q66" s="244"/>
      <c r="R66" s="244"/>
      <c r="S66" s="244"/>
      <c r="T66" s="244"/>
      <c r="U66" s="244"/>
      <c r="V66" s="244"/>
    </row>
    <row r="67" spans="1:22" x14ac:dyDescent="0.45">
      <c r="A67" s="138"/>
      <c r="B67" s="371">
        <f>+'eTool Data Analysis'!B40</f>
        <v>13</v>
      </c>
      <c r="C67" s="330">
        <f ca="1">+'eTool Data Engine'!R48</f>
        <v>-1442733.4906419346</v>
      </c>
      <c r="D67" s="322"/>
      <c r="E67" s="240">
        <f>+'eTool Data Analysis'!E40</f>
        <v>2746221.7214360489</v>
      </c>
      <c r="F67" s="322"/>
      <c r="G67" s="363">
        <f t="shared" ca="1" si="8"/>
        <v>1303488.2307941143</v>
      </c>
      <c r="H67" s="224"/>
      <c r="I67" s="236" t="str">
        <f t="shared" ca="1" si="9"/>
        <v>OK</v>
      </c>
      <c r="J67" s="140"/>
      <c r="K67" s="244"/>
      <c r="L67" s="244"/>
      <c r="M67" s="244"/>
      <c r="N67" s="244"/>
      <c r="O67" s="244"/>
      <c r="P67" s="244"/>
      <c r="Q67" s="244"/>
      <c r="R67" s="244"/>
      <c r="S67" s="244"/>
      <c r="T67" s="244"/>
      <c r="U67" s="244"/>
      <c r="V67" s="244"/>
    </row>
    <row r="68" spans="1:22" x14ac:dyDescent="0.45">
      <c r="A68" s="138"/>
      <c r="B68" s="371">
        <f>+'eTool Data Analysis'!B41</f>
        <v>14</v>
      </c>
      <c r="C68" s="330">
        <f ca="1">+'eTool Data Engine'!S48</f>
        <v>-1399760.5799832009</v>
      </c>
      <c r="D68" s="322"/>
      <c r="E68" s="240">
        <f>+'eTool Data Analysis'!E41</f>
        <v>2996728.9755196162</v>
      </c>
      <c r="F68" s="322"/>
      <c r="G68" s="363">
        <f t="shared" ca="1" si="8"/>
        <v>1596968.3955364153</v>
      </c>
      <c r="H68" s="224"/>
      <c r="I68" s="236" t="str">
        <f t="shared" ca="1" si="9"/>
        <v>OK</v>
      </c>
      <c r="J68" s="140"/>
      <c r="K68" s="244"/>
      <c r="L68" s="244"/>
      <c r="M68" s="244"/>
      <c r="N68" s="244"/>
      <c r="O68" s="244"/>
      <c r="P68" s="244"/>
      <c r="Q68" s="244"/>
      <c r="R68" s="244"/>
      <c r="S68" s="244"/>
      <c r="T68" s="244"/>
      <c r="U68" s="244"/>
      <c r="V68" s="244"/>
    </row>
    <row r="69" spans="1:22" x14ac:dyDescent="0.45">
      <c r="A69" s="138"/>
      <c r="B69" s="371">
        <f>+'eTool Data Analysis'!B42</f>
        <v>15</v>
      </c>
      <c r="C69" s="330">
        <f ca="1">+'eTool Data Engine'!T48</f>
        <v>-1783566.8823112925</v>
      </c>
      <c r="D69" s="322"/>
      <c r="E69" s="240">
        <f>+'eTool Data Analysis'!E42</f>
        <v>3253571.1715220837</v>
      </c>
      <c r="F69" s="322"/>
      <c r="G69" s="363">
        <f t="shared" ca="1" si="8"/>
        <v>1470004.2892107912</v>
      </c>
      <c r="H69" s="224"/>
      <c r="I69" s="236" t="str">
        <f t="shared" ca="1" si="9"/>
        <v>OK</v>
      </c>
      <c r="J69" s="140"/>
      <c r="K69" s="244"/>
      <c r="L69" s="244"/>
      <c r="M69" s="244"/>
      <c r="N69" s="244"/>
      <c r="O69" s="244"/>
      <c r="P69" s="244"/>
      <c r="Q69" s="244"/>
      <c r="R69" s="244"/>
      <c r="S69" s="244"/>
      <c r="T69" s="244"/>
      <c r="U69" s="244"/>
      <c r="V69" s="244"/>
    </row>
    <row r="70" spans="1:22" x14ac:dyDescent="0.45">
      <c r="A70" s="138"/>
      <c r="B70" s="371">
        <f>+'eTool Data Analysis'!B43</f>
        <v>16</v>
      </c>
      <c r="C70" s="330">
        <f ca="1">+'eTool Data Engine'!U48</f>
        <v>-2121263.7272859458</v>
      </c>
      <c r="D70" s="322"/>
      <c r="E70" s="240">
        <f>+'eTool Data Analysis'!E43</f>
        <v>3516908.510349649</v>
      </c>
      <c r="F70" s="322"/>
      <c r="G70" s="363">
        <f t="shared" ca="1" si="8"/>
        <v>1395644.7830637032</v>
      </c>
      <c r="H70" s="224"/>
      <c r="I70" s="236" t="str">
        <f t="shared" ca="1" si="9"/>
        <v>OK</v>
      </c>
      <c r="J70" s="140"/>
      <c r="K70" s="244"/>
      <c r="L70" s="244"/>
      <c r="M70" s="244"/>
      <c r="N70" s="244"/>
      <c r="O70" s="244"/>
      <c r="P70" s="244"/>
      <c r="Q70" s="244"/>
      <c r="R70" s="244"/>
      <c r="S70" s="244"/>
      <c r="T70" s="244"/>
      <c r="U70" s="244"/>
      <c r="V70" s="244"/>
    </row>
    <row r="71" spans="1:22" ht="15" customHeight="1" x14ac:dyDescent="0.45">
      <c r="A71" s="138"/>
      <c r="B71" s="371">
        <f>+'eTool Data Analysis'!B44</f>
        <v>17</v>
      </c>
      <c r="C71" s="330">
        <f ca="1">+'eTool Data Engine'!V48</f>
        <v>-2417092.7107600924</v>
      </c>
      <c r="D71" s="322"/>
      <c r="E71" s="240">
        <f>+'eTool Data Analysis'!E44</f>
        <v>3786905.244142253</v>
      </c>
      <c r="F71" s="322"/>
      <c r="G71" s="363">
        <f t="shared" ca="1" si="8"/>
        <v>1369812.5333821606</v>
      </c>
      <c r="H71" s="224"/>
      <c r="I71" s="236" t="str">
        <f t="shared" ca="1" si="9"/>
        <v>OK</v>
      </c>
      <c r="J71" s="140"/>
      <c r="K71" s="244"/>
      <c r="L71" s="244"/>
      <c r="M71" s="244"/>
      <c r="N71" s="244"/>
      <c r="O71" s="244"/>
      <c r="P71" s="244"/>
      <c r="Q71" s="244"/>
      <c r="R71" s="244"/>
      <c r="S71" s="244"/>
      <c r="T71" s="244"/>
      <c r="U71" s="244"/>
      <c r="V71" s="244"/>
    </row>
    <row r="72" spans="1:22" x14ac:dyDescent="0.45">
      <c r="A72" s="138"/>
      <c r="B72" s="371">
        <f>+'eTool Data Analysis'!B45</f>
        <v>18</v>
      </c>
      <c r="C72" s="330">
        <f ca="1">+'eTool Data Engine'!W48</f>
        <v>-2379812.9823037218</v>
      </c>
      <c r="D72" s="322"/>
      <c r="E72" s="240">
        <f>+'eTool Data Analysis'!E45</f>
        <v>4063729.7787229968</v>
      </c>
      <c r="F72" s="322"/>
      <c r="G72" s="363">
        <f t="shared" ca="1" si="8"/>
        <v>1683916.796419275</v>
      </c>
      <c r="H72" s="224"/>
      <c r="I72" s="236" t="str">
        <f t="shared" ca="1" si="9"/>
        <v>OK</v>
      </c>
      <c r="J72" s="140"/>
      <c r="K72" s="244"/>
      <c r="L72" s="244"/>
      <c r="M72" s="244"/>
      <c r="N72" s="244"/>
      <c r="O72" s="244"/>
      <c r="P72" s="244"/>
      <c r="Q72" s="244"/>
      <c r="R72" s="244"/>
      <c r="S72" s="244"/>
      <c r="T72" s="244"/>
      <c r="U72" s="244"/>
      <c r="V72" s="244"/>
    </row>
    <row r="73" spans="1:22" x14ac:dyDescent="0.45">
      <c r="A73" s="138"/>
      <c r="B73" s="371">
        <f>+'eTool Data Analysis'!B46</f>
        <v>19</v>
      </c>
      <c r="C73" s="330">
        <f ca="1">+'eTool Data Engine'!X48</f>
        <v>-2196599.9616782237</v>
      </c>
      <c r="D73" s="322"/>
      <c r="E73" s="240">
        <f>+'eTool Data Analysis'!E46</f>
        <v>4347554.7786384076</v>
      </c>
      <c r="F73" s="322"/>
      <c r="G73" s="363">
        <f t="shared" ca="1" si="8"/>
        <v>2150954.8169601839</v>
      </c>
      <c r="H73" s="224"/>
      <c r="I73" s="236" t="str">
        <f t="shared" ca="1" si="9"/>
        <v>OK</v>
      </c>
      <c r="J73" s="140"/>
      <c r="K73" s="244"/>
      <c r="L73" s="244"/>
      <c r="M73" s="244"/>
      <c r="N73" s="244"/>
      <c r="O73" s="244"/>
      <c r="P73" s="244"/>
      <c r="Q73" s="244"/>
      <c r="R73" s="244"/>
      <c r="S73" s="244"/>
      <c r="T73" s="244"/>
      <c r="U73" s="244"/>
      <c r="V73" s="244"/>
    </row>
    <row r="74" spans="1:22" x14ac:dyDescent="0.45">
      <c r="A74" s="138"/>
      <c r="B74" s="371">
        <f>+'eTool Data Analysis'!B47</f>
        <v>20</v>
      </c>
      <c r="C74" s="330">
        <f ca="1">+'eTool Data Engine'!Y48</f>
        <v>-1990912.8242402158</v>
      </c>
      <c r="D74" s="322"/>
      <c r="E74" s="240">
        <f>+'eTool Data Analysis'!E47</f>
        <v>4638557.2748549618</v>
      </c>
      <c r="F74" s="322"/>
      <c r="G74" s="363">
        <f t="shared" ca="1" si="8"/>
        <v>2647644.4506147457</v>
      </c>
      <c r="H74" s="224"/>
      <c r="I74" s="236" t="str">
        <f t="shared" ca="1" si="9"/>
        <v>OK</v>
      </c>
      <c r="J74" s="140"/>
      <c r="K74" s="244"/>
      <c r="L74" s="244"/>
      <c r="M74" s="244"/>
      <c r="N74" s="244"/>
      <c r="O74" s="244"/>
      <c r="P74" s="244"/>
      <c r="Q74" s="244"/>
      <c r="R74" s="244"/>
      <c r="S74" s="244"/>
      <c r="T74" s="244"/>
      <c r="U74" s="244"/>
      <c r="V74" s="244"/>
    </row>
    <row r="75" spans="1:22" x14ac:dyDescent="0.45">
      <c r="A75" s="138"/>
      <c r="B75" s="139"/>
      <c r="C75" s="139"/>
      <c r="D75" s="139"/>
      <c r="E75" s="241"/>
      <c r="F75" s="139"/>
      <c r="G75" s="139"/>
      <c r="H75" s="139"/>
      <c r="I75" s="139"/>
      <c r="J75" s="140"/>
      <c r="K75" s="244"/>
      <c r="L75" s="244"/>
      <c r="M75" s="244"/>
      <c r="N75" s="244"/>
      <c r="O75" s="244"/>
      <c r="P75" s="244"/>
      <c r="Q75" s="244"/>
      <c r="R75" s="244"/>
      <c r="S75" s="244"/>
      <c r="T75" s="244"/>
      <c r="U75" s="244"/>
      <c r="V75" s="244"/>
    </row>
    <row r="76" spans="1:22" ht="50.2" customHeight="1" thickBot="1" x14ac:dyDescent="0.5">
      <c r="A76" s="138"/>
      <c r="B76" s="141"/>
      <c r="C76" s="141"/>
      <c r="D76" s="141"/>
      <c r="E76" s="141"/>
      <c r="F76" s="141"/>
      <c r="G76" s="141"/>
      <c r="H76" s="141"/>
      <c r="I76" s="141"/>
      <c r="J76" s="142"/>
      <c r="K76" s="244"/>
      <c r="L76" s="244"/>
      <c r="M76" s="244"/>
      <c r="N76" s="244"/>
      <c r="O76" s="244"/>
      <c r="P76" s="244"/>
      <c r="Q76" s="244"/>
      <c r="R76" s="244"/>
      <c r="S76" s="244"/>
      <c r="T76" s="244"/>
      <c r="U76" s="244"/>
      <c r="V76" s="244"/>
    </row>
    <row r="77" spans="1:22" ht="17.25" customHeight="1" x14ac:dyDescent="0.45">
      <c r="A77" s="138"/>
      <c r="B77" s="319"/>
      <c r="C77" s="320"/>
      <c r="D77" s="320"/>
      <c r="E77" s="320"/>
      <c r="F77" s="320"/>
      <c r="G77" s="320"/>
      <c r="H77" s="320"/>
      <c r="I77" s="320"/>
      <c r="J77" s="319"/>
      <c r="K77" s="138"/>
      <c r="L77" s="138"/>
      <c r="M77" s="138"/>
      <c r="N77" s="138"/>
      <c r="O77" s="244"/>
      <c r="P77" s="244"/>
      <c r="Q77" s="244"/>
      <c r="R77" s="244"/>
      <c r="S77" s="244"/>
      <c r="T77" s="244"/>
      <c r="U77" s="244"/>
      <c r="V77" s="244"/>
    </row>
    <row r="78" spans="1:22" x14ac:dyDescent="0.45">
      <c r="A78" s="138"/>
      <c r="B78" s="139"/>
      <c r="C78" s="139"/>
      <c r="D78" s="139"/>
      <c r="E78" s="139"/>
      <c r="F78" s="139"/>
      <c r="G78" s="139"/>
      <c r="H78" s="139"/>
      <c r="I78" s="139"/>
      <c r="J78" s="139"/>
      <c r="K78" s="139"/>
      <c r="L78" s="139"/>
      <c r="M78" s="139"/>
      <c r="N78" s="140"/>
      <c r="O78" s="244"/>
      <c r="P78" s="244"/>
      <c r="Q78" s="244"/>
      <c r="R78" s="244"/>
      <c r="S78" s="244"/>
      <c r="T78" s="244"/>
      <c r="U78" s="244"/>
      <c r="V78" s="244"/>
    </row>
    <row r="79" spans="1:22" x14ac:dyDescent="0.45">
      <c r="A79" s="138"/>
      <c r="B79" s="139"/>
      <c r="C79" s="1108" t="s">
        <v>96</v>
      </c>
      <c r="D79" s="1109"/>
      <c r="E79" s="1109"/>
      <c r="F79" s="1109"/>
      <c r="G79" s="1109"/>
      <c r="H79" s="1109"/>
      <c r="I79" s="1109"/>
      <c r="J79" s="1109"/>
      <c r="K79" s="1109"/>
      <c r="L79" s="1109"/>
      <c r="M79" s="1110"/>
      <c r="N79" s="140"/>
      <c r="O79" s="138"/>
      <c r="P79" s="244"/>
      <c r="Q79" s="244"/>
      <c r="R79" s="244"/>
      <c r="S79" s="244"/>
      <c r="T79" s="244"/>
      <c r="U79" s="244"/>
      <c r="V79" s="244"/>
    </row>
    <row r="80" spans="1:22" ht="16.05" customHeight="1" x14ac:dyDescent="0.45">
      <c r="A80" s="138"/>
      <c r="B80" s="139"/>
      <c r="C80" s="139"/>
      <c r="D80" s="139"/>
      <c r="E80" s="139"/>
      <c r="F80" s="139"/>
      <c r="G80" s="139"/>
      <c r="H80" s="139"/>
      <c r="I80" s="139"/>
      <c r="J80" s="139"/>
      <c r="K80" s="139"/>
      <c r="L80" s="139"/>
      <c r="M80" s="139"/>
      <c r="N80" s="140"/>
      <c r="O80" s="138"/>
      <c r="P80" s="244"/>
      <c r="Q80" s="244"/>
      <c r="R80" s="244"/>
      <c r="S80" s="244"/>
      <c r="T80" s="244"/>
      <c r="U80" s="244"/>
      <c r="V80" s="244"/>
    </row>
    <row r="81" spans="1:22" ht="26.25" x14ac:dyDescent="0.45">
      <c r="A81" s="138"/>
      <c r="B81" s="224"/>
      <c r="C81" s="364" t="s">
        <v>78</v>
      </c>
      <c r="D81" s="224"/>
      <c r="E81" s="364" t="s">
        <v>78</v>
      </c>
      <c r="F81" s="224"/>
      <c r="G81" s="364" t="s">
        <v>78</v>
      </c>
      <c r="H81" s="224"/>
      <c r="I81" s="360"/>
      <c r="J81" s="224"/>
      <c r="K81" s="364" t="s">
        <v>97</v>
      </c>
      <c r="L81" s="224"/>
      <c r="M81" s="364" t="s">
        <v>98</v>
      </c>
      <c r="N81" s="140"/>
      <c r="O81" s="138"/>
      <c r="P81" s="244"/>
      <c r="Q81" s="244"/>
      <c r="R81" s="244"/>
      <c r="S81" s="244"/>
      <c r="T81" s="244"/>
      <c r="U81" s="244"/>
      <c r="V81" s="244"/>
    </row>
    <row r="82" spans="1:22" ht="26.25" x14ac:dyDescent="0.45">
      <c r="A82" s="138"/>
      <c r="B82" s="200" t="str">
        <f>+B32</f>
        <v>Relative Year</v>
      </c>
      <c r="C82" s="200" t="s">
        <v>79</v>
      </c>
      <c r="D82" s="219"/>
      <c r="E82" s="200" t="s">
        <v>80</v>
      </c>
      <c r="F82" s="219"/>
      <c r="G82" s="200" t="s">
        <v>99</v>
      </c>
      <c r="H82" s="282"/>
      <c r="I82" s="376" t="s">
        <v>100</v>
      </c>
      <c r="J82" s="282"/>
      <c r="K82" s="200" t="s">
        <v>101</v>
      </c>
      <c r="L82" s="219"/>
      <c r="M82" s="200" t="s">
        <v>102</v>
      </c>
      <c r="N82" s="140"/>
      <c r="O82" s="246"/>
      <c r="P82" s="244"/>
      <c r="Q82" s="244"/>
      <c r="R82" s="244"/>
      <c r="S82" s="244"/>
      <c r="T82" s="244"/>
      <c r="U82" s="244"/>
      <c r="V82" s="244"/>
    </row>
    <row r="83" spans="1:22" x14ac:dyDescent="0.45">
      <c r="A83" s="138"/>
      <c r="B83" s="371">
        <v>1</v>
      </c>
      <c r="C83" s="232">
        <f>-+'Trial Deposits Engine'!H78</f>
        <v>0</v>
      </c>
      <c r="D83" s="224"/>
      <c r="E83" s="232">
        <f>+'eTool Data Engine'!F18</f>
        <v>335249.58</v>
      </c>
      <c r="F83" s="224"/>
      <c r="G83" s="724">
        <f>+'eTool Data Engine'!F17</f>
        <v>725130.25</v>
      </c>
      <c r="H83" s="239"/>
      <c r="I83" s="329">
        <f t="shared" ref="I83:I102" si="10">+C83/$M$10</f>
        <v>0</v>
      </c>
      <c r="J83" s="224"/>
      <c r="K83" s="725">
        <f ca="1">+'eTool Data Engine'!F46</f>
        <v>725130.25</v>
      </c>
      <c r="L83" s="224"/>
      <c r="M83" s="233">
        <f t="shared" ref="M83:M102" ca="1" si="11">+K83-G83</f>
        <v>0</v>
      </c>
      <c r="N83" s="140"/>
      <c r="O83" s="246"/>
      <c r="P83" s="244"/>
      <c r="Q83" s="244"/>
      <c r="R83" s="244"/>
      <c r="S83" s="244"/>
      <c r="T83" s="244"/>
      <c r="U83" s="244"/>
      <c r="V83" s="244"/>
    </row>
    <row r="84" spans="1:22" x14ac:dyDescent="0.45">
      <c r="A84" s="138"/>
      <c r="B84" s="371">
        <v>2</v>
      </c>
      <c r="C84" s="232">
        <f>-+'Trial Deposits Engine'!I78</f>
        <v>0</v>
      </c>
      <c r="D84" s="224"/>
      <c r="E84" s="232">
        <f>+'eTool Data Engine'!G18</f>
        <v>341954.57</v>
      </c>
      <c r="F84" s="224"/>
      <c r="G84" s="724">
        <f>+'eTool Data Engine'!G17</f>
        <v>990988.27</v>
      </c>
      <c r="H84" s="239"/>
      <c r="I84" s="329">
        <f t="shared" si="10"/>
        <v>0</v>
      </c>
      <c r="J84" s="224"/>
      <c r="K84" s="725">
        <f ca="1">+'eTool Data Engine'!G46</f>
        <v>990988.27249999996</v>
      </c>
      <c r="L84" s="224"/>
      <c r="M84" s="723">
        <f t="shared" ca="1" si="11"/>
        <v>2.4999999441206455E-3</v>
      </c>
      <c r="N84" s="140"/>
      <c r="O84" s="246"/>
      <c r="P84" s="244"/>
      <c r="Q84" s="244"/>
      <c r="R84" s="244"/>
      <c r="S84" s="244"/>
      <c r="T84" s="244"/>
      <c r="U84" s="244"/>
      <c r="V84" s="244"/>
    </row>
    <row r="85" spans="1:22" x14ac:dyDescent="0.45">
      <c r="A85" s="138"/>
      <c r="B85" s="371">
        <v>3</v>
      </c>
      <c r="C85" s="232">
        <f>-+'Trial Deposits Engine'!J78</f>
        <v>345094.42</v>
      </c>
      <c r="D85" s="224"/>
      <c r="E85" s="232">
        <f>+'eTool Data Engine'!H18</f>
        <v>348793.66</v>
      </c>
      <c r="F85" s="224"/>
      <c r="G85" s="724">
        <f>+'eTool Data Engine'!H17</f>
        <v>924537.53</v>
      </c>
      <c r="H85" s="239"/>
      <c r="I85" s="329">
        <f t="shared" si="10"/>
        <v>756.7860087719298</v>
      </c>
      <c r="J85" s="224"/>
      <c r="K85" s="725">
        <f ca="1">+'eTool Data Engine'!H46</f>
        <v>924537.53098749998</v>
      </c>
      <c r="L85" s="224"/>
      <c r="M85" s="723">
        <f t="shared" ca="1" si="11"/>
        <v>9.8749995231628418E-4</v>
      </c>
      <c r="N85" s="140"/>
      <c r="O85" s="246"/>
      <c r="P85" s="244"/>
      <c r="Q85" s="244"/>
      <c r="R85" s="244"/>
      <c r="S85" s="244"/>
      <c r="T85" s="244"/>
      <c r="U85" s="244"/>
      <c r="V85" s="244"/>
    </row>
    <row r="86" spans="1:22" x14ac:dyDescent="0.45">
      <c r="A86" s="138"/>
      <c r="B86" s="371">
        <v>4</v>
      </c>
      <c r="C86" s="232">
        <f>-+'Trial Deposits Engine'!K78</f>
        <v>287848.42</v>
      </c>
      <c r="D86" s="224"/>
      <c r="E86" s="232">
        <f>+'eTool Data Engine'!I18</f>
        <v>355769.54</v>
      </c>
      <c r="F86" s="224"/>
      <c r="G86" s="724">
        <f>+'eTool Data Engine'!I17</f>
        <v>919611.61</v>
      </c>
      <c r="H86" s="239"/>
      <c r="I86" s="329">
        <f t="shared" si="10"/>
        <v>631.24653508771928</v>
      </c>
      <c r="J86" s="224"/>
      <c r="K86" s="725">
        <f ca="1">+'eTool Data Engine'!I46</f>
        <v>919611.60544031253</v>
      </c>
      <c r="L86" s="224"/>
      <c r="M86" s="723">
        <f t="shared" ca="1" si="11"/>
        <v>-4.5596874551847577E-3</v>
      </c>
      <c r="N86" s="140"/>
      <c r="O86" s="246"/>
      <c r="P86" s="244"/>
      <c r="Q86" s="244"/>
      <c r="R86" s="244"/>
      <c r="S86" s="244"/>
      <c r="T86" s="244"/>
      <c r="U86" s="244"/>
      <c r="V86" s="244"/>
    </row>
    <row r="87" spans="1:22" ht="15" customHeight="1" x14ac:dyDescent="0.45">
      <c r="A87" s="138"/>
      <c r="B87" s="371">
        <v>5</v>
      </c>
      <c r="C87" s="232">
        <f>-+'Trial Deposits Engine'!L78</f>
        <v>514096.82</v>
      </c>
      <c r="D87" s="224"/>
      <c r="E87" s="232">
        <f>+'eTool Data Engine'!J18</f>
        <v>362884.93</v>
      </c>
      <c r="F87" s="224"/>
      <c r="G87" s="724">
        <f>+'eTool Data Engine'!J17</f>
        <v>693744.48</v>
      </c>
      <c r="H87" s="239"/>
      <c r="I87" s="329">
        <f t="shared" si="10"/>
        <v>1127.4053070175439</v>
      </c>
      <c r="J87" s="224"/>
      <c r="K87" s="725">
        <f ca="1">+'eTool Data Engine'!J46</f>
        <v>693744.4796396771</v>
      </c>
      <c r="L87" s="224"/>
      <c r="M87" s="723">
        <f t="shared" ca="1" si="11"/>
        <v>-3.6032288335263729E-4</v>
      </c>
      <c r="N87" s="140"/>
      <c r="O87" s="246"/>
      <c r="P87" s="244"/>
      <c r="Q87" s="244"/>
      <c r="R87" s="244"/>
      <c r="S87" s="244"/>
      <c r="T87" s="244"/>
      <c r="U87" s="244"/>
      <c r="V87" s="244"/>
    </row>
    <row r="88" spans="1:22" x14ac:dyDescent="0.45">
      <c r="A88" s="138"/>
      <c r="B88" s="371">
        <v>6</v>
      </c>
      <c r="C88" s="232">
        <f>-+'Trial Deposits Engine'!M78</f>
        <v>473399.52</v>
      </c>
      <c r="D88" s="224"/>
      <c r="E88" s="232">
        <f>+'eTool Data Engine'!K18</f>
        <v>370142.63</v>
      </c>
      <c r="F88" s="224"/>
      <c r="G88" s="724">
        <f>+'eTool Data Engine'!K17</f>
        <v>510675.36</v>
      </c>
      <c r="H88" s="239"/>
      <c r="I88" s="329">
        <f t="shared" si="10"/>
        <v>1038.1568421052632</v>
      </c>
      <c r="J88" s="224"/>
      <c r="K88" s="725">
        <f ca="1">+'eTool Data Engine'!K46</f>
        <v>510675.35735438741</v>
      </c>
      <c r="L88" s="224"/>
      <c r="M88" s="723">
        <f t="shared" ca="1" si="11"/>
        <v>-2.6456125779077411E-3</v>
      </c>
      <c r="N88" s="140"/>
      <c r="O88" s="246"/>
      <c r="P88" s="244"/>
      <c r="Q88" s="244"/>
      <c r="R88" s="244"/>
      <c r="S88" s="244"/>
      <c r="T88" s="244"/>
      <c r="U88" s="244"/>
      <c r="V88" s="244"/>
    </row>
    <row r="89" spans="1:22" x14ac:dyDescent="0.45">
      <c r="A89" s="138"/>
      <c r="B89" s="371">
        <v>7</v>
      </c>
      <c r="C89" s="232">
        <f>+-'Trial Deposits Engine'!N78</f>
        <v>425964.13</v>
      </c>
      <c r="D89" s="224"/>
      <c r="E89" s="232">
        <f>+'eTool Data Engine'!L18</f>
        <v>377545.48</v>
      </c>
      <c r="F89" s="224"/>
      <c r="G89" s="724">
        <f>+'eTool Data Engine'!L17</f>
        <v>377894.07</v>
      </c>
      <c r="H89" s="239"/>
      <c r="I89" s="329">
        <f t="shared" si="10"/>
        <v>934.13186403508769</v>
      </c>
      <c r="J89" s="224"/>
      <c r="K89" s="725">
        <f ca="1">+'eTool Data Engine'!L46</f>
        <v>377894.07284522068</v>
      </c>
      <c r="L89" s="224"/>
      <c r="M89" s="723">
        <f t="shared" ca="1" si="11"/>
        <v>2.845220675226301E-3</v>
      </c>
      <c r="N89" s="140"/>
      <c r="O89" s="246"/>
      <c r="P89" s="244"/>
      <c r="Q89" s="244"/>
      <c r="R89" s="244"/>
      <c r="S89" s="244"/>
      <c r="T89" s="244"/>
      <c r="U89" s="244"/>
      <c r="V89" s="244"/>
    </row>
    <row r="90" spans="1:22" ht="14.25" customHeight="1" x14ac:dyDescent="0.45">
      <c r="A90" s="138"/>
      <c r="B90" s="371">
        <v>8</v>
      </c>
      <c r="C90" s="232">
        <f>-+'Trial Deposits Engine'!O78</f>
        <v>273292.93</v>
      </c>
      <c r="D90" s="224"/>
      <c r="E90" s="232">
        <f>+'eTool Data Engine'!M18</f>
        <v>385096.39</v>
      </c>
      <c r="F90" s="224"/>
      <c r="G90" s="724">
        <f>+'eTool Data Engine'!M17</f>
        <v>401502.71999999997</v>
      </c>
      <c r="H90" s="239"/>
      <c r="I90" s="329">
        <f t="shared" si="10"/>
        <v>599.32660087719296</v>
      </c>
      <c r="J90" s="224"/>
      <c r="K90" s="725">
        <f ca="1">+'eTool Data Engine'!M46</f>
        <v>401502.72337102686</v>
      </c>
      <c r="L90" s="224"/>
      <c r="M90" s="723">
        <f t="shared" ca="1" si="11"/>
        <v>3.3710268908180296E-3</v>
      </c>
      <c r="N90" s="140"/>
      <c r="O90" s="246"/>
      <c r="P90" s="244"/>
      <c r="Q90" s="244"/>
      <c r="R90" s="244"/>
      <c r="S90" s="244"/>
      <c r="T90" s="244"/>
      <c r="U90" s="244"/>
      <c r="V90" s="244"/>
    </row>
    <row r="91" spans="1:22" x14ac:dyDescent="0.45">
      <c r="A91" s="138"/>
      <c r="B91" s="371">
        <v>9</v>
      </c>
      <c r="C91" s="232">
        <f>-+'Trial Deposits Engine'!P78</f>
        <v>223601.16</v>
      </c>
      <c r="D91" s="224"/>
      <c r="E91" s="232">
        <f>+'eTool Data Engine'!N18</f>
        <v>392798.32</v>
      </c>
      <c r="F91" s="224"/>
      <c r="G91" s="724">
        <f>+'eTool Data Engine'!N17</f>
        <v>480981.94</v>
      </c>
      <c r="H91" s="239"/>
      <c r="I91" s="329">
        <f t="shared" si="10"/>
        <v>490.35342105263157</v>
      </c>
      <c r="J91" s="224"/>
      <c r="K91" s="725">
        <f ca="1">+'eTool Data Engine'!N46</f>
        <v>480981.93704338267</v>
      </c>
      <c r="L91" s="224"/>
      <c r="M91" s="723">
        <f t="shared" ca="1" si="11"/>
        <v>-2.9566173325292766E-3</v>
      </c>
      <c r="N91" s="140"/>
      <c r="O91" s="246"/>
      <c r="P91" s="244"/>
      <c r="Q91" s="244"/>
      <c r="R91" s="244"/>
      <c r="S91" s="244"/>
      <c r="T91" s="244"/>
      <c r="U91" s="244"/>
      <c r="V91" s="244"/>
    </row>
    <row r="92" spans="1:22" x14ac:dyDescent="0.45">
      <c r="A92" s="138"/>
      <c r="B92" s="371">
        <v>10</v>
      </c>
      <c r="C92" s="232">
        <f>-+'Trial Deposits Engine'!Q78</f>
        <v>357422.04</v>
      </c>
      <c r="D92" s="224"/>
      <c r="E92" s="232">
        <f>+'eTool Data Engine'!O18</f>
        <v>400654.28</v>
      </c>
      <c r="F92" s="224"/>
      <c r="G92" s="724">
        <f>+'eTool Data Engine'!O17</f>
        <v>433773.62</v>
      </c>
      <c r="H92" s="239"/>
      <c r="I92" s="329">
        <f t="shared" si="10"/>
        <v>783.82026315789471</v>
      </c>
      <c r="J92" s="224"/>
      <c r="K92" s="725">
        <f ca="1">+'eTool Data Engine'!O46</f>
        <v>433773.61557725974</v>
      </c>
      <c r="L92" s="224"/>
      <c r="M92" s="723">
        <f t="shared" ca="1" si="11"/>
        <v>-4.422740254085511E-3</v>
      </c>
      <c r="N92" s="140"/>
      <c r="O92" s="246"/>
      <c r="P92" s="244"/>
      <c r="Q92" s="244"/>
      <c r="R92" s="244"/>
      <c r="S92" s="244"/>
      <c r="T92" s="244"/>
      <c r="U92" s="244"/>
      <c r="V92" s="244"/>
    </row>
    <row r="93" spans="1:22" x14ac:dyDescent="0.45">
      <c r="A93" s="138"/>
      <c r="B93" s="371">
        <v>11</v>
      </c>
      <c r="C93" s="232">
        <f>-+'Trial Deposits Engine'!R78</f>
        <v>860042.46</v>
      </c>
      <c r="D93" s="224"/>
      <c r="E93" s="232">
        <f>+'eTool Data Engine'!P18</f>
        <v>408667.37</v>
      </c>
      <c r="F93" s="224"/>
      <c r="G93" s="724">
        <f>+'eTool Data Engine'!P17</f>
        <v>-110703.27</v>
      </c>
      <c r="H93" s="239"/>
      <c r="I93" s="329">
        <f t="shared" si="10"/>
        <v>1886.0580263157894</v>
      </c>
      <c r="J93" s="224"/>
      <c r="K93" s="725">
        <f ca="1">+'eTool Data Engine'!P46</f>
        <v>-110703.27092129062</v>
      </c>
      <c r="L93" s="224"/>
      <c r="M93" s="723">
        <f t="shared" ca="1" si="11"/>
        <v>-9.2129061522427946E-4</v>
      </c>
      <c r="N93" s="140"/>
      <c r="O93" s="246"/>
      <c r="P93" s="138"/>
      <c r="Q93" s="244"/>
      <c r="R93" s="244"/>
      <c r="S93" s="244"/>
      <c r="T93" s="244"/>
      <c r="U93" s="244"/>
      <c r="V93" s="244"/>
    </row>
    <row r="94" spans="1:22" ht="15" customHeight="1" x14ac:dyDescent="0.45">
      <c r="A94" s="138"/>
      <c r="B94" s="371">
        <v>12</v>
      </c>
      <c r="C94" s="232">
        <f>-+'Trial Deposits Engine'!S78</f>
        <v>815520.15</v>
      </c>
      <c r="D94" s="224"/>
      <c r="E94" s="232">
        <f>+'eTool Data Engine'!Q18</f>
        <v>416840.71</v>
      </c>
      <c r="F94" s="224"/>
      <c r="G94" s="724">
        <f>+'eTool Data Engine'!Q17</f>
        <v>-610983.27</v>
      </c>
      <c r="H94" s="239"/>
      <c r="I94" s="329">
        <f t="shared" si="10"/>
        <v>1788.4213815789474</v>
      </c>
      <c r="J94" s="224"/>
      <c r="K94" s="725">
        <f ca="1">+'eTool Data Engine'!Q46</f>
        <v>-610983.27226814406</v>
      </c>
      <c r="L94" s="224"/>
      <c r="M94" s="723">
        <f t="shared" ca="1" si="11"/>
        <v>-2.2681440459564328E-3</v>
      </c>
      <c r="N94" s="140"/>
      <c r="O94" s="246"/>
      <c r="P94" s="454"/>
      <c r="Q94" s="244"/>
      <c r="R94" s="244"/>
      <c r="S94" s="244"/>
      <c r="T94" s="244"/>
      <c r="U94" s="244"/>
      <c r="V94" s="244"/>
    </row>
    <row r="95" spans="1:22" x14ac:dyDescent="0.45">
      <c r="A95" s="138"/>
      <c r="B95" s="371">
        <v>13</v>
      </c>
      <c r="C95" s="232">
        <f>-+'Trial Deposits Engine'!T78</f>
        <v>728117.64</v>
      </c>
      <c r="D95" s="224"/>
      <c r="E95" s="232">
        <f>+'eTool Data Engine'!R18</f>
        <v>425177.53</v>
      </c>
      <c r="F95" s="224"/>
      <c r="G95" s="724">
        <f>+'eTool Data Engine'!R17</f>
        <v>-1017555.96</v>
      </c>
      <c r="H95" s="239"/>
      <c r="I95" s="329">
        <f t="shared" si="10"/>
        <v>1596.7492105263159</v>
      </c>
      <c r="J95" s="224"/>
      <c r="K95" s="725">
        <f ca="1">+'eTool Data Engine'!R46</f>
        <v>-1017555.9606419345</v>
      </c>
      <c r="L95" s="224"/>
      <c r="M95" s="723">
        <f t="shared" ca="1" si="11"/>
        <v>-6.4193457365036011E-4</v>
      </c>
      <c r="N95" s="140"/>
      <c r="O95" s="246"/>
      <c r="P95" s="138"/>
      <c r="Q95" s="244"/>
      <c r="R95" s="244"/>
      <c r="S95" s="244"/>
      <c r="T95" s="244"/>
      <c r="U95" s="244"/>
      <c r="V95" s="244"/>
    </row>
    <row r="96" spans="1:22" x14ac:dyDescent="0.45">
      <c r="A96" s="138"/>
      <c r="B96" s="371">
        <v>14</v>
      </c>
      <c r="C96" s="232">
        <f>-+'Trial Deposits Engine'!U78</f>
        <v>276499.39</v>
      </c>
      <c r="D96" s="224"/>
      <c r="E96" s="232">
        <f>+'eTool Data Engine'!S18</f>
        <v>433681.08</v>
      </c>
      <c r="F96" s="224"/>
      <c r="G96" s="724">
        <f>+'eTool Data Engine'!S17</f>
        <v>-966079.5</v>
      </c>
      <c r="H96" s="239"/>
      <c r="I96" s="329">
        <f t="shared" si="10"/>
        <v>606.35831140350876</v>
      </c>
      <c r="J96" s="224"/>
      <c r="K96" s="725">
        <f ca="1">+'eTool Data Engine'!S46</f>
        <v>-966079.49998320092</v>
      </c>
      <c r="L96" s="224"/>
      <c r="M96" s="723">
        <f t="shared" ca="1" si="11"/>
        <v>1.6799080185592175E-5</v>
      </c>
      <c r="N96" s="140"/>
      <c r="O96" s="246"/>
      <c r="P96" s="138"/>
      <c r="Q96" s="244"/>
      <c r="R96" s="244"/>
      <c r="S96" s="244"/>
      <c r="T96" s="244"/>
      <c r="U96" s="244"/>
      <c r="V96" s="244"/>
    </row>
    <row r="97" spans="1:27" x14ac:dyDescent="0.45">
      <c r="A97" s="138"/>
      <c r="B97" s="371">
        <v>15</v>
      </c>
      <c r="C97" s="232">
        <f>-+'Trial Deposits Engine'!V78</f>
        <v>709668.05</v>
      </c>
      <c r="D97" s="224"/>
      <c r="E97" s="232">
        <f>+'eTool Data Engine'!T18</f>
        <v>442354.7</v>
      </c>
      <c r="F97" s="224"/>
      <c r="G97" s="724">
        <f>+'eTool Data Engine'!T17</f>
        <v>-1341212.18</v>
      </c>
      <c r="H97" s="239"/>
      <c r="I97" s="329">
        <f t="shared" si="10"/>
        <v>1556.2895833333334</v>
      </c>
      <c r="J97" s="224"/>
      <c r="K97" s="725">
        <f ca="1">+'eTool Data Engine'!T46</f>
        <v>-1341212.1823112925</v>
      </c>
      <c r="L97" s="224"/>
      <c r="M97" s="723">
        <f t="shared" ca="1" si="11"/>
        <v>-2.3112925700843334E-3</v>
      </c>
      <c r="N97" s="140"/>
      <c r="O97" s="246"/>
      <c r="P97" s="138"/>
      <c r="Q97" s="244"/>
      <c r="R97" s="244"/>
      <c r="S97" s="244"/>
      <c r="T97" s="244"/>
      <c r="U97" s="244"/>
      <c r="V97" s="244"/>
      <c r="W97" s="244"/>
      <c r="X97" s="244"/>
      <c r="Y97" s="244"/>
      <c r="Z97" s="244"/>
      <c r="AA97" s="244"/>
    </row>
    <row r="98" spans="1:27" x14ac:dyDescent="0.45">
      <c r="A98" s="138"/>
      <c r="B98" s="371">
        <v>16</v>
      </c>
      <c r="C98" s="232">
        <f>-+'Trial Deposits Engine'!W78</f>
        <v>670075.81999999995</v>
      </c>
      <c r="D98" s="224"/>
      <c r="E98" s="232">
        <f>+'eTool Data Engine'!U18</f>
        <v>451201.8</v>
      </c>
      <c r="F98" s="224"/>
      <c r="G98" s="724">
        <f>+'eTool Data Engine'!U17</f>
        <v>-1670061.93</v>
      </c>
      <c r="H98" s="239"/>
      <c r="I98" s="329">
        <f t="shared" si="10"/>
        <v>1469.4645175438595</v>
      </c>
      <c r="J98" s="224"/>
      <c r="K98" s="725">
        <f ca="1">+'eTool Data Engine'!U46</f>
        <v>-1670061.927285946</v>
      </c>
      <c r="L98" s="224"/>
      <c r="M98" s="723">
        <f t="shared" ca="1" si="11"/>
        <v>2.7140539605170488E-3</v>
      </c>
      <c r="N98" s="140"/>
      <c r="O98" s="246"/>
      <c r="P98" s="138"/>
      <c r="Q98" s="244"/>
      <c r="R98" s="244"/>
      <c r="S98" s="244"/>
      <c r="T98" s="244"/>
      <c r="U98" s="244"/>
      <c r="V98" s="244"/>
      <c r="W98" s="244"/>
      <c r="X98" s="244"/>
      <c r="Y98" s="244"/>
      <c r="Z98" s="244"/>
      <c r="AA98" s="244"/>
    </row>
    <row r="99" spans="1:27" x14ac:dyDescent="0.45">
      <c r="A99" s="138"/>
      <c r="B99" s="371">
        <v>17</v>
      </c>
      <c r="C99" s="232">
        <f>-+'Trial Deposits Engine'!X78</f>
        <v>634855.55000000005</v>
      </c>
      <c r="D99" s="224"/>
      <c r="E99" s="232">
        <f>+'eTool Data Engine'!V18</f>
        <v>460225.83</v>
      </c>
      <c r="F99" s="224"/>
      <c r="G99" s="724">
        <f>+'eTool Data Engine'!V17</f>
        <v>-1956866.88</v>
      </c>
      <c r="H99" s="239"/>
      <c r="I99" s="329">
        <f t="shared" si="10"/>
        <v>1392.2270833333334</v>
      </c>
      <c r="J99" s="224"/>
      <c r="K99" s="725">
        <f ca="1">+'eTool Data Engine'!V46</f>
        <v>-1956866.8807600925</v>
      </c>
      <c r="L99" s="224"/>
      <c r="M99" s="723">
        <f t="shared" ca="1" si="11"/>
        <v>-7.6009263284504414E-4</v>
      </c>
      <c r="N99" s="140"/>
      <c r="O99" s="246"/>
      <c r="P99" s="525"/>
      <c r="Q99" s="244"/>
      <c r="R99" s="244"/>
      <c r="S99" s="244"/>
      <c r="T99" s="244"/>
      <c r="U99" s="244"/>
      <c r="V99" s="244"/>
      <c r="W99" s="244"/>
      <c r="X99" s="244"/>
      <c r="Y99" s="244"/>
      <c r="Z99" s="244"/>
      <c r="AA99" s="244"/>
    </row>
    <row r="100" spans="1:27" x14ac:dyDescent="0.45">
      <c r="A100" s="138"/>
      <c r="B100" s="371">
        <v>18</v>
      </c>
      <c r="C100" s="232">
        <f>-+'Trial Deposits Engine'!Y78</f>
        <v>308527.35999999999</v>
      </c>
      <c r="D100" s="224"/>
      <c r="E100" s="232">
        <f>+'eTool Data Engine'!W18</f>
        <v>469430.35</v>
      </c>
      <c r="F100" s="224"/>
      <c r="G100" s="724">
        <f>+'eTool Data Engine'!W17</f>
        <v>-1910382.63</v>
      </c>
      <c r="H100" s="239"/>
      <c r="I100" s="329">
        <f t="shared" si="10"/>
        <v>676.59508771929825</v>
      </c>
      <c r="J100" s="224"/>
      <c r="K100" s="725">
        <f ca="1">+'eTool Data Engine'!W46</f>
        <v>-1910382.6323037217</v>
      </c>
      <c r="L100" s="224"/>
      <c r="M100" s="723">
        <f t="shared" ca="1" si="11"/>
        <v>-2.3037218488752842E-3</v>
      </c>
      <c r="N100" s="140"/>
      <c r="O100" s="246"/>
      <c r="P100" s="525"/>
      <c r="Q100" s="244"/>
      <c r="R100" s="244"/>
      <c r="S100" s="244"/>
      <c r="T100" s="244"/>
      <c r="U100" s="244"/>
      <c r="V100" s="244"/>
      <c r="W100" s="244"/>
      <c r="X100" s="244"/>
      <c r="Y100" s="244"/>
      <c r="Z100" s="244"/>
      <c r="AA100" s="244"/>
    </row>
    <row r="101" spans="1:27" ht="15" customHeight="1" x14ac:dyDescent="0.45">
      <c r="A101" s="138"/>
      <c r="B101" s="371">
        <v>19</v>
      </c>
      <c r="C101" s="232">
        <f>-+'Trial Deposits Engine'!Z78</f>
        <v>169510.22</v>
      </c>
      <c r="D101" s="224"/>
      <c r="E101" s="232">
        <f>+'eTool Data Engine'!X18</f>
        <v>478818.95</v>
      </c>
      <c r="F101" s="224"/>
      <c r="G101" s="724">
        <f>+'eTool Data Engine'!X17</f>
        <v>-1717781.01</v>
      </c>
      <c r="H101" s="239"/>
      <c r="I101" s="329">
        <f t="shared" si="10"/>
        <v>371.73293859649124</v>
      </c>
      <c r="J101" s="224"/>
      <c r="K101" s="725">
        <f ca="1">+'eTool Data Engine'!X46</f>
        <v>-1717781.0116782237</v>
      </c>
      <c r="L101" s="224"/>
      <c r="M101" s="723">
        <f t="shared" ca="1" si="11"/>
        <v>-1.6782237216830254E-3</v>
      </c>
      <c r="N101" s="140"/>
      <c r="O101" s="246"/>
      <c r="P101" s="525"/>
      <c r="Q101" s="244"/>
      <c r="R101" s="244"/>
      <c r="S101" s="244"/>
      <c r="T101" s="244"/>
      <c r="U101" s="244"/>
      <c r="V101" s="244"/>
      <c r="W101" s="244"/>
      <c r="X101" s="244"/>
      <c r="Y101" s="244"/>
      <c r="Z101" s="244"/>
      <c r="AA101" s="244"/>
    </row>
    <row r="102" spans="1:27" x14ac:dyDescent="0.45">
      <c r="A102" s="138"/>
      <c r="B102" s="371">
        <v>20</v>
      </c>
      <c r="C102" s="232">
        <f>-+'Trial Deposits Engine'!AA78</f>
        <v>154090.56</v>
      </c>
      <c r="D102" s="224"/>
      <c r="E102" s="232">
        <f>+'eTool Data Engine'!Y18</f>
        <v>488395.33</v>
      </c>
      <c r="F102" s="224"/>
      <c r="G102" s="724">
        <f>+'eTool Data Engine'!Y17</f>
        <v>-1502517.49</v>
      </c>
      <c r="H102" s="239"/>
      <c r="I102" s="329">
        <f t="shared" si="10"/>
        <v>337.91789473684207</v>
      </c>
      <c r="J102" s="224"/>
      <c r="K102" s="725">
        <f ca="1">+'eTool Data Engine'!Y46</f>
        <v>-1502517.4942402157</v>
      </c>
      <c r="L102" s="224"/>
      <c r="M102" s="723">
        <f t="shared" ca="1" si="11"/>
        <v>-4.2402157559990883E-3</v>
      </c>
      <c r="N102" s="140"/>
      <c r="O102" s="246"/>
      <c r="P102" s="525"/>
      <c r="Q102" s="244"/>
      <c r="R102" s="244"/>
      <c r="S102" s="244"/>
      <c r="T102" s="244"/>
      <c r="U102" s="244"/>
      <c r="V102" s="244"/>
      <c r="W102" s="244"/>
      <c r="X102" s="244"/>
      <c r="Y102" s="244"/>
      <c r="Z102" s="244"/>
      <c r="AA102" s="244"/>
    </row>
    <row r="103" spans="1:27" ht="20.2" customHeight="1" x14ac:dyDescent="0.45">
      <c r="A103" s="138"/>
      <c r="B103" s="133" t="s">
        <v>60</v>
      </c>
      <c r="C103" s="365">
        <f>SUM(C83:C102)</f>
        <v>8227626.6399999997</v>
      </c>
      <c r="D103" s="173"/>
      <c r="E103" s="173"/>
      <c r="F103" s="366"/>
      <c r="G103" s="173"/>
      <c r="H103" s="173"/>
      <c r="I103" s="173"/>
      <c r="J103" s="173"/>
      <c r="K103" s="367" t="s">
        <v>470</v>
      </c>
      <c r="L103" s="367"/>
      <c r="M103" s="726">
        <f ca="1">SUM(M83:M102)</f>
        <v>-1.763529576419387E-2</v>
      </c>
      <c r="N103" s="145"/>
      <c r="O103" s="246"/>
      <c r="P103" s="525"/>
      <c r="Q103" s="244"/>
      <c r="R103" s="244"/>
      <c r="S103" s="244"/>
      <c r="T103" s="244"/>
      <c r="U103" s="244"/>
      <c r="V103" s="244"/>
      <c r="W103" s="244"/>
      <c r="X103" s="244"/>
      <c r="Y103" s="244"/>
      <c r="Z103" s="244"/>
      <c r="AA103" s="244"/>
    </row>
    <row r="104" spans="1:27" ht="16.05" customHeight="1" x14ac:dyDescent="0.45">
      <c r="A104" s="138"/>
      <c r="B104" s="546"/>
      <c r="C104" s="317"/>
      <c r="D104" s="317"/>
      <c r="E104" s="317"/>
      <c r="F104" s="317"/>
      <c r="G104" s="317"/>
      <c r="H104" s="317"/>
      <c r="I104" s="317"/>
      <c r="J104" s="317"/>
      <c r="K104" s="317"/>
      <c r="L104" s="153"/>
      <c r="M104" s="358"/>
      <c r="N104" s="359"/>
      <c r="O104" s="246"/>
      <c r="P104" s="525"/>
      <c r="Q104" s="244"/>
      <c r="R104" s="244"/>
      <c r="S104" s="244"/>
      <c r="T104" s="244"/>
      <c r="U104" s="244"/>
      <c r="V104" s="244"/>
      <c r="W104" s="244"/>
      <c r="X104" s="244"/>
      <c r="Y104" s="244"/>
      <c r="Z104" s="244"/>
      <c r="AA104" s="244"/>
    </row>
    <row r="105" spans="1:27" ht="62.25" customHeight="1" thickBot="1" x14ac:dyDescent="0.5">
      <c r="A105" s="138"/>
      <c r="B105" s="154"/>
      <c r="C105" s="154"/>
      <c r="D105" s="154"/>
      <c r="E105" s="154"/>
      <c r="F105" s="154"/>
      <c r="G105" s="154"/>
      <c r="H105" s="154"/>
      <c r="I105" s="154"/>
      <c r="J105" s="154"/>
      <c r="K105" s="155"/>
      <c r="L105" s="155"/>
      <c r="M105" s="155"/>
      <c r="N105" s="146"/>
      <c r="O105" s="246"/>
      <c r="P105" s="525"/>
      <c r="Q105" s="244"/>
      <c r="R105" s="244"/>
      <c r="S105" s="244"/>
      <c r="T105" s="244"/>
      <c r="U105" s="244"/>
      <c r="V105" s="244"/>
      <c r="W105" s="244"/>
      <c r="X105" s="244"/>
      <c r="Y105" s="244"/>
      <c r="Z105" s="244"/>
      <c r="AA105" s="244"/>
    </row>
    <row r="106" spans="1:27" x14ac:dyDescent="0.45">
      <c r="A106" s="138"/>
      <c r="O106" s="138"/>
      <c r="P106" s="525"/>
      <c r="Q106" s="244"/>
      <c r="R106" s="244"/>
      <c r="S106" s="244"/>
      <c r="T106" s="244"/>
      <c r="U106" s="244"/>
      <c r="V106" s="244"/>
      <c r="W106" s="244"/>
      <c r="X106" s="244"/>
      <c r="Y106" s="244"/>
      <c r="Z106" s="244"/>
      <c r="AA106" s="244"/>
    </row>
    <row r="107" spans="1:27" x14ac:dyDescent="0.45">
      <c r="A107" s="138"/>
      <c r="P107" s="525"/>
      <c r="Q107" s="244"/>
      <c r="R107" s="244"/>
      <c r="S107" s="244"/>
      <c r="T107" s="244"/>
      <c r="U107" s="244"/>
      <c r="V107" s="244"/>
      <c r="W107" s="244"/>
      <c r="X107" s="244"/>
      <c r="Y107" s="244"/>
      <c r="Z107" s="244"/>
      <c r="AA107" s="244"/>
    </row>
    <row r="108" spans="1:27" x14ac:dyDescent="0.45">
      <c r="A108" s="138"/>
      <c r="P108" s="525"/>
      <c r="Q108" s="244"/>
      <c r="R108" s="244"/>
      <c r="S108" s="244"/>
      <c r="T108" s="244"/>
      <c r="U108" s="244"/>
      <c r="V108" s="244"/>
      <c r="W108" s="244"/>
      <c r="X108" s="244"/>
      <c r="Y108" s="244"/>
      <c r="Z108" s="526"/>
      <c r="AA108" s="526"/>
    </row>
    <row r="109" spans="1:27" x14ac:dyDescent="0.45">
      <c r="A109" s="138"/>
      <c r="P109" s="525"/>
      <c r="Q109" s="244"/>
      <c r="R109" s="244"/>
      <c r="S109" s="244"/>
      <c r="T109" s="244"/>
      <c r="U109" s="244"/>
      <c r="V109" s="244"/>
      <c r="W109" s="244"/>
      <c r="X109" s="244"/>
      <c r="Y109" s="244"/>
      <c r="Z109" s="244"/>
      <c r="AA109" s="244"/>
    </row>
    <row r="110" spans="1:27" x14ac:dyDescent="0.45">
      <c r="A110" s="138"/>
      <c r="P110" s="525"/>
      <c r="Q110" s="244"/>
      <c r="R110" s="244"/>
      <c r="S110" s="244"/>
      <c r="T110" s="244"/>
      <c r="U110" s="244"/>
      <c r="V110" s="244"/>
      <c r="W110" s="244"/>
      <c r="X110" s="244"/>
      <c r="Y110" s="244"/>
      <c r="Z110" s="244"/>
      <c r="AA110" s="244"/>
    </row>
    <row r="111" spans="1:27" x14ac:dyDescent="0.45">
      <c r="A111" s="138"/>
      <c r="P111" s="525"/>
      <c r="Q111" s="244"/>
      <c r="R111" s="244"/>
      <c r="S111" s="244"/>
      <c r="T111" s="244"/>
      <c r="U111" s="244"/>
      <c r="V111" s="244"/>
      <c r="W111" s="244"/>
      <c r="X111" s="244"/>
      <c r="Y111" s="244"/>
      <c r="Z111" s="244"/>
      <c r="AA111" s="244"/>
    </row>
    <row r="112" spans="1:27" x14ac:dyDescent="0.45">
      <c r="A112" s="138"/>
      <c r="P112" s="525"/>
      <c r="Q112" s="244"/>
      <c r="R112" s="244"/>
      <c r="S112" s="244"/>
      <c r="T112" s="244"/>
      <c r="U112" s="244"/>
      <c r="V112" s="244"/>
      <c r="W112" s="244"/>
      <c r="X112" s="244"/>
      <c r="Y112" s="244"/>
      <c r="Z112" s="244"/>
      <c r="AA112" s="244"/>
    </row>
    <row r="113" spans="1:25" x14ac:dyDescent="0.45">
      <c r="A113" s="138"/>
      <c r="P113" s="525"/>
      <c r="Q113" s="244"/>
      <c r="R113" s="244"/>
      <c r="S113" s="244"/>
      <c r="T113" s="244"/>
      <c r="U113" s="244"/>
      <c r="V113" s="244"/>
      <c r="W113" s="244"/>
      <c r="X113" s="244"/>
      <c r="Y113" s="244"/>
    </row>
    <row r="114" spans="1:25" x14ac:dyDescent="0.45">
      <c r="A114" s="138"/>
      <c r="P114" s="525"/>
      <c r="Q114" s="244"/>
      <c r="R114" s="244"/>
      <c r="S114" s="244"/>
      <c r="T114" s="244"/>
      <c r="U114" s="244"/>
      <c r="V114" s="244"/>
      <c r="W114" s="244"/>
      <c r="X114" s="244"/>
      <c r="Y114" s="244"/>
    </row>
    <row r="115" spans="1:25" x14ac:dyDescent="0.45">
      <c r="A115" s="138"/>
      <c r="P115" s="525"/>
      <c r="Q115" s="244"/>
      <c r="R115" s="244"/>
      <c r="S115" s="244"/>
      <c r="T115" s="244"/>
      <c r="U115" s="244"/>
      <c r="V115" s="244"/>
      <c r="W115" s="244"/>
      <c r="X115" s="244"/>
      <c r="Y115" s="244"/>
    </row>
    <row r="116" spans="1:25" x14ac:dyDescent="0.45">
      <c r="A116" s="138"/>
      <c r="P116" s="525"/>
      <c r="Q116" s="244"/>
      <c r="R116" s="244"/>
      <c r="S116" s="244"/>
      <c r="T116" s="244"/>
      <c r="U116" s="244"/>
      <c r="V116" s="244"/>
      <c r="W116" s="244"/>
      <c r="X116" s="244"/>
      <c r="Y116" s="244"/>
    </row>
    <row r="117" spans="1:25" x14ac:dyDescent="0.45">
      <c r="A117" s="138"/>
      <c r="P117" s="525"/>
      <c r="Q117" s="244"/>
      <c r="R117" s="244"/>
      <c r="S117" s="244"/>
      <c r="T117" s="244"/>
      <c r="U117" s="244"/>
      <c r="V117" s="244"/>
      <c r="W117" s="244"/>
      <c r="X117" s="244"/>
      <c r="Y117" s="244"/>
    </row>
    <row r="118" spans="1:25" ht="21.75" customHeight="1" x14ac:dyDescent="0.45">
      <c r="A118" s="138"/>
      <c r="P118" s="138"/>
      <c r="Q118" s="244"/>
      <c r="R118" s="244"/>
      <c r="S118" s="244"/>
      <c r="T118" s="244"/>
      <c r="U118" s="244"/>
      <c r="V118" s="244"/>
      <c r="W118" s="244"/>
      <c r="X118" s="244"/>
      <c r="Y118" s="244"/>
    </row>
    <row r="119" spans="1:25" ht="60" customHeight="1" x14ac:dyDescent="0.45">
      <c r="A119" s="138"/>
      <c r="P119" s="246"/>
      <c r="Q119" s="244"/>
      <c r="R119" s="244"/>
      <c r="S119" s="244"/>
      <c r="T119" s="244"/>
      <c r="U119" s="244"/>
      <c r="V119" s="244"/>
      <c r="W119" s="244"/>
      <c r="X119" s="244"/>
      <c r="Y119" s="244"/>
    </row>
    <row r="120" spans="1:25" x14ac:dyDescent="0.45">
      <c r="A120" s="138"/>
      <c r="P120" s="138"/>
      <c r="Q120" s="244"/>
      <c r="R120" s="244"/>
      <c r="S120" s="244"/>
      <c r="T120" s="244"/>
      <c r="U120" s="244"/>
      <c r="V120" s="244"/>
      <c r="W120" s="244"/>
      <c r="X120" s="244"/>
      <c r="Y120" s="244"/>
    </row>
    <row r="121" spans="1:25" x14ac:dyDescent="0.45">
      <c r="A121" s="138"/>
      <c r="Q121" s="244"/>
      <c r="R121" s="244"/>
      <c r="S121" s="244"/>
      <c r="T121" s="244"/>
      <c r="U121" s="244"/>
      <c r="V121" s="244"/>
      <c r="W121" s="244"/>
      <c r="X121" s="244"/>
      <c r="Y121" s="244"/>
    </row>
    <row r="122" spans="1:25" ht="39" customHeight="1" x14ac:dyDescent="0.45">
      <c r="A122" s="138"/>
      <c r="Q122" s="244"/>
      <c r="R122" s="244"/>
      <c r="S122" s="244"/>
      <c r="T122" s="244"/>
      <c r="U122" s="244"/>
      <c r="V122" s="244"/>
      <c r="W122" s="244"/>
      <c r="X122" s="244"/>
      <c r="Y122" s="244"/>
    </row>
    <row r="123" spans="1:25" x14ac:dyDescent="0.45">
      <c r="A123" s="138"/>
      <c r="Q123" s="244"/>
      <c r="R123" s="244"/>
      <c r="S123" s="244"/>
      <c r="T123" s="244"/>
      <c r="U123" s="244"/>
      <c r="V123" s="244"/>
      <c r="W123" s="244"/>
      <c r="X123" s="244"/>
      <c r="Y123" s="244"/>
    </row>
    <row r="124" spans="1:25" x14ac:dyDescent="0.45">
      <c r="A124" s="138"/>
      <c r="Q124" s="244"/>
      <c r="R124" s="244"/>
      <c r="S124" s="244"/>
      <c r="T124" s="244"/>
      <c r="U124" s="244"/>
      <c r="V124" s="244"/>
      <c r="W124" s="244"/>
      <c r="X124" s="244"/>
      <c r="Y124" s="244"/>
    </row>
    <row r="125" spans="1:25" x14ac:dyDescent="0.45">
      <c r="A125" s="138"/>
      <c r="Q125" s="244"/>
      <c r="R125" s="244"/>
      <c r="S125" s="244"/>
      <c r="T125" s="244"/>
      <c r="U125" s="244"/>
      <c r="V125" s="244"/>
      <c r="W125" s="244"/>
      <c r="X125" s="244"/>
      <c r="Y125" s="244"/>
    </row>
    <row r="126" spans="1:25" x14ac:dyDescent="0.45">
      <c r="A126" s="138"/>
      <c r="Q126" s="244"/>
      <c r="R126" s="244"/>
      <c r="S126" s="244"/>
      <c r="T126" s="244"/>
      <c r="U126" s="244"/>
      <c r="V126" s="244"/>
      <c r="W126" s="244"/>
      <c r="X126" s="244"/>
      <c r="Y126" s="244"/>
    </row>
    <row r="127" spans="1:25" x14ac:dyDescent="0.45">
      <c r="A127" s="138"/>
      <c r="Q127" s="244"/>
      <c r="R127" s="244"/>
      <c r="S127" s="244"/>
      <c r="T127" s="244"/>
      <c r="U127" s="244"/>
      <c r="V127" s="244"/>
      <c r="W127" s="244"/>
      <c r="X127" s="244"/>
      <c r="Y127" s="244"/>
    </row>
    <row r="128" spans="1:25" ht="18" customHeight="1" x14ac:dyDescent="0.45">
      <c r="A128" s="138"/>
      <c r="Q128" s="244"/>
      <c r="R128" s="244"/>
      <c r="S128" s="244"/>
      <c r="T128" s="244"/>
      <c r="U128" s="244"/>
      <c r="V128" s="244"/>
      <c r="W128" s="244"/>
      <c r="X128" s="244"/>
      <c r="Y128" s="244"/>
    </row>
    <row r="129" spans="1:25" ht="61.5" customHeight="1" x14ac:dyDescent="0.45">
      <c r="A129" s="138"/>
      <c r="Q129" s="244"/>
      <c r="R129" s="244"/>
      <c r="S129" s="244"/>
      <c r="T129" s="244"/>
      <c r="U129" s="244"/>
      <c r="V129" s="244"/>
      <c r="W129" s="244"/>
      <c r="X129" s="244"/>
      <c r="Y129" s="244"/>
    </row>
    <row r="130" spans="1:25" x14ac:dyDescent="0.45">
      <c r="A130" s="138"/>
      <c r="Q130" s="244"/>
      <c r="R130" s="244"/>
      <c r="S130" s="244"/>
      <c r="T130" s="244"/>
      <c r="U130" s="244"/>
      <c r="V130" s="244"/>
      <c r="W130" s="244"/>
      <c r="X130" s="244"/>
      <c r="Y130" s="244"/>
    </row>
    <row r="131" spans="1:25" x14ac:dyDescent="0.45">
      <c r="A131" s="138"/>
      <c r="B131" s="244"/>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row>
    <row r="152" ht="15" customHeight="1" x14ac:dyDescent="0.45"/>
  </sheetData>
  <sheetProtection algorithmName="SHA-512" hashValue="T/ysjTWIJOuGnEN4iGQyRYvG19w5OgRVm2+AM5KJ60sWQqtUX63fCnId4FsCq9KyNYuqqooC/Pd+QG3TJz3wUw==" saltValue="crMGGvWLa+jgpHa6ecxtNg==" spinCount="100000" sheet="1" objects="1" scenarios="1" insertHyperlinks="0"/>
  <mergeCells count="10">
    <mergeCell ref="C79:M79"/>
    <mergeCell ref="S5:S6"/>
    <mergeCell ref="M2:S2"/>
    <mergeCell ref="B2:J2"/>
    <mergeCell ref="C30:G30"/>
    <mergeCell ref="C46:G46"/>
    <mergeCell ref="C62:G62"/>
    <mergeCell ref="B15:J15"/>
    <mergeCell ref="C3:G3"/>
    <mergeCell ref="C8:E8"/>
  </mergeCells>
  <conditionalFormatting sqref="I17">
    <cfRule type="cellIs" dxfId="33" priority="36" operator="equal">
      <formula>"REQUIREMENTS MET"</formula>
    </cfRule>
    <cfRule type="cellIs" dxfId="32" priority="37" operator="equal">
      <formula>"violation exists"</formula>
    </cfRule>
  </conditionalFormatting>
  <conditionalFormatting sqref="C17">
    <cfRule type="expression" dxfId="31" priority="9">
      <formula>C17="PASS"</formula>
    </cfRule>
    <cfRule type="expression" dxfId="30" priority="10">
      <formula>C17="FAIL"</formula>
    </cfRule>
  </conditionalFormatting>
  <conditionalFormatting sqref="E17">
    <cfRule type="expression" dxfId="29" priority="3">
      <formula>E17="PASS"</formula>
    </cfRule>
    <cfRule type="expression" dxfId="28" priority="4">
      <formula>E17="FAIL"</formula>
    </cfRule>
  </conditionalFormatting>
  <conditionalFormatting sqref="G17">
    <cfRule type="expression" dxfId="27" priority="1">
      <formula>G17="PASS"</formula>
    </cfRule>
    <cfRule type="expression" dxfId="26" priority="2">
      <formula>G17="FAIL"</formula>
    </cfRule>
  </conditionalFormatting>
  <dataValidations disablePrompts="1" count="1">
    <dataValidation allowBlank="1" showInputMessage="1" showErrorMessage="1" promptTitle="MAP Appendix 5.VII.B.6" prompt="Reserves balances amounts must equal or exceed the projected capital costs plus any minimum balance requirements for each of the first 10 years in the Estimate Period. " sqref="C17 E17 G17" xr:uid="{00000000-0002-0000-0600-000000000000}"/>
  </dataValidations>
  <hyperlinks>
    <hyperlink ref="G20" location="User_lnput_Amort._Test_violations" display="click here" xr:uid="{00000000-0004-0000-0600-000000000000}"/>
    <hyperlink ref="C20" location="User_Trial_Input_Req.Min._Bal._violations__Yr_1_10" display="click here" xr:uid="{00000000-0004-0000-0600-000001000000}"/>
    <hyperlink ref="E20" location="Trial_Dep_RMB_RY11_violations" display="Details: Click Here" xr:uid="{00000000-0004-0000-0600-000002000000}"/>
    <hyperlink ref="S12" location="Additional_eTool_vs._Trial_Dep_Anal" display="click here" xr:uid="{00000000-0004-0000-0600-000003000000}"/>
  </hyperlinks>
  <printOptions horizontalCentered="1"/>
  <pageMargins left="0.35" right="0.31" top="0.75" bottom="0.75" header="0.3" footer="0.3"/>
  <pageSetup scale="90" orientation="portrait" horizontalDpi="1800" verticalDpi="1800" r:id="rId1"/>
  <headerFooter>
    <oddHeader>&amp;C&amp;F
&amp;A&amp;R&amp;D</oddHeader>
  </headerFooter>
  <ignoredErrors>
    <ignoredError sqref="C6 E6 G6 C11"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X36"/>
  <sheetViews>
    <sheetView workbookViewId="0"/>
  </sheetViews>
  <sheetFormatPr defaultColWidth="9.06640625" defaultRowHeight="14.25" x14ac:dyDescent="0.45"/>
  <cols>
    <col min="1" max="1" width="11.06640625" style="624" customWidth="1"/>
    <col min="2" max="2" width="17.59765625" style="624" customWidth="1"/>
    <col min="3" max="3" width="17.53125" style="624" bestFit="1" customWidth="1"/>
    <col min="4" max="4" width="6.73046875" style="624" customWidth="1"/>
    <col min="5" max="5" width="13.9296875" style="624" bestFit="1" customWidth="1"/>
    <col min="6" max="6" width="17.9296875" style="624" bestFit="1" customWidth="1"/>
    <col min="7" max="7" width="14.19921875" style="624" bestFit="1" customWidth="1"/>
    <col min="8" max="8" width="12" style="624" customWidth="1"/>
    <col min="9" max="9" width="14.59765625" style="624" customWidth="1"/>
    <col min="10" max="10" width="18.59765625" style="624" bestFit="1" customWidth="1"/>
    <col min="11" max="11" width="13.73046875" style="624" customWidth="1"/>
    <col min="12" max="12" width="6.06640625" style="624" customWidth="1"/>
    <col min="13" max="13" width="15.796875" style="624" customWidth="1"/>
    <col min="14" max="14" width="11.796875" style="624" customWidth="1"/>
    <col min="15" max="16" width="9.06640625" style="624"/>
    <col min="17" max="17" width="11" style="624" customWidth="1"/>
    <col min="18" max="18" width="23.53125" style="624" bestFit="1" customWidth="1"/>
    <col min="19" max="19" width="15.265625" style="624" customWidth="1"/>
    <col min="20" max="21" width="9.06640625" style="624"/>
    <col min="22" max="22" width="14.59765625" style="624" customWidth="1"/>
    <col min="23" max="23" width="10.33203125" style="624" customWidth="1"/>
    <col min="24" max="24" width="57.33203125" style="624" customWidth="1"/>
    <col min="25" max="16384" width="9.06640625" style="624"/>
  </cols>
  <sheetData>
    <row r="1" spans="1:24" ht="14.65" thickBot="1" x14ac:dyDescent="0.5">
      <c r="A1" s="616"/>
      <c r="B1" s="616"/>
      <c r="C1" s="616"/>
      <c r="D1" s="616"/>
      <c r="E1" s="616"/>
      <c r="F1" s="625"/>
      <c r="G1" s="625"/>
      <c r="H1" s="625"/>
      <c r="I1" s="625"/>
      <c r="J1" s="625"/>
      <c r="K1" s="625"/>
      <c r="L1" s="625"/>
      <c r="M1" s="625"/>
      <c r="N1" s="625"/>
      <c r="O1" s="616"/>
      <c r="P1" s="616"/>
      <c r="Q1" s="616"/>
      <c r="R1" s="616"/>
      <c r="S1" s="616"/>
      <c r="T1" s="616"/>
      <c r="U1" s="616"/>
      <c r="V1" s="616"/>
      <c r="W1" s="616"/>
      <c r="X1" s="616"/>
    </row>
    <row r="2" spans="1:24" ht="21" x14ac:dyDescent="0.65">
      <c r="A2" s="617"/>
      <c r="B2" s="1145" t="s">
        <v>554</v>
      </c>
      <c r="C2" s="1146"/>
      <c r="D2" s="1146"/>
      <c r="E2" s="1146"/>
      <c r="F2" s="1146"/>
      <c r="G2" s="1146"/>
      <c r="H2" s="1146"/>
      <c r="I2" s="1146"/>
      <c r="J2" s="1146"/>
      <c r="K2" s="1146"/>
      <c r="L2" s="1146"/>
      <c r="M2" s="1147"/>
      <c r="N2" s="616"/>
      <c r="O2" s="616"/>
      <c r="P2" s="616"/>
      <c r="Q2" s="616"/>
      <c r="R2" s="616"/>
      <c r="S2" s="616"/>
      <c r="T2" s="616"/>
      <c r="U2" s="616"/>
      <c r="V2" s="616"/>
      <c r="W2" s="616"/>
      <c r="X2" s="616"/>
    </row>
    <row r="3" spans="1:24" ht="15.75" x14ac:dyDescent="0.5">
      <c r="A3" s="617"/>
      <c r="B3" s="1148" t="s">
        <v>494</v>
      </c>
      <c r="C3" s="1149"/>
      <c r="D3" s="1149"/>
      <c r="E3" s="1149"/>
      <c r="F3" s="1149"/>
      <c r="G3" s="1149"/>
      <c r="H3" s="1149"/>
      <c r="I3" s="1149"/>
      <c r="J3" s="1149"/>
      <c r="K3" s="1149"/>
      <c r="L3" s="1149"/>
      <c r="M3" s="1150"/>
      <c r="N3" s="616"/>
      <c r="O3" s="616"/>
      <c r="P3" s="616"/>
      <c r="Q3" s="616"/>
      <c r="R3" s="616"/>
      <c r="S3" s="616"/>
      <c r="T3" s="616"/>
      <c r="U3" s="616"/>
      <c r="V3" s="616"/>
      <c r="W3" s="616"/>
      <c r="X3" s="616"/>
    </row>
    <row r="4" spans="1:24" ht="25.05" customHeight="1" thickBot="1" x14ac:dyDescent="0.5">
      <c r="A4" s="617"/>
      <c r="B4" s="1151" t="s">
        <v>165</v>
      </c>
      <c r="C4" s="1152"/>
      <c r="D4" s="1152"/>
      <c r="E4" s="1152"/>
      <c r="F4" s="1152"/>
      <c r="G4" s="1152"/>
      <c r="H4" s="1152"/>
      <c r="I4" s="1152"/>
      <c r="J4" s="1152"/>
      <c r="K4" s="1152"/>
      <c r="L4" s="1152"/>
      <c r="M4" s="1153"/>
      <c r="N4" s="616"/>
      <c r="O4" s="616"/>
      <c r="P4" s="616"/>
      <c r="Q4" s="616"/>
      <c r="R4" s="616"/>
      <c r="S4" s="616"/>
      <c r="T4" s="616"/>
      <c r="U4" s="616"/>
      <c r="V4" s="616"/>
      <c r="W4" s="616"/>
      <c r="X4" s="616"/>
    </row>
    <row r="5" spans="1:24" ht="91.5" customHeight="1" x14ac:dyDescent="0.45">
      <c r="A5" s="617"/>
      <c r="B5" s="617"/>
      <c r="C5" s="617"/>
      <c r="D5" s="617"/>
      <c r="E5" s="617"/>
      <c r="F5" s="617"/>
      <c r="G5" s="617"/>
      <c r="H5" s="617"/>
      <c r="I5" s="617"/>
      <c r="J5" s="617"/>
      <c r="K5" s="617"/>
      <c r="L5" s="617"/>
      <c r="M5" s="617"/>
      <c r="N5" s="616"/>
      <c r="O5" s="616"/>
      <c r="P5" s="616"/>
      <c r="Q5" s="616"/>
      <c r="R5" s="616"/>
      <c r="S5" s="616"/>
      <c r="T5" s="616"/>
      <c r="U5" s="616"/>
      <c r="V5" s="616"/>
      <c r="W5" s="616"/>
      <c r="X5" s="616"/>
    </row>
    <row r="6" spans="1:24" x14ac:dyDescent="0.45">
      <c r="A6" s="617"/>
      <c r="B6" s="1144" t="s">
        <v>505</v>
      </c>
      <c r="C6" s="1144"/>
      <c r="D6" s="1144"/>
      <c r="E6" s="1144"/>
      <c r="F6" s="1144"/>
      <c r="G6" s="1144"/>
      <c r="H6" s="682"/>
      <c r="I6" s="1144" t="s">
        <v>166</v>
      </c>
      <c r="J6" s="1144"/>
      <c r="K6" s="1144"/>
      <c r="L6" s="1144"/>
      <c r="M6" s="1144"/>
      <c r="N6" s="616"/>
      <c r="O6" s="616"/>
      <c r="P6" s="616"/>
      <c r="Q6" s="616"/>
      <c r="R6" s="616"/>
      <c r="S6" s="616"/>
      <c r="T6" s="616"/>
      <c r="U6" s="616"/>
      <c r="V6" s="616"/>
      <c r="W6" s="616"/>
      <c r="X6" s="616"/>
    </row>
    <row r="7" spans="1:24" x14ac:dyDescent="0.45">
      <c r="A7" s="617"/>
      <c r="B7" s="626" t="s">
        <v>499</v>
      </c>
      <c r="C7" s="660">
        <v>1</v>
      </c>
      <c r="D7" s="627">
        <v>2</v>
      </c>
      <c r="E7" s="660">
        <v>3</v>
      </c>
      <c r="F7" s="627">
        <v>4</v>
      </c>
      <c r="G7" s="660">
        <v>5</v>
      </c>
      <c r="H7" s="617"/>
      <c r="I7" s="660">
        <v>6</v>
      </c>
      <c r="J7" s="627">
        <v>7</v>
      </c>
      <c r="K7" s="660">
        <v>8</v>
      </c>
      <c r="L7" s="617"/>
      <c r="M7" s="671"/>
      <c r="N7" s="616"/>
      <c r="O7" s="616"/>
      <c r="P7" s="616"/>
      <c r="Q7" s="616"/>
      <c r="R7" s="616"/>
      <c r="S7" s="616"/>
      <c r="T7" s="616"/>
      <c r="U7" s="616"/>
      <c r="V7" s="616"/>
      <c r="W7" s="616"/>
      <c r="X7" s="616"/>
    </row>
    <row r="8" spans="1:24" x14ac:dyDescent="0.45">
      <c r="A8" s="617"/>
      <c r="B8" s="632" t="s">
        <v>500</v>
      </c>
      <c r="C8" s="667" t="s">
        <v>167</v>
      </c>
      <c r="D8" s="633" t="s">
        <v>167</v>
      </c>
      <c r="E8" s="661" t="s">
        <v>168</v>
      </c>
      <c r="F8" s="634" t="s">
        <v>540</v>
      </c>
      <c r="G8" s="661" t="s">
        <v>169</v>
      </c>
      <c r="H8" s="617"/>
      <c r="I8" s="678" t="s">
        <v>510</v>
      </c>
      <c r="J8" s="633" t="s">
        <v>171</v>
      </c>
      <c r="K8" s="667" t="s">
        <v>172</v>
      </c>
      <c r="L8" s="617"/>
      <c r="M8" s="672"/>
      <c r="N8" s="616"/>
      <c r="O8" s="616"/>
      <c r="P8" s="616"/>
      <c r="Q8" s="616"/>
      <c r="R8" s="616"/>
      <c r="S8" s="616"/>
      <c r="T8" s="616"/>
      <c r="U8" s="616"/>
      <c r="V8" s="616"/>
      <c r="W8" s="616"/>
      <c r="X8" s="616"/>
    </row>
    <row r="9" spans="1:24" ht="84" customHeight="1" x14ac:dyDescent="0.45">
      <c r="A9" s="617"/>
      <c r="B9" s="640" t="s">
        <v>173</v>
      </c>
      <c r="C9" s="662" t="s">
        <v>495</v>
      </c>
      <c r="D9" s="635" t="s">
        <v>174</v>
      </c>
      <c r="E9" s="662" t="s">
        <v>502</v>
      </c>
      <c r="F9" s="635" t="s">
        <v>501</v>
      </c>
      <c r="G9" s="662" t="s">
        <v>529</v>
      </c>
      <c r="H9" s="617"/>
      <c r="I9" s="662" t="s">
        <v>507</v>
      </c>
      <c r="J9" s="635" t="s">
        <v>508</v>
      </c>
      <c r="K9" s="662" t="s">
        <v>509</v>
      </c>
      <c r="L9" s="617"/>
      <c r="M9" s="673" t="s">
        <v>175</v>
      </c>
      <c r="N9" s="616"/>
      <c r="O9" s="616"/>
      <c r="P9" s="616"/>
      <c r="Q9" s="616"/>
      <c r="R9" s="616"/>
      <c r="S9" s="616"/>
      <c r="T9" s="616"/>
      <c r="U9" s="616"/>
      <c r="V9" s="616"/>
      <c r="W9" s="616"/>
      <c r="X9" s="616"/>
    </row>
    <row r="10" spans="1:24" x14ac:dyDescent="0.45">
      <c r="A10" s="617"/>
      <c r="B10" s="636" t="s">
        <v>176</v>
      </c>
      <c r="C10" s="663">
        <f ca="1">-+MIN('Trial Dep. Projections Sumry'!S16:W16)</f>
        <v>1783566.8834470399</v>
      </c>
      <c r="D10" s="638">
        <f ca="1">+MATCH(-C10,'Trial Dep. Projections Sumry'!I16:AB16,FALSE)</f>
        <v>15</v>
      </c>
      <c r="E10" s="663">
        <f ca="1">+(C10/D10)/'Trial Deposits Analysis'!$M$10</f>
        <v>260.7553923168187</v>
      </c>
      <c r="F10" s="639">
        <f ca="1">1/(1+'Trial Deposits Analysis'!G$5)^(10)</f>
        <v>0.82034829987515534</v>
      </c>
      <c r="G10" s="665">
        <f ca="1">+E10*F10</f>
        <v>213.91024277038136</v>
      </c>
      <c r="H10" s="617"/>
      <c r="I10" s="669">
        <f>+'Trial Deposits Analysis'!E11</f>
        <v>556</v>
      </c>
      <c r="J10" s="649">
        <f ca="1">+G10+I10</f>
        <v>769.91024277038139</v>
      </c>
      <c r="K10" s="679">
        <f ca="1">+J10/I10</f>
        <v>1.3847306524647147</v>
      </c>
      <c r="L10" s="617"/>
      <c r="M10" s="672"/>
      <c r="N10" s="616"/>
      <c r="O10" s="616"/>
      <c r="P10" s="616"/>
      <c r="Q10" s="616"/>
      <c r="R10" s="616"/>
      <c r="S10" s="616"/>
      <c r="T10" s="616"/>
      <c r="U10" s="616"/>
      <c r="V10" s="616"/>
      <c r="W10" s="616"/>
      <c r="X10" s="616"/>
    </row>
    <row r="11" spans="1:24" x14ac:dyDescent="0.45">
      <c r="A11" s="617"/>
      <c r="B11" s="636" t="s">
        <v>177</v>
      </c>
      <c r="C11" s="663">
        <f ca="1">-+MIN('Trial Dep. Projections Sumry'!S16:AA16)</f>
        <v>2417092.7118217242</v>
      </c>
      <c r="D11" s="638">
        <f ca="1">+MATCH(-C11,'Trial Dep. Projections Sumry'!I16:AB16,FALSE)</f>
        <v>17</v>
      </c>
      <c r="E11" s="663">
        <f ca="1">+(C11/D11)/'Trial Deposits Analysis'!$M$10</f>
        <v>311.80246540527918</v>
      </c>
      <c r="F11" s="639">
        <f ca="1">1/(1+'Trial Deposits Analysis'!G$5)^(10)</f>
        <v>0.82034829987515534</v>
      </c>
      <c r="G11" s="665">
        <f ca="1">+E11*F11</f>
        <v>255.78662239210271</v>
      </c>
      <c r="H11" s="617"/>
      <c r="I11" s="669">
        <f>+I10</f>
        <v>556</v>
      </c>
      <c r="J11" s="649">
        <f ca="1">+G11+I11</f>
        <v>811.78662239210269</v>
      </c>
      <c r="K11" s="679">
        <f ca="1">+J11/I11</f>
        <v>1.4600478820001848</v>
      </c>
      <c r="L11" s="617"/>
      <c r="M11" s="672"/>
      <c r="N11" s="616"/>
      <c r="O11" s="616"/>
      <c r="P11" s="616"/>
      <c r="Q11" s="616"/>
      <c r="R11" s="616"/>
      <c r="S11" s="616"/>
      <c r="T11" s="616"/>
      <c r="U11" s="616"/>
      <c r="V11" s="616"/>
      <c r="W11" s="616"/>
      <c r="X11" s="616"/>
    </row>
    <row r="12" spans="1:24" ht="14.65" thickBot="1" x14ac:dyDescent="0.5">
      <c r="A12" s="617"/>
      <c r="B12" s="641" t="s">
        <v>178</v>
      </c>
      <c r="C12" s="664">
        <f ca="1">-+MIN('Trial Dep. Projections Sumry'!S16:AB16)</f>
        <v>2417092.7118217242</v>
      </c>
      <c r="D12" s="642">
        <f ca="1">+MATCH(-C12,'Trial Dep. Projections Sumry'!I16:AB16,FALSE)</f>
        <v>17</v>
      </c>
      <c r="E12" s="664">
        <f ca="1">+(C12/D12)/'Trial Deposits Analysis'!$M$10</f>
        <v>311.80246540527918</v>
      </c>
      <c r="F12" s="643">
        <f ca="1">1/(1+'Trial Deposits Analysis'!G$5)^(10+4)</f>
        <v>0.75787502458828948</v>
      </c>
      <c r="G12" s="666">
        <f ca="1">+E12*F12</f>
        <v>236.30730113571525</v>
      </c>
      <c r="H12" s="617"/>
      <c r="I12" s="670">
        <f>+I11</f>
        <v>556</v>
      </c>
      <c r="J12" s="654">
        <f ca="1">+G12+I12</f>
        <v>792.30730113571531</v>
      </c>
      <c r="K12" s="680">
        <f ca="1">+J12/I12</f>
        <v>1.4250131315390564</v>
      </c>
      <c r="L12" s="617"/>
      <c r="M12" s="672"/>
      <c r="N12" s="616"/>
      <c r="O12" s="616"/>
      <c r="P12" s="616"/>
      <c r="Q12" s="616"/>
      <c r="R12" s="616"/>
      <c r="S12" s="616"/>
      <c r="T12" s="616"/>
      <c r="U12" s="616"/>
      <c r="V12" s="616"/>
      <c r="W12" s="616"/>
      <c r="X12" s="616"/>
    </row>
    <row r="13" spans="1:24" ht="14.65" thickBot="1" x14ac:dyDescent="0.5">
      <c r="A13" s="616"/>
      <c r="B13" s="617"/>
      <c r="C13" s="617"/>
      <c r="D13" s="617"/>
      <c r="E13" s="617"/>
      <c r="F13" s="617"/>
      <c r="G13" s="617"/>
      <c r="H13" s="617"/>
      <c r="I13" s="617"/>
      <c r="J13" s="617"/>
      <c r="K13" s="617"/>
      <c r="L13" s="655" t="s">
        <v>514</v>
      </c>
      <c r="M13" s="650">
        <v>0</v>
      </c>
      <c r="N13" s="616"/>
      <c r="O13" s="616"/>
      <c r="P13" s="616"/>
      <c r="Q13" s="616"/>
      <c r="R13" s="616"/>
      <c r="S13" s="616"/>
      <c r="T13" s="616"/>
      <c r="U13" s="616"/>
      <c r="V13" s="616"/>
      <c r="W13" s="616"/>
      <c r="X13" s="616"/>
    </row>
    <row r="14" spans="1:24" x14ac:dyDescent="0.45">
      <c r="A14" s="616"/>
      <c r="B14" s="616"/>
      <c r="C14" s="616"/>
      <c r="D14" s="616"/>
      <c r="E14" s="616"/>
      <c r="F14" s="619"/>
      <c r="G14" s="620"/>
      <c r="H14" s="616"/>
      <c r="I14" s="616"/>
      <c r="J14" s="616"/>
      <c r="K14" s="616"/>
      <c r="L14" s="616"/>
      <c r="M14" s="616"/>
      <c r="N14" s="616"/>
      <c r="O14" s="616"/>
      <c r="P14" s="616"/>
      <c r="Q14" s="616"/>
      <c r="R14" s="616"/>
      <c r="S14" s="616"/>
      <c r="T14" s="616"/>
      <c r="U14" s="616"/>
      <c r="V14" s="616"/>
      <c r="W14" s="616"/>
      <c r="X14" s="616"/>
    </row>
    <row r="15" spans="1:24" x14ac:dyDescent="0.45">
      <c r="A15" s="616"/>
      <c r="B15" s="617"/>
      <c r="C15" s="617"/>
      <c r="D15" s="626"/>
      <c r="E15" s="620"/>
      <c r="F15" s="617"/>
      <c r="G15" s="616"/>
      <c r="H15" s="616"/>
      <c r="I15" s="616"/>
      <c r="J15" s="616"/>
      <c r="K15" s="616"/>
      <c r="L15" s="616"/>
      <c r="M15" s="616"/>
      <c r="N15" s="616"/>
      <c r="O15" s="616"/>
      <c r="P15" s="616"/>
      <c r="Q15" s="616"/>
      <c r="R15" s="616"/>
      <c r="S15" s="616"/>
      <c r="T15" s="616"/>
      <c r="U15" s="616"/>
      <c r="V15" s="616"/>
      <c r="W15" s="616"/>
      <c r="X15" s="616"/>
    </row>
    <row r="16" spans="1:24" x14ac:dyDescent="0.45">
      <c r="A16" s="617"/>
      <c r="B16" s="1144" t="s">
        <v>504</v>
      </c>
      <c r="C16" s="1144"/>
      <c r="D16" s="1144"/>
      <c r="E16" s="1144"/>
      <c r="F16" s="1144"/>
      <c r="G16" s="1144"/>
      <c r="H16" s="652"/>
      <c r="I16" s="1144" t="s">
        <v>166</v>
      </c>
      <c r="J16" s="1144"/>
      <c r="K16" s="1144"/>
      <c r="L16" s="1144"/>
      <c r="M16" s="1144"/>
      <c r="N16" s="616"/>
      <c r="O16" s="616"/>
      <c r="P16" s="616"/>
      <c r="Q16" s="616"/>
      <c r="R16" s="616"/>
      <c r="S16" s="616"/>
      <c r="T16" s="616"/>
      <c r="U16" s="616"/>
      <c r="V16" s="616"/>
      <c r="W16" s="616"/>
      <c r="X16" s="616"/>
    </row>
    <row r="17" spans="1:24" x14ac:dyDescent="0.45">
      <c r="A17" s="617"/>
      <c r="B17" s="626" t="s">
        <v>499</v>
      </c>
      <c r="C17" s="660">
        <v>1</v>
      </c>
      <c r="D17" s="627">
        <v>2</v>
      </c>
      <c r="E17" s="660">
        <v>3</v>
      </c>
      <c r="F17" s="627">
        <v>4</v>
      </c>
      <c r="G17" s="677"/>
      <c r="H17" s="617"/>
      <c r="I17" s="660">
        <v>5</v>
      </c>
      <c r="J17" s="627">
        <v>6</v>
      </c>
      <c r="K17" s="672"/>
      <c r="L17" s="616"/>
      <c r="M17" s="672"/>
      <c r="N17" s="616"/>
      <c r="O17" s="616"/>
      <c r="P17" s="616"/>
      <c r="Q17" s="616"/>
      <c r="R17" s="616"/>
      <c r="S17" s="616"/>
      <c r="T17" s="616"/>
      <c r="U17" s="616"/>
      <c r="V17" s="616"/>
      <c r="W17" s="616"/>
      <c r="X17" s="616"/>
    </row>
    <row r="18" spans="1:24" x14ac:dyDescent="0.45">
      <c r="A18" s="617"/>
      <c r="B18" s="632" t="s">
        <v>500</v>
      </c>
      <c r="C18" s="667" t="s">
        <v>167</v>
      </c>
      <c r="D18" s="633" t="s">
        <v>167</v>
      </c>
      <c r="E18" s="661" t="s">
        <v>540</v>
      </c>
      <c r="F18" s="634" t="s">
        <v>179</v>
      </c>
      <c r="G18" s="677"/>
      <c r="H18" s="617"/>
      <c r="I18" s="667" t="s">
        <v>180</v>
      </c>
      <c r="J18" s="633" t="s">
        <v>167</v>
      </c>
      <c r="K18" s="672"/>
      <c r="L18" s="616"/>
      <c r="M18" s="672"/>
      <c r="N18" s="616"/>
      <c r="O18" s="616"/>
      <c r="P18" s="616"/>
      <c r="Q18" s="616"/>
      <c r="R18" s="616"/>
      <c r="S18" s="616"/>
      <c r="T18" s="616"/>
      <c r="U18" s="616"/>
      <c r="V18" s="616"/>
      <c r="W18" s="616"/>
      <c r="X18" s="616"/>
    </row>
    <row r="19" spans="1:24" ht="76.5" customHeight="1" x14ac:dyDescent="0.45">
      <c r="A19" s="617"/>
      <c r="B19" s="640" t="s">
        <v>173</v>
      </c>
      <c r="C19" s="662" t="s">
        <v>503</v>
      </c>
      <c r="D19" s="635" t="s">
        <v>181</v>
      </c>
      <c r="E19" s="662" t="s">
        <v>182</v>
      </c>
      <c r="F19" s="635" t="s">
        <v>496</v>
      </c>
      <c r="G19" s="677"/>
      <c r="H19" s="617"/>
      <c r="I19" s="662" t="s">
        <v>497</v>
      </c>
      <c r="J19" s="635" t="s">
        <v>183</v>
      </c>
      <c r="K19" s="672"/>
      <c r="L19" s="616"/>
      <c r="M19" s="673" t="s">
        <v>184</v>
      </c>
      <c r="N19" s="616"/>
      <c r="O19" s="616"/>
      <c r="P19" s="616"/>
      <c r="Q19" s="616"/>
      <c r="R19" s="616"/>
      <c r="S19" s="616"/>
      <c r="T19" s="616"/>
      <c r="U19" s="616"/>
      <c r="V19" s="616"/>
      <c r="W19" s="616"/>
      <c r="X19" s="616"/>
    </row>
    <row r="20" spans="1:24" x14ac:dyDescent="0.45">
      <c r="A20" s="617"/>
      <c r="B20" s="636" t="s">
        <v>176</v>
      </c>
      <c r="C20" s="663">
        <f t="shared" ref="C20:D22" ca="1" si="0">+C10</f>
        <v>1783566.8834470399</v>
      </c>
      <c r="D20" s="638">
        <f t="shared" ca="1" si="0"/>
        <v>15</v>
      </c>
      <c r="E20" s="639">
        <f ca="1">1*1/+((1+'Trial Deposits Analysis'!G$5)^((D10-10)/2))</f>
        <v>0.95169890712867578</v>
      </c>
      <c r="F20" s="644">
        <f ca="1">+C10*E20</f>
        <v>1697418.6537674461</v>
      </c>
      <c r="G20" s="677"/>
      <c r="H20" s="617"/>
      <c r="I20" s="669">
        <f ca="1">+F20/'Trial Deposits Analysis'!$M$10</f>
        <v>3722.4093284373816</v>
      </c>
      <c r="J20" s="637">
        <f ca="1">OFFSET('Trial Dep. Projections Sumry'!$H$50,0,D10)</f>
        <v>-1341212.1823112925</v>
      </c>
      <c r="K20" s="672"/>
      <c r="L20" s="616"/>
      <c r="M20" s="672"/>
      <c r="N20" s="616"/>
      <c r="O20" s="616"/>
      <c r="P20" s="616"/>
      <c r="Q20" s="616"/>
      <c r="R20" s="616"/>
      <c r="S20" s="616"/>
      <c r="T20" s="616"/>
      <c r="U20" s="616"/>
      <c r="V20" s="616"/>
      <c r="W20" s="616"/>
      <c r="X20" s="616"/>
    </row>
    <row r="21" spans="1:24" x14ac:dyDescent="0.45">
      <c r="A21" s="617"/>
      <c r="B21" s="636" t="s">
        <v>177</v>
      </c>
      <c r="C21" s="663">
        <f t="shared" ca="1" si="0"/>
        <v>2417092.7118217242</v>
      </c>
      <c r="D21" s="638">
        <f t="shared" ca="1" si="0"/>
        <v>17</v>
      </c>
      <c r="E21" s="639">
        <f ca="1">1*1/+((1+'Trial Deposits Analysis'!G$5)^((D11-10)/2))</f>
        <v>0.93303814424379983</v>
      </c>
      <c r="F21" s="644">
        <f ca="1">+C11*E21</f>
        <v>2255239.6983033554</v>
      </c>
      <c r="G21" s="677"/>
      <c r="H21" s="617"/>
      <c r="I21" s="669">
        <f ca="1">+F21/'Trial Deposits Analysis'!$M$10</f>
        <v>4945.701092770516</v>
      </c>
      <c r="J21" s="637">
        <f ca="1">OFFSET('Trial Dep. Projections Sumry'!$H$50,0,D11)</f>
        <v>-1956866.8807600925</v>
      </c>
      <c r="K21" s="672"/>
      <c r="L21" s="616"/>
      <c r="M21" s="672"/>
      <c r="N21" s="616"/>
      <c r="O21" s="616"/>
      <c r="P21" s="616"/>
      <c r="Q21" s="616"/>
      <c r="R21" s="616"/>
      <c r="S21" s="616"/>
      <c r="T21" s="616"/>
      <c r="U21" s="616"/>
      <c r="V21" s="616"/>
      <c r="W21" s="616"/>
      <c r="X21" s="616"/>
    </row>
    <row r="22" spans="1:24" ht="16.149999999999999" thickBot="1" x14ac:dyDescent="0.55000000000000004">
      <c r="A22" s="617"/>
      <c r="B22" s="628" t="s">
        <v>178</v>
      </c>
      <c r="C22" s="668">
        <f t="shared" ca="1" si="0"/>
        <v>2417092.7118217242</v>
      </c>
      <c r="D22" s="630">
        <f t="shared" ca="1" si="0"/>
        <v>17</v>
      </c>
      <c r="E22" s="631">
        <f ca="1">1*1/+((1+'Trial Deposits Analysis'!G$5)^((D12-10)/2))</f>
        <v>0.93303814424379983</v>
      </c>
      <c r="F22" s="645">
        <f ca="1">+C12*E22</f>
        <v>2255239.6983033554</v>
      </c>
      <c r="G22" s="677"/>
      <c r="H22" s="617"/>
      <c r="I22" s="674">
        <f ca="1">+F22/'Trial Deposits Analysis'!$M$10</f>
        <v>4945.701092770516</v>
      </c>
      <c r="J22" s="629">
        <f ca="1">OFFSET('Trial Dep. Projections Sumry'!$H$50,0,D12)</f>
        <v>-1956866.8807600925</v>
      </c>
      <c r="K22" s="672"/>
      <c r="L22" s="616"/>
      <c r="M22" s="672"/>
      <c r="N22" s="616"/>
      <c r="O22" s="656"/>
      <c r="P22" s="616"/>
      <c r="Q22" s="616"/>
      <c r="R22" s="616"/>
      <c r="S22" s="616"/>
      <c r="T22" s="616"/>
      <c r="U22" s="616"/>
      <c r="V22" s="616"/>
      <c r="W22" s="616"/>
      <c r="X22" s="616"/>
    </row>
    <row r="23" spans="1:24" ht="18.399999999999999" thickBot="1" x14ac:dyDescent="0.6">
      <c r="A23" s="616"/>
      <c r="B23" s="617"/>
      <c r="C23" s="617"/>
      <c r="D23" s="617"/>
      <c r="E23" s="617"/>
      <c r="F23" s="617"/>
      <c r="G23" s="616"/>
      <c r="H23" s="616"/>
      <c r="I23" s="616"/>
      <c r="J23" s="616"/>
      <c r="K23" s="616"/>
      <c r="L23" s="653" t="s">
        <v>515</v>
      </c>
      <c r="M23" s="650">
        <v>0</v>
      </c>
      <c r="N23" s="616"/>
      <c r="O23" s="1142" t="s">
        <v>185</v>
      </c>
      <c r="P23" s="1143"/>
      <c r="Q23" s="1143"/>
      <c r="R23" s="657">
        <f ca="1">OFFSET('Trial Dep. Projections Sumry'!$H$50,0,20)</f>
        <v>-1502517.4942402157</v>
      </c>
      <c r="S23" s="616"/>
      <c r="T23" s="616"/>
      <c r="U23" s="616"/>
      <c r="V23" s="616"/>
      <c r="W23" s="616"/>
      <c r="X23" s="616"/>
    </row>
    <row r="24" spans="1:24" x14ac:dyDescent="0.45">
      <c r="A24" s="616"/>
      <c r="B24" s="621"/>
      <c r="C24" s="617"/>
      <c r="D24" s="617"/>
      <c r="E24" s="617"/>
      <c r="F24" s="616"/>
      <c r="G24" s="622"/>
      <c r="H24" s="616"/>
      <c r="I24" s="616"/>
      <c r="J24" s="617"/>
      <c r="K24" s="616"/>
      <c r="L24" s="619"/>
      <c r="M24" s="619"/>
      <c r="N24" s="616"/>
      <c r="O24" s="616"/>
      <c r="P24" s="616"/>
      <c r="Q24" s="616"/>
      <c r="R24" s="616"/>
      <c r="S24" s="616"/>
      <c r="T24" s="616"/>
      <c r="U24" s="616"/>
      <c r="V24" s="616"/>
      <c r="W24" s="616"/>
      <c r="X24" s="616"/>
    </row>
    <row r="25" spans="1:24" x14ac:dyDescent="0.45">
      <c r="A25" s="616"/>
      <c r="B25" s="621"/>
      <c r="C25" s="617"/>
      <c r="D25" s="617"/>
      <c r="E25" s="617"/>
      <c r="F25" s="617"/>
      <c r="G25" s="651"/>
      <c r="H25" s="621"/>
      <c r="I25" s="621"/>
      <c r="J25" s="617"/>
      <c r="K25" s="616"/>
      <c r="L25" s="619"/>
      <c r="M25" s="619"/>
      <c r="N25" s="616"/>
      <c r="O25" s="616"/>
      <c r="P25" s="616"/>
      <c r="Q25" s="616"/>
      <c r="R25" s="616"/>
      <c r="S25" s="616"/>
      <c r="T25" s="616"/>
      <c r="U25" s="616"/>
      <c r="V25" s="616"/>
      <c r="W25" s="616"/>
      <c r="X25" s="616"/>
    </row>
    <row r="26" spans="1:24" x14ac:dyDescent="0.45">
      <c r="A26" s="617"/>
      <c r="B26" s="1144" t="s">
        <v>498</v>
      </c>
      <c r="C26" s="1144"/>
      <c r="D26" s="1144"/>
      <c r="E26" s="1144"/>
      <c r="F26" s="1144"/>
      <c r="G26" s="1144"/>
      <c r="H26" s="683"/>
      <c r="I26" s="1144" t="s">
        <v>166</v>
      </c>
      <c r="J26" s="1144"/>
      <c r="K26" s="1144"/>
      <c r="L26" s="1144"/>
      <c r="M26" s="1144"/>
      <c r="N26" s="618"/>
      <c r="O26" s="618"/>
      <c r="P26" s="616"/>
      <c r="Q26" s="616"/>
      <c r="R26" s="616"/>
      <c r="S26" s="616"/>
      <c r="T26" s="616"/>
      <c r="U26" s="616"/>
      <c r="V26" s="616"/>
      <c r="W26" s="616"/>
      <c r="X26" s="616"/>
    </row>
    <row r="27" spans="1:24" x14ac:dyDescent="0.45">
      <c r="A27" s="617"/>
      <c r="B27" s="626" t="s">
        <v>499</v>
      </c>
      <c r="C27" s="660">
        <v>1</v>
      </c>
      <c r="D27" s="627">
        <v>2</v>
      </c>
      <c r="E27" s="660">
        <v>3</v>
      </c>
      <c r="F27" s="627">
        <v>4</v>
      </c>
      <c r="G27" s="660">
        <v>5</v>
      </c>
      <c r="H27" s="617"/>
      <c r="I27" s="660">
        <v>6</v>
      </c>
      <c r="J27" s="627">
        <v>7</v>
      </c>
      <c r="K27" s="660">
        <v>8</v>
      </c>
      <c r="L27" s="616"/>
      <c r="M27" s="673"/>
      <c r="N27" s="618"/>
      <c r="O27" s="618"/>
      <c r="P27" s="616"/>
      <c r="Q27" s="616"/>
      <c r="R27" s="616"/>
      <c r="S27" s="616"/>
      <c r="T27" s="616"/>
      <c r="U27" s="616"/>
      <c r="V27" s="616"/>
      <c r="W27" s="616"/>
      <c r="X27" s="616"/>
    </row>
    <row r="28" spans="1:24" x14ac:dyDescent="0.45">
      <c r="A28" s="617"/>
      <c r="B28" s="632" t="s">
        <v>500</v>
      </c>
      <c r="C28" s="667" t="s">
        <v>167</v>
      </c>
      <c r="D28" s="633" t="s">
        <v>167</v>
      </c>
      <c r="E28" s="661" t="s">
        <v>168</v>
      </c>
      <c r="F28" s="634" t="s">
        <v>540</v>
      </c>
      <c r="G28" s="661" t="s">
        <v>169</v>
      </c>
      <c r="H28" s="617"/>
      <c r="I28" s="678" t="s">
        <v>170</v>
      </c>
      <c r="J28" s="633" t="s">
        <v>171</v>
      </c>
      <c r="K28" s="667" t="s">
        <v>172</v>
      </c>
      <c r="L28" s="616"/>
      <c r="M28" s="673"/>
      <c r="N28" s="618"/>
      <c r="O28" s="618"/>
      <c r="P28" s="616"/>
      <c r="Q28" s="616"/>
      <c r="R28" s="616"/>
      <c r="S28" s="616"/>
      <c r="T28" s="616"/>
      <c r="U28" s="616"/>
      <c r="V28" s="616"/>
      <c r="W28" s="616"/>
      <c r="X28" s="616"/>
    </row>
    <row r="29" spans="1:24" ht="90" customHeight="1" x14ac:dyDescent="0.45">
      <c r="A29" s="617"/>
      <c r="B29" s="647" t="str">
        <f>+B19</f>
        <v>Period for Adjustment Analysis</v>
      </c>
      <c r="C29" s="675" t="s">
        <v>503</v>
      </c>
      <c r="D29" s="646" t="s">
        <v>181</v>
      </c>
      <c r="E29" s="675" t="s">
        <v>506</v>
      </c>
      <c r="F29" s="646" t="s">
        <v>501</v>
      </c>
      <c r="G29" s="662" t="s">
        <v>530</v>
      </c>
      <c r="H29" s="617"/>
      <c r="I29" s="662" t="s">
        <v>511</v>
      </c>
      <c r="J29" s="635" t="s">
        <v>512</v>
      </c>
      <c r="K29" s="662" t="s">
        <v>513</v>
      </c>
      <c r="L29" s="616"/>
      <c r="M29" s="673" t="s">
        <v>186</v>
      </c>
      <c r="N29" s="616"/>
      <c r="O29" s="616"/>
      <c r="P29" s="616"/>
      <c r="Q29" s="616"/>
      <c r="R29" s="616"/>
      <c r="S29" s="616"/>
      <c r="T29" s="616"/>
      <c r="U29" s="616"/>
      <c r="V29" s="616"/>
      <c r="W29" s="616"/>
      <c r="X29" s="616"/>
    </row>
    <row r="30" spans="1:24" x14ac:dyDescent="0.45">
      <c r="A30" s="617"/>
      <c r="B30" s="636" t="str">
        <f>+B20</f>
        <v>Relative Years 11-15</v>
      </c>
      <c r="C30" s="663">
        <f t="shared" ref="C30:D32" ca="1" si="1">+C10</f>
        <v>1783566.8834470399</v>
      </c>
      <c r="D30" s="638">
        <f t="shared" ca="1" si="1"/>
        <v>15</v>
      </c>
      <c r="E30" s="663">
        <f ca="1">+(C30/(D30-10))/'Trial Deposits Analysis'!$M$10</f>
        <v>782.26617695045604</v>
      </c>
      <c r="F30" s="639">
        <f ca="1">1/(((1+'Trial Deposits Analysis'!G$5)^((D30-10)*0.5)))</f>
        <v>0.95169890712867578</v>
      </c>
      <c r="G30" s="665">
        <f ca="1">+E30*F30</f>
        <v>744.48186568747633</v>
      </c>
      <c r="H30" s="617"/>
      <c r="I30" s="669">
        <f ca="1">+'Trial Dep. Projections Sumry'!R37/'Trial Deposits Analysis'!$M$10</f>
        <v>664.47146815400504</v>
      </c>
      <c r="J30" s="649">
        <f ca="1">+G30+I30</f>
        <v>1408.9533338414813</v>
      </c>
      <c r="K30" s="679">
        <f ca="1">+J30/I30</f>
        <v>2.1204120889580875</v>
      </c>
      <c r="L30" s="616"/>
      <c r="M30" s="672"/>
      <c r="N30" s="616"/>
      <c r="O30" s="616"/>
      <c r="P30" s="616"/>
      <c r="Q30" s="616"/>
      <c r="R30" s="616"/>
      <c r="S30" s="616"/>
      <c r="T30" s="616"/>
      <c r="U30" s="616"/>
      <c r="V30" s="616"/>
      <c r="W30" s="616"/>
      <c r="X30" s="616"/>
    </row>
    <row r="31" spans="1:24" x14ac:dyDescent="0.45">
      <c r="A31" s="617"/>
      <c r="B31" s="636" t="str">
        <f>+B21</f>
        <v>Relative Years 11-19</v>
      </c>
      <c r="C31" s="663">
        <f t="shared" ca="1" si="1"/>
        <v>2417092.7118217242</v>
      </c>
      <c r="D31" s="638">
        <f t="shared" ca="1" si="1"/>
        <v>17</v>
      </c>
      <c r="E31" s="663">
        <f ca="1">+(C31/(D31-10))/'Trial Deposits Analysis'!$M$10</f>
        <v>757.2345588413923</v>
      </c>
      <c r="F31" s="639">
        <f ca="1">1/(((1+'Trial Deposits Analysis'!G$5)^((D31-10)*0.5)))</f>
        <v>0.93303814424379983</v>
      </c>
      <c r="G31" s="665">
        <f ca="1">+E31*F31</f>
        <v>706.52872753864517</v>
      </c>
      <c r="H31" s="617"/>
      <c r="I31" s="669">
        <f ca="1">+I30</f>
        <v>664.47146815400504</v>
      </c>
      <c r="J31" s="649">
        <f ca="1">+G31+I31</f>
        <v>1371.0001956926503</v>
      </c>
      <c r="K31" s="679">
        <f ca="1">+J31/I31</f>
        <v>2.063294304421349</v>
      </c>
      <c r="L31" s="616"/>
      <c r="M31" s="672"/>
      <c r="N31" s="616"/>
      <c r="O31" s="616"/>
      <c r="P31" s="616"/>
      <c r="Q31" s="616"/>
      <c r="R31" s="616"/>
      <c r="S31" s="616"/>
      <c r="T31" s="616"/>
      <c r="U31" s="616"/>
      <c r="V31" s="616"/>
      <c r="W31" s="616"/>
      <c r="X31" s="616"/>
    </row>
    <row r="32" spans="1:24" ht="14.65" thickBot="1" x14ac:dyDescent="0.5">
      <c r="A32" s="617"/>
      <c r="B32" s="628" t="str">
        <f>+B22</f>
        <v>Relative Years 11-20</v>
      </c>
      <c r="C32" s="668">
        <f t="shared" ca="1" si="1"/>
        <v>2417092.7118217242</v>
      </c>
      <c r="D32" s="630">
        <f t="shared" ca="1" si="1"/>
        <v>17</v>
      </c>
      <c r="E32" s="668">
        <f ca="1">+(C32/(D32-10))/'Trial Deposits Analysis'!$M$10</f>
        <v>757.2345588413923</v>
      </c>
      <c r="F32" s="631">
        <f ca="1">1/(((1+'Trial Deposits Analysis'!G$5)^((D32-10)*0.6)))</f>
        <v>0.9201937487500258</v>
      </c>
      <c r="G32" s="676">
        <f ca="1">+E32*F32</f>
        <v>696.8025073833328</v>
      </c>
      <c r="H32" s="617"/>
      <c r="I32" s="674">
        <f ca="1">+I31</f>
        <v>664.47146815400504</v>
      </c>
      <c r="J32" s="648">
        <f ca="1">+G32+I32</f>
        <v>1361.2739755373377</v>
      </c>
      <c r="K32" s="681">
        <f ca="1">+J32/I32</f>
        <v>2.0486567757666823</v>
      </c>
      <c r="L32" s="616"/>
      <c r="M32" s="672"/>
      <c r="N32" s="616"/>
      <c r="O32" s="616"/>
      <c r="P32" s="616"/>
      <c r="Q32" s="616"/>
      <c r="R32" s="616"/>
      <c r="S32" s="616"/>
      <c r="T32" s="616"/>
      <c r="U32" s="616"/>
      <c r="V32" s="616"/>
      <c r="W32" s="616"/>
      <c r="X32" s="616"/>
    </row>
    <row r="33" spans="1:24" ht="14.65" thickBot="1" x14ac:dyDescent="0.5">
      <c r="A33" s="617"/>
      <c r="B33" s="623"/>
      <c r="C33" s="617"/>
      <c r="D33" s="617"/>
      <c r="E33" s="617"/>
      <c r="F33" s="617"/>
      <c r="G33" s="617"/>
      <c r="H33" s="616"/>
      <c r="I33" s="616"/>
      <c r="J33" s="616"/>
      <c r="K33" s="616"/>
      <c r="L33" s="653" t="s">
        <v>516</v>
      </c>
      <c r="M33" s="650">
        <v>0</v>
      </c>
      <c r="N33" s="616"/>
      <c r="O33" s="616"/>
      <c r="P33" s="616"/>
      <c r="Q33" s="616"/>
      <c r="R33" s="616"/>
      <c r="S33" s="616"/>
      <c r="T33" s="616"/>
      <c r="U33" s="616"/>
      <c r="V33" s="616"/>
      <c r="W33" s="616"/>
      <c r="X33" s="616"/>
    </row>
    <row r="34" spans="1:24" x14ac:dyDescent="0.45">
      <c r="A34" s="616"/>
      <c r="B34" s="617"/>
      <c r="C34" s="616"/>
      <c r="D34" s="617"/>
      <c r="E34" s="617"/>
      <c r="F34" s="616"/>
      <c r="G34" s="616"/>
      <c r="H34" s="616"/>
      <c r="I34" s="616"/>
      <c r="J34" s="616"/>
      <c r="K34" s="616"/>
      <c r="L34" s="616"/>
      <c r="M34" s="616"/>
      <c r="N34" s="616"/>
      <c r="O34" s="616"/>
      <c r="P34" s="616"/>
      <c r="Q34" s="616"/>
      <c r="R34" s="616"/>
      <c r="S34" s="616"/>
      <c r="T34" s="616"/>
      <c r="U34" s="616"/>
      <c r="V34" s="616"/>
      <c r="W34" s="616"/>
      <c r="X34" s="616"/>
    </row>
    <row r="35" spans="1:24" x14ac:dyDescent="0.45">
      <c r="A35" s="616"/>
      <c r="B35" s="621"/>
      <c r="C35" s="616"/>
      <c r="D35" s="616"/>
      <c r="E35" s="616"/>
      <c r="F35" s="616"/>
      <c r="G35" s="616"/>
      <c r="H35" s="616"/>
      <c r="I35" s="616"/>
      <c r="J35" s="616"/>
      <c r="K35" s="616"/>
      <c r="L35" s="616"/>
      <c r="M35" s="616"/>
      <c r="N35" s="616"/>
      <c r="O35" s="616"/>
      <c r="P35" s="616"/>
      <c r="Q35" s="616"/>
      <c r="R35" s="616"/>
      <c r="S35" s="616"/>
      <c r="T35" s="616"/>
      <c r="U35" s="616"/>
      <c r="V35" s="616"/>
      <c r="W35" s="616"/>
      <c r="X35" s="616"/>
    </row>
    <row r="36" spans="1:24" x14ac:dyDescent="0.45">
      <c r="A36" s="616"/>
      <c r="B36" s="616"/>
      <c r="C36" s="616"/>
      <c r="D36" s="616"/>
      <c r="E36" s="616"/>
      <c r="F36" s="616"/>
      <c r="G36" s="616"/>
      <c r="H36" s="616"/>
      <c r="I36" s="616"/>
      <c r="J36" s="616"/>
      <c r="K36" s="616"/>
      <c r="L36" s="616"/>
      <c r="M36" s="616"/>
      <c r="N36" s="616"/>
      <c r="O36" s="616"/>
      <c r="P36" s="616"/>
      <c r="Q36" s="616"/>
      <c r="R36" s="616"/>
      <c r="S36" s="616"/>
      <c r="T36" s="616"/>
      <c r="U36" s="616"/>
      <c r="V36" s="616"/>
      <c r="W36" s="616"/>
      <c r="X36" s="616"/>
    </row>
  </sheetData>
  <sheetProtection algorithmName="SHA-512" hashValue="sjO6YNhqHy2Zp4BE5ccs/R4J69Co7buMUwhcrirscIlcUoYmGxErKN318F9EESOk0HNrjRBLUEG9Jjm05HOXCw==" saltValue="mQFr72D4XkrjKqhTHzhjPA==" spinCount="100000" sheet="1" objects="1" scenarios="1" selectLockedCells="1"/>
  <mergeCells count="10">
    <mergeCell ref="B26:G26"/>
    <mergeCell ref="I26:M26"/>
    <mergeCell ref="I16:M16"/>
    <mergeCell ref="I6:M6"/>
    <mergeCell ref="O23:Q23"/>
    <mergeCell ref="B16:G16"/>
    <mergeCell ref="B2:M2"/>
    <mergeCell ref="B3:M3"/>
    <mergeCell ref="B4:M4"/>
    <mergeCell ref="B6:G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sheetPr>
  <dimension ref="A1:J39"/>
  <sheetViews>
    <sheetView workbookViewId="0"/>
  </sheetViews>
  <sheetFormatPr defaultColWidth="9.06640625" defaultRowHeight="14.25" x14ac:dyDescent="0.45"/>
  <cols>
    <col min="1" max="1" width="9.06640625" style="207"/>
    <col min="2" max="2" width="19.06640625" style="207" customWidth="1"/>
    <col min="3" max="11" width="18.73046875" style="207" customWidth="1"/>
    <col min="12" max="16384" width="9.06640625" style="207"/>
  </cols>
  <sheetData>
    <row r="1" spans="1:10" ht="18" x14ac:dyDescent="0.55000000000000004">
      <c r="A1" s="595"/>
      <c r="B1" s="15"/>
      <c r="C1" s="15"/>
      <c r="D1" s="194"/>
      <c r="E1" s="6"/>
      <c r="F1" s="6"/>
      <c r="G1" s="6"/>
      <c r="H1" s="6"/>
      <c r="I1" s="6"/>
      <c r="J1" s="6"/>
    </row>
    <row r="2" spans="1:10" ht="18" x14ac:dyDescent="0.55000000000000004">
      <c r="A2" s="596"/>
      <c r="B2" s="16"/>
      <c r="C2" s="1154" t="s">
        <v>478</v>
      </c>
      <c r="D2" s="1154"/>
      <c r="E2" s="1154"/>
      <c r="F2" s="1154"/>
      <c r="G2" s="1154"/>
      <c r="H2" s="1154"/>
      <c r="I2" s="1154"/>
      <c r="J2" s="7"/>
    </row>
    <row r="3" spans="1:10" ht="18" x14ac:dyDescent="0.55000000000000004">
      <c r="A3" s="596"/>
      <c r="B3" s="16"/>
      <c r="C3" s="1155" t="s">
        <v>165</v>
      </c>
      <c r="D3" s="1155"/>
      <c r="E3" s="1155"/>
      <c r="F3" s="1155"/>
      <c r="G3" s="1155"/>
      <c r="H3" s="1155"/>
      <c r="I3" s="1155"/>
      <c r="J3" s="7"/>
    </row>
    <row r="4" spans="1:10" x14ac:dyDescent="0.45">
      <c r="A4" s="596"/>
      <c r="B4" s="7"/>
      <c r="C4" s="7"/>
      <c r="D4" s="7"/>
      <c r="E4" s="7"/>
      <c r="F4" s="7"/>
      <c r="G4" s="7"/>
      <c r="H4" s="7"/>
      <c r="I4" s="7"/>
      <c r="J4" s="7"/>
    </row>
    <row r="5" spans="1:10" ht="35.200000000000003" customHeight="1" x14ac:dyDescent="0.45">
      <c r="A5" s="596"/>
      <c r="B5" s="7"/>
      <c r="C5" s="7"/>
      <c r="D5" s="601" t="s">
        <v>187</v>
      </c>
      <c r="E5" s="601" t="s">
        <v>479</v>
      </c>
      <c r="F5" s="601" t="s">
        <v>188</v>
      </c>
      <c r="G5" s="601" t="s">
        <v>480</v>
      </c>
      <c r="H5" s="601" t="s">
        <v>189</v>
      </c>
      <c r="I5" s="10"/>
      <c r="J5" s="10"/>
    </row>
    <row r="6" spans="1:10" ht="27" customHeight="1" x14ac:dyDescent="0.45">
      <c r="A6" s="596"/>
      <c r="B6" s="7"/>
      <c r="C6" s="684" t="s">
        <v>190</v>
      </c>
      <c r="D6" s="685">
        <f>+'eTool Data Engine'!C21</f>
        <v>253536</v>
      </c>
      <c r="E6" s="685">
        <f>+SUM('Paste Financial Sched.'!B5:K5)/10</f>
        <v>277614.84600000002</v>
      </c>
      <c r="F6" s="685">
        <f>+'Paste Financial Sched.'!L5</f>
        <v>309058.96999999997</v>
      </c>
      <c r="G6" s="685">
        <f>+SUM('Paste Financial Sched.'!L5:U5)/+COUNTIF('Paste Financial Sched.'!L5:U5,"&gt;0")</f>
        <v>338410.95</v>
      </c>
      <c r="H6" s="685">
        <f ca="1">+OFFSET('Paste Financial Sched.'!A5,0,COUNTIF('Paste Financial Sched.'!B5:U5,"&gt;0"))</f>
        <v>369354.08</v>
      </c>
      <c r="I6" s="8"/>
      <c r="J6" s="8"/>
    </row>
    <row r="7" spans="1:10" ht="27" customHeight="1" x14ac:dyDescent="0.45">
      <c r="A7" s="596"/>
      <c r="B7" s="7"/>
      <c r="C7" s="615" t="s">
        <v>191</v>
      </c>
      <c r="D7" s="614">
        <f>+'eTool Data Engine'!C22</f>
        <v>556</v>
      </c>
      <c r="E7" s="614">
        <f>+E6/'eTool Data Engine'!$C$23</f>
        <v>608.80448684210535</v>
      </c>
      <c r="F7" s="614">
        <f>+F6/'eTool Data Engine'!$C$23</f>
        <v>677.7608991228069</v>
      </c>
      <c r="G7" s="614">
        <f>+G6/'eTool Data Engine'!$C$23</f>
        <v>742.12927631578953</v>
      </c>
      <c r="H7" s="614">
        <f ca="1">+H6/'eTool Data Engine'!$C$23</f>
        <v>809.98701754385968</v>
      </c>
      <c r="I7" s="8"/>
      <c r="J7" s="8"/>
    </row>
    <row r="8" spans="1:10" ht="27" customHeight="1" x14ac:dyDescent="0.45">
      <c r="A8" s="596"/>
      <c r="B8" s="7"/>
      <c r="C8" s="684" t="s">
        <v>192</v>
      </c>
      <c r="D8" s="686"/>
      <c r="E8" s="687">
        <f>+E7/$D$7</f>
        <v>1.0949720986368801</v>
      </c>
      <c r="F8" s="687">
        <f>+F7/$D$7</f>
        <v>1.2189944228827463</v>
      </c>
      <c r="G8" s="687">
        <f>+G7/$D$7</f>
        <v>1.3347648854600531</v>
      </c>
      <c r="H8" s="687">
        <f ca="1">+H7/$D$7</f>
        <v>1.4568111826328412</v>
      </c>
      <c r="I8" s="11"/>
      <c r="J8" s="11"/>
    </row>
    <row r="9" spans="1:10" x14ac:dyDescent="0.45">
      <c r="A9" s="596"/>
      <c r="B9" s="7"/>
      <c r="C9" s="603"/>
      <c r="D9" s="604"/>
      <c r="E9" s="605"/>
      <c r="F9" s="605"/>
      <c r="G9" s="605"/>
      <c r="H9" s="604"/>
      <c r="I9" s="604"/>
      <c r="J9" s="7"/>
    </row>
    <row r="10" spans="1:10" x14ac:dyDescent="0.45">
      <c r="A10" s="596"/>
      <c r="B10" s="7"/>
      <c r="C10" s="7"/>
      <c r="D10" s="7"/>
      <c r="E10" s="7"/>
      <c r="F10" s="7"/>
      <c r="G10" s="7"/>
      <c r="H10" s="7"/>
      <c r="I10" s="7"/>
      <c r="J10" s="7"/>
    </row>
    <row r="11" spans="1:10" x14ac:dyDescent="0.45">
      <c r="A11" s="596"/>
      <c r="B11" s="7"/>
      <c r="C11" s="7"/>
      <c r="D11" s="7"/>
      <c r="E11" s="14" t="s">
        <v>483</v>
      </c>
      <c r="F11" s="602">
        <f>+D7</f>
        <v>556</v>
      </c>
      <c r="G11" s="7"/>
      <c r="H11" s="7"/>
      <c r="I11" s="7"/>
      <c r="J11" s="7"/>
    </row>
    <row r="12" spans="1:10" x14ac:dyDescent="0.45">
      <c r="A12" s="596"/>
      <c r="B12" s="7"/>
      <c r="C12" s="7"/>
      <c r="D12" s="7"/>
      <c r="E12" s="14" t="s">
        <v>482</v>
      </c>
      <c r="F12" s="606">
        <v>0</v>
      </c>
      <c r="G12" s="7"/>
      <c r="H12" s="7"/>
      <c r="I12" s="7"/>
      <c r="J12" s="7"/>
    </row>
    <row r="13" spans="1:10" x14ac:dyDescent="0.45">
      <c r="A13" s="596"/>
      <c r="B13" s="7"/>
      <c r="C13" s="7"/>
      <c r="D13" s="7"/>
      <c r="E13" s="14" t="s">
        <v>193</v>
      </c>
      <c r="F13" s="602">
        <f>+F11+F12</f>
        <v>556</v>
      </c>
      <c r="G13" s="7"/>
      <c r="H13" s="7"/>
      <c r="I13" s="7"/>
      <c r="J13" s="7"/>
    </row>
    <row r="14" spans="1:10" x14ac:dyDescent="0.45">
      <c r="B14" s="600"/>
      <c r="C14" s="604"/>
      <c r="D14" s="604"/>
      <c r="E14" s="604"/>
      <c r="F14" s="604"/>
      <c r="G14" s="604"/>
      <c r="H14" s="604"/>
      <c r="I14" s="604"/>
      <c r="J14" s="600"/>
    </row>
    <row r="15" spans="1:10" ht="50.2" customHeight="1" x14ac:dyDescent="0.45">
      <c r="A15" s="596"/>
      <c r="B15" s="7"/>
      <c r="C15" s="607" t="s">
        <v>194</v>
      </c>
      <c r="D15" s="608" t="s">
        <v>195</v>
      </c>
      <c r="E15" s="608" t="s">
        <v>196</v>
      </c>
      <c r="F15" s="608" t="s">
        <v>484</v>
      </c>
      <c r="G15" s="608" t="s">
        <v>197</v>
      </c>
      <c r="H15" s="608" t="s">
        <v>541</v>
      </c>
      <c r="I15" s="608" t="s">
        <v>542</v>
      </c>
      <c r="J15" s="600"/>
    </row>
    <row r="16" spans="1:10" x14ac:dyDescent="0.45">
      <c r="A16" s="596"/>
      <c r="B16" s="7"/>
      <c r="C16" s="688">
        <v>1.1000000000000001</v>
      </c>
      <c r="D16" s="689">
        <f t="shared" ref="D16:D21" si="0">+$D$37</f>
        <v>2166.6414844806245</v>
      </c>
      <c r="E16" s="689">
        <f t="shared" ref="E16:E21" si="1">+C16*D16</f>
        <v>2383.3056329286874</v>
      </c>
      <c r="F16" s="690">
        <f>+F12</f>
        <v>0</v>
      </c>
      <c r="G16" s="689">
        <f t="shared" ref="G16:G21" si="2">+E16-F16</f>
        <v>2383.3056329286874</v>
      </c>
      <c r="H16" s="691">
        <f t="shared" ref="H16:H21" si="3">+G16/D16</f>
        <v>1.1000000000000001</v>
      </c>
      <c r="I16" s="691">
        <f t="shared" ref="I16:I21" si="4">+C16-H16</f>
        <v>0</v>
      </c>
      <c r="J16" s="600"/>
    </row>
    <row r="17" spans="1:10" x14ac:dyDescent="0.45">
      <c r="A17" s="596"/>
      <c r="B17" s="7"/>
      <c r="C17" s="11">
        <v>1.1499999999999999</v>
      </c>
      <c r="D17" s="13">
        <f t="shared" si="0"/>
        <v>2166.6414844806245</v>
      </c>
      <c r="E17" s="13">
        <f t="shared" si="1"/>
        <v>2491.6377071527181</v>
      </c>
      <c r="F17" s="17">
        <f>+F12</f>
        <v>0</v>
      </c>
      <c r="G17" s="13">
        <f t="shared" si="2"/>
        <v>2491.6377071527181</v>
      </c>
      <c r="H17" s="599">
        <f t="shared" si="3"/>
        <v>1.1499999999999999</v>
      </c>
      <c r="I17" s="599">
        <f t="shared" si="4"/>
        <v>0</v>
      </c>
      <c r="J17" s="600"/>
    </row>
    <row r="18" spans="1:10" x14ac:dyDescent="0.45">
      <c r="A18" s="596"/>
      <c r="B18" s="7"/>
      <c r="C18" s="688">
        <v>1.2</v>
      </c>
      <c r="D18" s="689">
        <f t="shared" si="0"/>
        <v>2166.6414844806245</v>
      </c>
      <c r="E18" s="689">
        <f t="shared" si="1"/>
        <v>2599.9697813767493</v>
      </c>
      <c r="F18" s="690">
        <f>+F12</f>
        <v>0</v>
      </c>
      <c r="G18" s="689">
        <f t="shared" si="2"/>
        <v>2599.9697813767493</v>
      </c>
      <c r="H18" s="691">
        <f t="shared" si="3"/>
        <v>1.2</v>
      </c>
      <c r="I18" s="691">
        <f t="shared" si="4"/>
        <v>0</v>
      </c>
      <c r="J18" s="600"/>
    </row>
    <row r="19" spans="1:10" x14ac:dyDescent="0.45">
      <c r="A19" s="596"/>
      <c r="B19" s="7"/>
      <c r="C19" s="11">
        <v>1.25</v>
      </c>
      <c r="D19" s="13">
        <f t="shared" si="0"/>
        <v>2166.6414844806245</v>
      </c>
      <c r="E19" s="13">
        <f t="shared" si="1"/>
        <v>2708.3018556007805</v>
      </c>
      <c r="F19" s="17">
        <f>+F12</f>
        <v>0</v>
      </c>
      <c r="G19" s="13">
        <f t="shared" si="2"/>
        <v>2708.3018556007805</v>
      </c>
      <c r="H19" s="599">
        <f t="shared" si="3"/>
        <v>1.25</v>
      </c>
      <c r="I19" s="599">
        <f t="shared" si="4"/>
        <v>0</v>
      </c>
      <c r="J19" s="600"/>
    </row>
    <row r="20" spans="1:10" x14ac:dyDescent="0.45">
      <c r="A20" s="596"/>
      <c r="B20" s="7"/>
      <c r="C20" s="688">
        <v>1.5</v>
      </c>
      <c r="D20" s="689">
        <f t="shared" si="0"/>
        <v>2166.6414844806245</v>
      </c>
      <c r="E20" s="689">
        <f t="shared" si="1"/>
        <v>3249.962226720937</v>
      </c>
      <c r="F20" s="690">
        <f>+F12</f>
        <v>0</v>
      </c>
      <c r="G20" s="689">
        <f t="shared" si="2"/>
        <v>3249.962226720937</v>
      </c>
      <c r="H20" s="691">
        <f t="shared" si="3"/>
        <v>1.5</v>
      </c>
      <c r="I20" s="691">
        <f t="shared" si="4"/>
        <v>0</v>
      </c>
      <c r="J20" s="600"/>
    </row>
    <row r="21" spans="1:10" x14ac:dyDescent="0.45">
      <c r="A21" s="596"/>
      <c r="B21" s="7"/>
      <c r="C21" s="11">
        <v>2</v>
      </c>
      <c r="D21" s="13">
        <f t="shared" si="0"/>
        <v>2166.6414844806245</v>
      </c>
      <c r="E21" s="13">
        <f t="shared" si="1"/>
        <v>4333.282968961249</v>
      </c>
      <c r="F21" s="17">
        <f>+F12</f>
        <v>0</v>
      </c>
      <c r="G21" s="13">
        <f t="shared" si="2"/>
        <v>4333.282968961249</v>
      </c>
      <c r="H21" s="599">
        <f t="shared" si="3"/>
        <v>2</v>
      </c>
      <c r="I21" s="599">
        <f t="shared" si="4"/>
        <v>0</v>
      </c>
      <c r="J21" s="600"/>
    </row>
    <row r="22" spans="1:10" s="598" customFormat="1" x14ac:dyDescent="0.45">
      <c r="A22" s="596"/>
      <c r="B22" s="7"/>
      <c r="C22" s="604"/>
      <c r="D22" s="604"/>
      <c r="E22" s="604"/>
      <c r="F22" s="604"/>
      <c r="G22" s="604"/>
      <c r="H22" s="604"/>
      <c r="I22" s="609"/>
      <c r="J22" s="7"/>
    </row>
    <row r="23" spans="1:10" s="598" customFormat="1" ht="30" customHeight="1" x14ac:dyDescent="0.45">
      <c r="A23" s="597"/>
      <c r="B23" s="9"/>
      <c r="C23" s="1156" t="s">
        <v>198</v>
      </c>
      <c r="D23" s="1156"/>
      <c r="E23" s="9"/>
      <c r="F23" s="9"/>
      <c r="G23" s="9"/>
      <c r="H23" s="9"/>
      <c r="I23" s="9"/>
      <c r="J23" s="9"/>
    </row>
    <row r="24" spans="1:10" s="598" customFormat="1" x14ac:dyDescent="0.45">
      <c r="A24" s="597"/>
      <c r="B24" s="9"/>
      <c r="C24" s="692" t="s">
        <v>485</v>
      </c>
      <c r="D24" s="693">
        <f>+'Project Info Entry'!$C$12</f>
        <v>20000000</v>
      </c>
      <c r="E24" s="9"/>
      <c r="F24" s="9"/>
      <c r="G24" s="9"/>
      <c r="H24" s="9"/>
      <c r="I24" s="9"/>
      <c r="J24" s="9"/>
    </row>
    <row r="25" spans="1:10" s="598" customFormat="1" x14ac:dyDescent="0.45">
      <c r="A25" s="597"/>
      <c r="B25" s="9"/>
      <c r="C25" s="610" t="s">
        <v>486</v>
      </c>
      <c r="D25" s="611">
        <f>+'Project Info Entry'!$C$13</f>
        <v>2.5000000000000001E-2</v>
      </c>
      <c r="E25" s="9"/>
      <c r="F25" s="9"/>
      <c r="G25" s="9"/>
      <c r="H25" s="9"/>
      <c r="I25" s="9"/>
      <c r="J25" s="9"/>
    </row>
    <row r="26" spans="1:10" s="598" customFormat="1" x14ac:dyDescent="0.45">
      <c r="A26" s="597"/>
      <c r="B26" s="9"/>
      <c r="C26" s="692" t="s">
        <v>487</v>
      </c>
      <c r="D26" s="694">
        <f>+'Project Info Entry'!$C$14</f>
        <v>35</v>
      </c>
      <c r="E26" s="9"/>
      <c r="F26" s="9"/>
      <c r="G26" s="9"/>
      <c r="H26" s="9"/>
      <c r="I26" s="9"/>
      <c r="J26" s="9"/>
    </row>
    <row r="27" spans="1:10" s="598" customFormat="1" x14ac:dyDescent="0.45">
      <c r="A27" s="597"/>
      <c r="B27" s="9"/>
      <c r="C27" s="610" t="s">
        <v>488</v>
      </c>
      <c r="D27" s="612">
        <f>+PMT(D25/12,D26*12,-D24)</f>
        <v>71499.043076930408</v>
      </c>
      <c r="E27" s="9"/>
      <c r="F27" s="9"/>
      <c r="G27" s="9"/>
      <c r="H27" s="9"/>
      <c r="I27" s="9"/>
      <c r="J27" s="9"/>
    </row>
    <row r="28" spans="1:10" s="598" customFormat="1" ht="26.65" x14ac:dyDescent="0.45">
      <c r="A28" s="597"/>
      <c r="B28" s="9"/>
      <c r="C28" s="692" t="s">
        <v>489</v>
      </c>
      <c r="D28" s="695">
        <f>+D27*12</f>
        <v>857988.51692316495</v>
      </c>
      <c r="E28" s="9"/>
      <c r="F28" s="9"/>
      <c r="G28" s="9"/>
      <c r="H28" s="9"/>
      <c r="I28" s="9"/>
      <c r="J28" s="9"/>
    </row>
    <row r="29" spans="1:10" s="598" customFormat="1" x14ac:dyDescent="0.45">
      <c r="A29" s="597"/>
      <c r="B29" s="9"/>
      <c r="C29" s="610" t="s">
        <v>490</v>
      </c>
      <c r="D29" s="613">
        <f>+'eTool Data Engine'!C23</f>
        <v>456</v>
      </c>
      <c r="E29" s="9"/>
      <c r="F29" s="9"/>
      <c r="G29" s="9"/>
      <c r="H29" s="9"/>
      <c r="I29" s="9"/>
      <c r="J29" s="9"/>
    </row>
    <row r="30" spans="1:10" s="598" customFormat="1" ht="26.65" x14ac:dyDescent="0.45">
      <c r="A30" s="597"/>
      <c r="B30" s="9"/>
      <c r="C30" s="692" t="s">
        <v>491</v>
      </c>
      <c r="D30" s="695">
        <f>+D28/D29</f>
        <v>1881.5537651823793</v>
      </c>
      <c r="E30" s="9"/>
      <c r="F30" s="9"/>
      <c r="G30" s="9"/>
      <c r="H30" s="9"/>
      <c r="I30" s="9"/>
      <c r="J30" s="9"/>
    </row>
    <row r="31" spans="1:10" s="598" customFormat="1" x14ac:dyDescent="0.45">
      <c r="A31" s="597"/>
      <c r="B31" s="9"/>
      <c r="C31" s="610" t="s">
        <v>492</v>
      </c>
      <c r="D31" s="611">
        <f>+D28/D24</f>
        <v>4.2899425846158246E-2</v>
      </c>
      <c r="E31" s="9"/>
      <c r="F31" s="9"/>
      <c r="G31" s="9"/>
      <c r="H31" s="9"/>
      <c r="I31" s="9"/>
      <c r="J31" s="9"/>
    </row>
    <row r="32" spans="1:10" s="598" customFormat="1" x14ac:dyDescent="0.45">
      <c r="A32" s="597"/>
      <c r="B32" s="9"/>
      <c r="C32" s="696" t="s">
        <v>493</v>
      </c>
      <c r="D32" s="745">
        <v>6.4999999999999997E-3</v>
      </c>
      <c r="E32" s="9"/>
      <c r="F32" s="9"/>
      <c r="G32" s="9"/>
      <c r="H32" s="9"/>
      <c r="I32" s="9"/>
      <c r="J32" s="9"/>
    </row>
    <row r="33" spans="1:10" s="598" customFormat="1" ht="26.65" x14ac:dyDescent="0.45">
      <c r="A33" s="597"/>
      <c r="B33" s="9"/>
      <c r="C33" s="610" t="s">
        <v>200</v>
      </c>
      <c r="D33" s="611">
        <f>+D31+D32</f>
        <v>4.9399425846158244E-2</v>
      </c>
      <c r="E33" s="9"/>
      <c r="F33" s="9"/>
      <c r="G33" s="9"/>
      <c r="H33" s="9"/>
      <c r="I33" s="9"/>
      <c r="J33" s="9"/>
    </row>
    <row r="34" spans="1:10" s="598" customFormat="1" ht="26.65" x14ac:dyDescent="0.45">
      <c r="A34" s="597"/>
      <c r="B34" s="9"/>
      <c r="C34" s="692" t="s">
        <v>201</v>
      </c>
      <c r="D34" s="693">
        <f>+D24</f>
        <v>20000000</v>
      </c>
      <c r="E34" s="9"/>
      <c r="F34" s="9"/>
      <c r="G34" s="9"/>
      <c r="H34" s="9"/>
      <c r="I34" s="9"/>
      <c r="J34" s="9"/>
    </row>
    <row r="35" spans="1:10" s="598" customFormat="1" ht="26.65" x14ac:dyDescent="0.45">
      <c r="A35" s="597"/>
      <c r="B35" s="9"/>
      <c r="C35" s="610" t="s">
        <v>202</v>
      </c>
      <c r="D35" s="612">
        <f>+D33*D34</f>
        <v>987988.51692316483</v>
      </c>
      <c r="E35" s="9"/>
      <c r="F35" s="12"/>
      <c r="G35" s="9"/>
      <c r="H35" s="9"/>
      <c r="I35" s="9"/>
      <c r="J35" s="9"/>
    </row>
    <row r="36" spans="1:10" s="598" customFormat="1" x14ac:dyDescent="0.45">
      <c r="A36" s="597"/>
      <c r="B36" s="9"/>
      <c r="C36" s="692" t="s">
        <v>199</v>
      </c>
      <c r="D36" s="697">
        <f>+D29</f>
        <v>456</v>
      </c>
      <c r="E36" s="9"/>
      <c r="F36" s="18"/>
      <c r="G36" s="9"/>
      <c r="H36" s="9"/>
      <c r="I36" s="9"/>
      <c r="J36" s="9"/>
    </row>
    <row r="37" spans="1:10" ht="39.75" x14ac:dyDescent="0.45">
      <c r="A37" s="597"/>
      <c r="B37" s="9"/>
      <c r="C37" s="610" t="s">
        <v>543</v>
      </c>
      <c r="D37" s="612">
        <f>+D35/D36</f>
        <v>2166.6414844806245</v>
      </c>
      <c r="E37" s="9"/>
      <c r="F37" s="9"/>
      <c r="G37" s="9"/>
      <c r="H37" s="9"/>
      <c r="I37" s="9"/>
      <c r="J37" s="9"/>
    </row>
    <row r="38" spans="1:10" x14ac:dyDescent="0.45">
      <c r="A38" s="381"/>
      <c r="B38" s="7"/>
      <c r="C38" s="7"/>
      <c r="D38" s="7"/>
      <c r="E38" s="7"/>
      <c r="F38" s="7"/>
      <c r="G38" s="7"/>
      <c r="H38" s="7"/>
      <c r="I38" s="7"/>
      <c r="J38" s="7"/>
    </row>
    <row r="39" spans="1:10" x14ac:dyDescent="0.45">
      <c r="A39" s="381"/>
      <c r="B39" s="381"/>
      <c r="C39" s="381"/>
      <c r="D39" s="381"/>
      <c r="E39" s="381"/>
      <c r="F39" s="381"/>
      <c r="G39" s="381"/>
      <c r="H39" s="381"/>
      <c r="I39" s="381"/>
      <c r="J39" s="381"/>
    </row>
  </sheetData>
  <sheetProtection algorithmName="SHA-512" hashValue="Qy+XwQokBFipiBYxK8SGamrqCeEtAWqaicMMNTGojdZSePiXE//V/UjWOGCMitc/S0VllsuBfpfIj8Ko5NNWqQ==" saltValue="4G8HtnO3GPB9H5/4YCtqTg==" spinCount="100000" sheet="1" objects="1" scenarios="1" selectLockedCells="1"/>
  <mergeCells count="3">
    <mergeCell ref="C2:I2"/>
    <mergeCell ref="C3:I3"/>
    <mergeCell ref="C23:D23"/>
  </mergeCells>
  <pageMargins left="0.7" right="0.7" top="0.75" bottom="0.75" header="0.3" footer="0.3"/>
  <pageSetup orientation="portrait" r:id="rId1"/>
  <ignoredErrors>
    <ignoredError sqref="E6 G6"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42</vt:i4>
      </vt:variant>
    </vt:vector>
  </HeadingPairs>
  <TitlesOfParts>
    <vt:vector size="57" baseType="lpstr">
      <vt:lpstr>Instruction</vt:lpstr>
      <vt:lpstr>Paste Financial Sched.</vt:lpstr>
      <vt:lpstr>Project Info Entry</vt:lpstr>
      <vt:lpstr>eTool Data Results</vt:lpstr>
      <vt:lpstr>eTool Data Analysis</vt:lpstr>
      <vt:lpstr>Attachment-RfR Commt Lttr</vt:lpstr>
      <vt:lpstr>Trial Deposits Analysis</vt:lpstr>
      <vt:lpstr>Year 11+ Risk Analysis</vt:lpstr>
      <vt:lpstr>DSC Analysis</vt:lpstr>
      <vt:lpstr>Graphed Results Trial Deposits</vt:lpstr>
      <vt:lpstr>Version Changes</vt:lpstr>
      <vt:lpstr>eTool Data Engine</vt:lpstr>
      <vt:lpstr>Trial Deposits Engine</vt:lpstr>
      <vt:lpstr>Trial Dep. Projections Sumry</vt:lpstr>
      <vt:lpstr>Extra Worksheet</vt:lpstr>
      <vt:lpstr>'eTool Data Analysis'!Additional_eTool_data</vt:lpstr>
      <vt:lpstr>Additional_eTool_data</vt:lpstr>
      <vt:lpstr>Additional_eTool_vs._Trial_Dep_Anal</vt:lpstr>
      <vt:lpstr>'eTool Data Analysis'!Data_Entry__PROPERTY_INFORMATION</vt:lpstr>
      <vt:lpstr>Data_Entry__PROPERTY_INFORMATION</vt:lpstr>
      <vt:lpstr>'eTool Data Analysis'!e_Tool_data_RY_11__Violations</vt:lpstr>
      <vt:lpstr>e_Tool_data_RY_11__Violations</vt:lpstr>
      <vt:lpstr>'eTool Data Analysis'!eTool_data_Amort._Test_violations</vt:lpstr>
      <vt:lpstr>'eTool Data Results'!eTool_data_Amort._Test_violations</vt:lpstr>
      <vt:lpstr>'Trial Deposits Analysis'!eTool_data_Amort._Test_violations</vt:lpstr>
      <vt:lpstr>'eTool Data Analysis'!eTool_data_Req.Min._Bal._violations__Yr_1_10</vt:lpstr>
      <vt:lpstr>'eTool Data Results'!eTool_data_Req.Min._Bal._violations__Yr_1_10</vt:lpstr>
      <vt:lpstr>'Trial Deposits Analysis'!eTool_data_Req.Min._Bal._violations__Yr_1_10</vt:lpstr>
      <vt:lpstr>'eTool Data Analysis'!eTool_data_Req.Min._Bal._violations__Yr_11</vt:lpstr>
      <vt:lpstr>'eTool Data Results'!eTool_data_Req.Min._Bal._violations__Yr_11</vt:lpstr>
      <vt:lpstr>Factor_input_structuring_results</vt:lpstr>
      <vt:lpstr>Graphs</vt:lpstr>
      <vt:lpstr>Minimums_Analysis</vt:lpstr>
      <vt:lpstr>'eTool Data Analysis'!MORTGAGE_TERMS___AMORTIZATION_TEST_PERCENTAGE</vt:lpstr>
      <vt:lpstr>'eTool Data Results'!MORTGAGE_TERMS___AMORTIZATION_TEST_PERCENTAGE</vt:lpstr>
      <vt:lpstr>'Attachment-RfR Commt Lttr'!Print_Area</vt:lpstr>
      <vt:lpstr>'eTool Data Results'!Print_Area</vt:lpstr>
      <vt:lpstr>'Graphed Results Trial Deposits'!Print_Area</vt:lpstr>
      <vt:lpstr>'Trial Dep. Projections Sumry'!Print_Area</vt:lpstr>
      <vt:lpstr>'Trial Deposits Analysis'!Print_Area</vt:lpstr>
      <vt:lpstr>'Trial Deposits Engine'!Print_Area</vt:lpstr>
      <vt:lpstr>'Version Changes'!Print_Area</vt:lpstr>
      <vt:lpstr>'Trial Dep. Projections Sumry'!Print_Titles</vt:lpstr>
      <vt:lpstr>'Trial Deposits Engine'!Print_Titles</vt:lpstr>
      <vt:lpstr>'eTool Data Analysis'!RY11_eTool_Data_Analysis</vt:lpstr>
      <vt:lpstr>RY11_eTool_Data_Analysis</vt:lpstr>
      <vt:lpstr>'Trial Deposits Analysis'!Trail_dep_Req.Min._Bal._violations__Yr_11</vt:lpstr>
      <vt:lpstr>Trial_Dep_RMB_RY11_violations</vt:lpstr>
      <vt:lpstr>Uninflated_Needs_iinput</vt:lpstr>
      <vt:lpstr>Update_Information</vt:lpstr>
      <vt:lpstr>'Trial Deposits Analysis'!User_lnput_Amort._Test_violations</vt:lpstr>
      <vt:lpstr>User_lnput_Amort._Test_violations</vt:lpstr>
      <vt:lpstr>'Trial Deposits Analysis'!User_Trial_Input_Req.Min._Bal._violations__Yr_1_10</vt:lpstr>
      <vt:lpstr>User_Trial_Input_Req.Min._Bal._violations__Yr_1_10</vt:lpstr>
      <vt:lpstr>YES_NO</vt:lpstr>
      <vt:lpstr>Yr_1_to_10_eTool_data_status</vt:lpstr>
      <vt:lpstr>Yr_11_eTool_data_status</vt:lpstr>
    </vt:vector>
  </TitlesOfParts>
  <Manager/>
  <Company>Housing and Urban Development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 Bell</dc:creator>
  <cp:keywords/>
  <dc:description/>
  <cp:lastModifiedBy>Kevin Han</cp:lastModifiedBy>
  <cp:revision/>
  <cp:lastPrinted>2018-01-12T18:54:47Z</cp:lastPrinted>
  <dcterms:created xsi:type="dcterms:W3CDTF">2016-02-24T21:15:14Z</dcterms:created>
  <dcterms:modified xsi:type="dcterms:W3CDTF">2022-01-12T14:47:47Z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