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L\2019 PUBLISHED NOTICES\"/>
    </mc:Choice>
  </mc:AlternateContent>
  <xr:revisionPtr revIDLastSave="0" documentId="8_{D1095560-0990-42EA-AC25-7501F52AC26B}" xr6:coauthVersionLast="43" xr6:coauthVersionMax="43" xr10:uidLastSave="{00000000-0000-0000-0000-000000000000}"/>
  <bookViews>
    <workbookView xWindow="22932" yWindow="-108" windowWidth="23256" windowHeight="12576" firstSheet="4" activeTab="4" xr2:uid="{00000000-000D-0000-FFFF-FFFF00000000}"/>
  </bookViews>
  <sheets>
    <sheet name="Base Figures" sheetId="2" state="hidden" r:id="rId1"/>
    <sheet name="Multipliers" sheetId="3" state="hidden" r:id="rId2"/>
    <sheet name="TDCTRIBE" sheetId="1" state="hidden" r:id="rId3"/>
    <sheet name="Notice Printout (2)" sheetId="6" state="hidden" r:id="rId4"/>
    <sheet name="Notice Printout" sheetId="4" r:id="rId5"/>
    <sheet name="Sheet1" sheetId="5" r:id="rId6"/>
  </sheets>
  <definedNames>
    <definedName name="_xlnm._FilterDatabase" localSheetId="2" hidden="1">TDCTRIBE!$B$10:$W$618</definedName>
    <definedName name="_Regression_Int" localSheetId="4" hidden="1">1</definedName>
    <definedName name="_Regression_Int" localSheetId="3" hidden="1">1</definedName>
    <definedName name="_Regression_Int" localSheetId="2" hidden="1">1</definedName>
    <definedName name="_xlnm.Print_Area" localSheetId="0">'Base Figures'!$A$1:$O$46</definedName>
    <definedName name="_xlnm.Print_Area" localSheetId="1">Multipliers!$A$1:$D$397</definedName>
    <definedName name="_xlnm.Print_Area" localSheetId="4">'Notice Printout'!$A$1:$H$608</definedName>
    <definedName name="_xlnm.Print_Area" localSheetId="3">'Notice Printout (2)'!$A$1:$H$608</definedName>
    <definedName name="_xlnm.Print_Area" localSheetId="2">TDCTRIBE!$A$1:$AG$647</definedName>
    <definedName name="_xlnm.Print_Titles" localSheetId="4">'Notice Printout'!$1:$1</definedName>
    <definedName name="_xlnm.Print_Titles" localSheetId="3">'Notice Printout (2)'!$1:$1</definedName>
    <definedName name="_xlnm.Print_Titles" localSheetId="2">TDCTRIBE!$1:$10</definedName>
    <definedName name="SPSS" localSheetId="4">'Notice Printout'!$B$2:$C$615</definedName>
    <definedName name="SPSS" localSheetId="3">'Notice Printout (2)'!$B$2:$C$615</definedName>
    <definedName name="SPSS">TDCTRIBE!$B$11:$K$620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08" i="6" l="1"/>
  <c r="G608" i="6"/>
  <c r="F608" i="6"/>
  <c r="E608" i="6"/>
  <c r="D608" i="6"/>
  <c r="C608" i="6"/>
  <c r="B608" i="6"/>
  <c r="A608" i="6"/>
  <c r="H607" i="6"/>
  <c r="G607" i="6"/>
  <c r="F607" i="6"/>
  <c r="E607" i="6"/>
  <c r="D607" i="6"/>
  <c r="C607" i="6"/>
  <c r="B607" i="6"/>
  <c r="A607" i="6"/>
  <c r="H606" i="6"/>
  <c r="G606" i="6"/>
  <c r="F606" i="6"/>
  <c r="E606" i="6"/>
  <c r="D606" i="6"/>
  <c r="C606" i="6"/>
  <c r="B606" i="6"/>
  <c r="A606" i="6"/>
  <c r="H605" i="6"/>
  <c r="G605" i="6"/>
  <c r="F605" i="6"/>
  <c r="E605" i="6"/>
  <c r="D605" i="6"/>
  <c r="C605" i="6"/>
  <c r="B605" i="6"/>
  <c r="A605" i="6"/>
  <c r="H604" i="6"/>
  <c r="G604" i="6"/>
  <c r="F604" i="6"/>
  <c r="E604" i="6"/>
  <c r="D604" i="6"/>
  <c r="C604" i="6"/>
  <c r="B604" i="6"/>
  <c r="A604" i="6"/>
  <c r="H603" i="6"/>
  <c r="G603" i="6"/>
  <c r="F603" i="6"/>
  <c r="E603" i="6"/>
  <c r="D603" i="6"/>
  <c r="C603" i="6"/>
  <c r="B603" i="6"/>
  <c r="A603" i="6"/>
  <c r="H602" i="6"/>
  <c r="G602" i="6"/>
  <c r="F602" i="6"/>
  <c r="E602" i="6"/>
  <c r="D602" i="6"/>
  <c r="C602" i="6"/>
  <c r="B602" i="6"/>
  <c r="A602" i="6"/>
  <c r="H601" i="6"/>
  <c r="G601" i="6"/>
  <c r="F601" i="6"/>
  <c r="E601" i="6"/>
  <c r="D601" i="6"/>
  <c r="C601" i="6"/>
  <c r="B601" i="6"/>
  <c r="A601" i="6"/>
  <c r="H600" i="6"/>
  <c r="G600" i="6"/>
  <c r="F600" i="6"/>
  <c r="E600" i="6"/>
  <c r="D600" i="6"/>
  <c r="C600" i="6"/>
  <c r="B600" i="6"/>
  <c r="A600" i="6"/>
  <c r="H599" i="6"/>
  <c r="G599" i="6"/>
  <c r="F599" i="6"/>
  <c r="E599" i="6"/>
  <c r="D599" i="6"/>
  <c r="C599" i="6"/>
  <c r="B599" i="6"/>
  <c r="A599" i="6"/>
  <c r="H598" i="6"/>
  <c r="G598" i="6"/>
  <c r="F598" i="6"/>
  <c r="E598" i="6"/>
  <c r="D598" i="6"/>
  <c r="C598" i="6"/>
  <c r="B598" i="6"/>
  <c r="A598" i="6"/>
  <c r="H597" i="6"/>
  <c r="G597" i="6"/>
  <c r="F597" i="6"/>
  <c r="E597" i="6"/>
  <c r="D597" i="6"/>
  <c r="C597" i="6"/>
  <c r="B597" i="6"/>
  <c r="A597" i="6"/>
  <c r="H596" i="6"/>
  <c r="G596" i="6"/>
  <c r="F596" i="6"/>
  <c r="E596" i="6"/>
  <c r="D596" i="6"/>
  <c r="C596" i="6"/>
  <c r="B596" i="6"/>
  <c r="A596" i="6"/>
  <c r="H595" i="6"/>
  <c r="G595" i="6"/>
  <c r="F595" i="6"/>
  <c r="E595" i="6"/>
  <c r="D595" i="6"/>
  <c r="C595" i="6"/>
  <c r="B595" i="6"/>
  <c r="A595" i="6"/>
  <c r="H594" i="6"/>
  <c r="G594" i="6"/>
  <c r="F594" i="6"/>
  <c r="E594" i="6"/>
  <c r="D594" i="6"/>
  <c r="C594" i="6"/>
  <c r="B594" i="6"/>
  <c r="A594" i="6"/>
  <c r="H593" i="6"/>
  <c r="G593" i="6"/>
  <c r="F593" i="6"/>
  <c r="E593" i="6"/>
  <c r="D593" i="6"/>
  <c r="C593" i="6"/>
  <c r="B593" i="6"/>
  <c r="A593" i="6"/>
  <c r="H592" i="6"/>
  <c r="G592" i="6"/>
  <c r="F592" i="6"/>
  <c r="E592" i="6"/>
  <c r="D592" i="6"/>
  <c r="C592" i="6"/>
  <c r="B592" i="6"/>
  <c r="A592" i="6"/>
  <c r="H591" i="6"/>
  <c r="G591" i="6"/>
  <c r="F591" i="6"/>
  <c r="E591" i="6"/>
  <c r="D591" i="6"/>
  <c r="C591" i="6"/>
  <c r="B591" i="6"/>
  <c r="A591" i="6"/>
  <c r="H590" i="6"/>
  <c r="G590" i="6"/>
  <c r="F590" i="6"/>
  <c r="E590" i="6"/>
  <c r="D590" i="6"/>
  <c r="C590" i="6"/>
  <c r="B590" i="6"/>
  <c r="A590" i="6"/>
  <c r="H589" i="6"/>
  <c r="G589" i="6"/>
  <c r="F589" i="6"/>
  <c r="E589" i="6"/>
  <c r="D589" i="6"/>
  <c r="C589" i="6"/>
  <c r="B589" i="6"/>
  <c r="A589" i="6"/>
  <c r="H588" i="6"/>
  <c r="G588" i="6"/>
  <c r="F588" i="6"/>
  <c r="E588" i="6"/>
  <c r="D588" i="6"/>
  <c r="C588" i="6"/>
  <c r="B588" i="6"/>
  <c r="A588" i="6"/>
  <c r="H587" i="6"/>
  <c r="G587" i="6"/>
  <c r="F587" i="6"/>
  <c r="E587" i="6"/>
  <c r="D587" i="6"/>
  <c r="C587" i="6"/>
  <c r="B587" i="6"/>
  <c r="A587" i="6"/>
  <c r="H586" i="6"/>
  <c r="G586" i="6"/>
  <c r="F586" i="6"/>
  <c r="E586" i="6"/>
  <c r="D586" i="6"/>
  <c r="C586" i="6"/>
  <c r="B586" i="6"/>
  <c r="A586" i="6"/>
  <c r="H585" i="6"/>
  <c r="G585" i="6"/>
  <c r="F585" i="6"/>
  <c r="E585" i="6"/>
  <c r="D585" i="6"/>
  <c r="C585" i="6"/>
  <c r="B585" i="6"/>
  <c r="A585" i="6"/>
  <c r="H584" i="6"/>
  <c r="G584" i="6"/>
  <c r="F584" i="6"/>
  <c r="E584" i="6"/>
  <c r="D584" i="6"/>
  <c r="C584" i="6"/>
  <c r="B584" i="6"/>
  <c r="A584" i="6"/>
  <c r="H583" i="6"/>
  <c r="G583" i="6"/>
  <c r="F583" i="6"/>
  <c r="E583" i="6"/>
  <c r="D583" i="6"/>
  <c r="C583" i="6"/>
  <c r="B583" i="6"/>
  <c r="A583" i="6"/>
  <c r="H582" i="6"/>
  <c r="G582" i="6"/>
  <c r="F582" i="6"/>
  <c r="E582" i="6"/>
  <c r="D582" i="6"/>
  <c r="C582" i="6"/>
  <c r="B582" i="6"/>
  <c r="A582" i="6"/>
  <c r="H581" i="6"/>
  <c r="G581" i="6"/>
  <c r="F581" i="6"/>
  <c r="E581" i="6"/>
  <c r="D581" i="6"/>
  <c r="C581" i="6"/>
  <c r="B581" i="6"/>
  <c r="A581" i="6"/>
  <c r="H580" i="6"/>
  <c r="G580" i="6"/>
  <c r="F580" i="6"/>
  <c r="E580" i="6"/>
  <c r="D580" i="6"/>
  <c r="C580" i="6"/>
  <c r="B580" i="6"/>
  <c r="A580" i="6"/>
  <c r="H579" i="6"/>
  <c r="G579" i="6"/>
  <c r="F579" i="6"/>
  <c r="E579" i="6"/>
  <c r="D579" i="6"/>
  <c r="C579" i="6"/>
  <c r="B579" i="6"/>
  <c r="A579" i="6"/>
  <c r="H578" i="6"/>
  <c r="G578" i="6"/>
  <c r="F578" i="6"/>
  <c r="E578" i="6"/>
  <c r="D578" i="6"/>
  <c r="C578" i="6"/>
  <c r="B578" i="6"/>
  <c r="A578" i="6"/>
  <c r="H577" i="6"/>
  <c r="G577" i="6"/>
  <c r="F577" i="6"/>
  <c r="E577" i="6"/>
  <c r="D577" i="6"/>
  <c r="C577" i="6"/>
  <c r="B577" i="6"/>
  <c r="A577" i="6"/>
  <c r="H576" i="6"/>
  <c r="G576" i="6"/>
  <c r="F576" i="6"/>
  <c r="E576" i="6"/>
  <c r="D576" i="6"/>
  <c r="C576" i="6"/>
  <c r="B576" i="6"/>
  <c r="A576" i="6"/>
  <c r="H575" i="6"/>
  <c r="G575" i="6"/>
  <c r="F575" i="6"/>
  <c r="E575" i="6"/>
  <c r="D575" i="6"/>
  <c r="C575" i="6"/>
  <c r="B575" i="6"/>
  <c r="A575" i="6"/>
  <c r="H574" i="6"/>
  <c r="G574" i="6"/>
  <c r="F574" i="6"/>
  <c r="E574" i="6"/>
  <c r="D574" i="6"/>
  <c r="C574" i="6"/>
  <c r="B574" i="6"/>
  <c r="A574" i="6"/>
  <c r="H573" i="6"/>
  <c r="G573" i="6"/>
  <c r="F573" i="6"/>
  <c r="E573" i="6"/>
  <c r="D573" i="6"/>
  <c r="C573" i="6"/>
  <c r="B573" i="6"/>
  <c r="A573" i="6"/>
  <c r="H572" i="6"/>
  <c r="G572" i="6"/>
  <c r="F572" i="6"/>
  <c r="E572" i="6"/>
  <c r="D572" i="6"/>
  <c r="C572" i="6"/>
  <c r="B572" i="6"/>
  <c r="A572" i="6"/>
  <c r="H571" i="6"/>
  <c r="G571" i="6"/>
  <c r="F571" i="6"/>
  <c r="E571" i="6"/>
  <c r="D571" i="6"/>
  <c r="C571" i="6"/>
  <c r="B571" i="6"/>
  <c r="A571" i="6"/>
  <c r="H570" i="6"/>
  <c r="G570" i="6"/>
  <c r="F570" i="6"/>
  <c r="E570" i="6"/>
  <c r="D570" i="6"/>
  <c r="C570" i="6"/>
  <c r="B570" i="6"/>
  <c r="A570" i="6"/>
  <c r="H569" i="6"/>
  <c r="G569" i="6"/>
  <c r="F569" i="6"/>
  <c r="E569" i="6"/>
  <c r="D569" i="6"/>
  <c r="C569" i="6"/>
  <c r="B569" i="6"/>
  <c r="A569" i="6"/>
  <c r="H568" i="6"/>
  <c r="G568" i="6"/>
  <c r="F568" i="6"/>
  <c r="E568" i="6"/>
  <c r="D568" i="6"/>
  <c r="C568" i="6"/>
  <c r="B568" i="6"/>
  <c r="A568" i="6"/>
  <c r="H567" i="6"/>
  <c r="G567" i="6"/>
  <c r="F567" i="6"/>
  <c r="E567" i="6"/>
  <c r="D567" i="6"/>
  <c r="C567" i="6"/>
  <c r="B567" i="6"/>
  <c r="A567" i="6"/>
  <c r="H566" i="6"/>
  <c r="G566" i="6"/>
  <c r="F566" i="6"/>
  <c r="E566" i="6"/>
  <c r="D566" i="6"/>
  <c r="C566" i="6"/>
  <c r="B566" i="6"/>
  <c r="A566" i="6"/>
  <c r="H565" i="6"/>
  <c r="G565" i="6"/>
  <c r="F565" i="6"/>
  <c r="E565" i="6"/>
  <c r="D565" i="6"/>
  <c r="C565" i="6"/>
  <c r="B565" i="6"/>
  <c r="A565" i="6"/>
  <c r="H564" i="6"/>
  <c r="G564" i="6"/>
  <c r="F564" i="6"/>
  <c r="E564" i="6"/>
  <c r="D564" i="6"/>
  <c r="C564" i="6"/>
  <c r="B564" i="6"/>
  <c r="A564" i="6"/>
  <c r="H563" i="6"/>
  <c r="G563" i="6"/>
  <c r="F563" i="6"/>
  <c r="E563" i="6"/>
  <c r="D563" i="6"/>
  <c r="C563" i="6"/>
  <c r="B563" i="6"/>
  <c r="A563" i="6"/>
  <c r="H562" i="6"/>
  <c r="G562" i="6"/>
  <c r="F562" i="6"/>
  <c r="E562" i="6"/>
  <c r="D562" i="6"/>
  <c r="C562" i="6"/>
  <c r="B562" i="6"/>
  <c r="A562" i="6"/>
  <c r="H561" i="6"/>
  <c r="G561" i="6"/>
  <c r="F561" i="6"/>
  <c r="E561" i="6"/>
  <c r="D561" i="6"/>
  <c r="C561" i="6"/>
  <c r="B561" i="6"/>
  <c r="A561" i="6"/>
  <c r="H560" i="6"/>
  <c r="G560" i="6"/>
  <c r="F560" i="6"/>
  <c r="E560" i="6"/>
  <c r="D560" i="6"/>
  <c r="C560" i="6"/>
  <c r="B560" i="6"/>
  <c r="A560" i="6"/>
  <c r="H559" i="6"/>
  <c r="G559" i="6"/>
  <c r="F559" i="6"/>
  <c r="E559" i="6"/>
  <c r="D559" i="6"/>
  <c r="C559" i="6"/>
  <c r="H558" i="6"/>
  <c r="G558" i="6"/>
  <c r="F558" i="6"/>
  <c r="E558" i="6"/>
  <c r="D558" i="6"/>
  <c r="C558" i="6"/>
  <c r="B558" i="6"/>
  <c r="A558" i="6"/>
  <c r="H557" i="6"/>
  <c r="G557" i="6"/>
  <c r="F557" i="6"/>
  <c r="E557" i="6"/>
  <c r="D557" i="6"/>
  <c r="C557" i="6"/>
  <c r="B557" i="6"/>
  <c r="A557" i="6"/>
  <c r="H556" i="6"/>
  <c r="G556" i="6"/>
  <c r="F556" i="6"/>
  <c r="E556" i="6"/>
  <c r="D556" i="6"/>
  <c r="C556" i="6"/>
  <c r="B556" i="6"/>
  <c r="A556" i="6"/>
  <c r="H555" i="6"/>
  <c r="G555" i="6"/>
  <c r="F555" i="6"/>
  <c r="E555" i="6"/>
  <c r="D555" i="6"/>
  <c r="C555" i="6"/>
  <c r="B555" i="6"/>
  <c r="A555" i="6"/>
  <c r="H554" i="6"/>
  <c r="G554" i="6"/>
  <c r="F554" i="6"/>
  <c r="E554" i="6"/>
  <c r="D554" i="6"/>
  <c r="C554" i="6"/>
  <c r="B554" i="6"/>
  <c r="A554" i="6"/>
  <c r="H553" i="6"/>
  <c r="G553" i="6"/>
  <c r="F553" i="6"/>
  <c r="E553" i="6"/>
  <c r="D553" i="6"/>
  <c r="C553" i="6"/>
  <c r="B553" i="6"/>
  <c r="A553" i="6"/>
  <c r="H552" i="6"/>
  <c r="G552" i="6"/>
  <c r="F552" i="6"/>
  <c r="E552" i="6"/>
  <c r="D552" i="6"/>
  <c r="C552" i="6"/>
  <c r="B552" i="6"/>
  <c r="A552" i="6"/>
  <c r="H551" i="6"/>
  <c r="G551" i="6"/>
  <c r="F551" i="6"/>
  <c r="E551" i="6"/>
  <c r="D551" i="6"/>
  <c r="C551" i="6"/>
  <c r="B551" i="6"/>
  <c r="A551" i="6"/>
  <c r="H550" i="6"/>
  <c r="G550" i="6"/>
  <c r="F550" i="6"/>
  <c r="E550" i="6"/>
  <c r="D550" i="6"/>
  <c r="C550" i="6"/>
  <c r="B550" i="6"/>
  <c r="A550" i="6"/>
  <c r="H549" i="6"/>
  <c r="G549" i="6"/>
  <c r="F549" i="6"/>
  <c r="E549" i="6"/>
  <c r="D549" i="6"/>
  <c r="C549" i="6"/>
  <c r="B549" i="6"/>
  <c r="A549" i="6"/>
  <c r="H548" i="6"/>
  <c r="G548" i="6"/>
  <c r="F548" i="6"/>
  <c r="E548" i="6"/>
  <c r="D548" i="6"/>
  <c r="C548" i="6"/>
  <c r="B548" i="6"/>
  <c r="A548" i="6"/>
  <c r="H547" i="6"/>
  <c r="G547" i="6"/>
  <c r="F547" i="6"/>
  <c r="E547" i="6"/>
  <c r="D547" i="6"/>
  <c r="C547" i="6"/>
  <c r="B547" i="6"/>
  <c r="A547" i="6"/>
  <c r="H546" i="6"/>
  <c r="G546" i="6"/>
  <c r="F546" i="6"/>
  <c r="E546" i="6"/>
  <c r="D546" i="6"/>
  <c r="C546" i="6"/>
  <c r="B546" i="6"/>
  <c r="A546" i="6"/>
  <c r="H545" i="6"/>
  <c r="G545" i="6"/>
  <c r="F545" i="6"/>
  <c r="E545" i="6"/>
  <c r="D545" i="6"/>
  <c r="C545" i="6"/>
  <c r="B545" i="6"/>
  <c r="A545" i="6"/>
  <c r="H544" i="6"/>
  <c r="G544" i="6"/>
  <c r="F544" i="6"/>
  <c r="E544" i="6"/>
  <c r="D544" i="6"/>
  <c r="C544" i="6"/>
  <c r="B544" i="6"/>
  <c r="A544" i="6"/>
  <c r="H543" i="6"/>
  <c r="G543" i="6"/>
  <c r="F543" i="6"/>
  <c r="E543" i="6"/>
  <c r="D543" i="6"/>
  <c r="C543" i="6"/>
  <c r="B543" i="6"/>
  <c r="A543" i="6"/>
  <c r="H542" i="6"/>
  <c r="G542" i="6"/>
  <c r="F542" i="6"/>
  <c r="E542" i="6"/>
  <c r="D542" i="6"/>
  <c r="C542" i="6"/>
  <c r="B542" i="6"/>
  <c r="A542" i="6"/>
  <c r="H541" i="6"/>
  <c r="G541" i="6"/>
  <c r="F541" i="6"/>
  <c r="E541" i="6"/>
  <c r="D541" i="6"/>
  <c r="C541" i="6"/>
  <c r="B541" i="6"/>
  <c r="A541" i="6"/>
  <c r="H540" i="6"/>
  <c r="G540" i="6"/>
  <c r="F540" i="6"/>
  <c r="E540" i="6"/>
  <c r="D540" i="6"/>
  <c r="C540" i="6"/>
  <c r="B540" i="6"/>
  <c r="A540" i="6"/>
  <c r="H539" i="6"/>
  <c r="G539" i="6"/>
  <c r="F539" i="6"/>
  <c r="E539" i="6"/>
  <c r="D539" i="6"/>
  <c r="C539" i="6"/>
  <c r="B539" i="6"/>
  <c r="A539" i="6"/>
  <c r="H538" i="6"/>
  <c r="G538" i="6"/>
  <c r="F538" i="6"/>
  <c r="E538" i="6"/>
  <c r="D538" i="6"/>
  <c r="C538" i="6"/>
  <c r="B538" i="6"/>
  <c r="A538" i="6"/>
  <c r="H537" i="6"/>
  <c r="G537" i="6"/>
  <c r="F537" i="6"/>
  <c r="E537" i="6"/>
  <c r="D537" i="6"/>
  <c r="C537" i="6"/>
  <c r="B537" i="6"/>
  <c r="A537" i="6"/>
  <c r="H536" i="6"/>
  <c r="G536" i="6"/>
  <c r="F536" i="6"/>
  <c r="E536" i="6"/>
  <c r="D536" i="6"/>
  <c r="C536" i="6"/>
  <c r="B536" i="6"/>
  <c r="A536" i="6"/>
  <c r="H535" i="6"/>
  <c r="G535" i="6"/>
  <c r="F535" i="6"/>
  <c r="E535" i="6"/>
  <c r="D535" i="6"/>
  <c r="C535" i="6"/>
  <c r="B535" i="6"/>
  <c r="A535" i="6"/>
  <c r="H534" i="6"/>
  <c r="G534" i="6"/>
  <c r="F534" i="6"/>
  <c r="E534" i="6"/>
  <c r="D534" i="6"/>
  <c r="C534" i="6"/>
  <c r="B534" i="6"/>
  <c r="A534" i="6"/>
  <c r="H533" i="6"/>
  <c r="G533" i="6"/>
  <c r="F533" i="6"/>
  <c r="E533" i="6"/>
  <c r="D533" i="6"/>
  <c r="C533" i="6"/>
  <c r="B533" i="6"/>
  <c r="A533" i="6"/>
  <c r="H532" i="6"/>
  <c r="G532" i="6"/>
  <c r="F532" i="6"/>
  <c r="E532" i="6"/>
  <c r="D532" i="6"/>
  <c r="C532" i="6"/>
  <c r="B532" i="6"/>
  <c r="A532" i="6"/>
  <c r="H531" i="6"/>
  <c r="G531" i="6"/>
  <c r="F531" i="6"/>
  <c r="E531" i="6"/>
  <c r="D531" i="6"/>
  <c r="C531" i="6"/>
  <c r="B531" i="6"/>
  <c r="A531" i="6"/>
  <c r="H530" i="6"/>
  <c r="G530" i="6"/>
  <c r="F530" i="6"/>
  <c r="E530" i="6"/>
  <c r="D530" i="6"/>
  <c r="C530" i="6"/>
  <c r="B530" i="6"/>
  <c r="A530" i="6"/>
  <c r="H529" i="6"/>
  <c r="G529" i="6"/>
  <c r="F529" i="6"/>
  <c r="E529" i="6"/>
  <c r="D529" i="6"/>
  <c r="C529" i="6"/>
  <c r="B529" i="6"/>
  <c r="A529" i="6"/>
  <c r="H528" i="6"/>
  <c r="G528" i="6"/>
  <c r="F528" i="6"/>
  <c r="E528" i="6"/>
  <c r="D528" i="6"/>
  <c r="C528" i="6"/>
  <c r="B528" i="6"/>
  <c r="A528" i="6"/>
  <c r="H527" i="6"/>
  <c r="G527" i="6"/>
  <c r="F527" i="6"/>
  <c r="E527" i="6"/>
  <c r="D527" i="6"/>
  <c r="C527" i="6"/>
  <c r="B527" i="6"/>
  <c r="A527" i="6"/>
  <c r="H526" i="6"/>
  <c r="G526" i="6"/>
  <c r="F526" i="6"/>
  <c r="E526" i="6"/>
  <c r="D526" i="6"/>
  <c r="C526" i="6"/>
  <c r="B526" i="6"/>
  <c r="A526" i="6"/>
  <c r="H525" i="6"/>
  <c r="G525" i="6"/>
  <c r="F525" i="6"/>
  <c r="E525" i="6"/>
  <c r="D525" i="6"/>
  <c r="C525" i="6"/>
  <c r="B525" i="6"/>
  <c r="A525" i="6"/>
  <c r="H524" i="6"/>
  <c r="G524" i="6"/>
  <c r="F524" i="6"/>
  <c r="E524" i="6"/>
  <c r="D524" i="6"/>
  <c r="C524" i="6"/>
  <c r="B524" i="6"/>
  <c r="A524" i="6"/>
  <c r="H523" i="6"/>
  <c r="G523" i="6"/>
  <c r="F523" i="6"/>
  <c r="E523" i="6"/>
  <c r="D523" i="6"/>
  <c r="C523" i="6"/>
  <c r="B523" i="6"/>
  <c r="A523" i="6"/>
  <c r="H522" i="6"/>
  <c r="G522" i="6"/>
  <c r="F522" i="6"/>
  <c r="E522" i="6"/>
  <c r="D522" i="6"/>
  <c r="C522" i="6"/>
  <c r="B522" i="6"/>
  <c r="A522" i="6"/>
  <c r="H521" i="6"/>
  <c r="G521" i="6"/>
  <c r="F521" i="6"/>
  <c r="E521" i="6"/>
  <c r="D521" i="6"/>
  <c r="C521" i="6"/>
  <c r="B521" i="6"/>
  <c r="A521" i="6"/>
  <c r="H520" i="6"/>
  <c r="G520" i="6"/>
  <c r="F520" i="6"/>
  <c r="E520" i="6"/>
  <c r="D520" i="6"/>
  <c r="C520" i="6"/>
  <c r="B520" i="6"/>
  <c r="A520" i="6"/>
  <c r="H519" i="6"/>
  <c r="G519" i="6"/>
  <c r="F519" i="6"/>
  <c r="E519" i="6"/>
  <c r="D519" i="6"/>
  <c r="C519" i="6"/>
  <c r="B519" i="6"/>
  <c r="A519" i="6"/>
  <c r="H518" i="6"/>
  <c r="G518" i="6"/>
  <c r="F518" i="6"/>
  <c r="E518" i="6"/>
  <c r="D518" i="6"/>
  <c r="C518" i="6"/>
  <c r="B518" i="6"/>
  <c r="A518" i="6"/>
  <c r="H517" i="6"/>
  <c r="G517" i="6"/>
  <c r="F517" i="6"/>
  <c r="E517" i="6"/>
  <c r="D517" i="6"/>
  <c r="C517" i="6"/>
  <c r="B517" i="6"/>
  <c r="A517" i="6"/>
  <c r="H516" i="6"/>
  <c r="G516" i="6"/>
  <c r="F516" i="6"/>
  <c r="E516" i="6"/>
  <c r="D516" i="6"/>
  <c r="C516" i="6"/>
  <c r="B516" i="6"/>
  <c r="A516" i="6"/>
  <c r="H515" i="6"/>
  <c r="G515" i="6"/>
  <c r="F515" i="6"/>
  <c r="E515" i="6"/>
  <c r="D515" i="6"/>
  <c r="C515" i="6"/>
  <c r="B515" i="6"/>
  <c r="A515" i="6"/>
  <c r="H514" i="6"/>
  <c r="G514" i="6"/>
  <c r="F514" i="6"/>
  <c r="E514" i="6"/>
  <c r="D514" i="6"/>
  <c r="C514" i="6"/>
  <c r="B514" i="6"/>
  <c r="A514" i="6"/>
  <c r="H513" i="6"/>
  <c r="G513" i="6"/>
  <c r="F513" i="6"/>
  <c r="E513" i="6"/>
  <c r="D513" i="6"/>
  <c r="C513" i="6"/>
  <c r="B513" i="6"/>
  <c r="A513" i="6"/>
  <c r="H512" i="6"/>
  <c r="G512" i="6"/>
  <c r="F512" i="6"/>
  <c r="E512" i="6"/>
  <c r="D512" i="6"/>
  <c r="C512" i="6"/>
  <c r="B512" i="6"/>
  <c r="A512" i="6"/>
  <c r="H511" i="6"/>
  <c r="G511" i="6"/>
  <c r="F511" i="6"/>
  <c r="E511" i="6"/>
  <c r="D511" i="6"/>
  <c r="C511" i="6"/>
  <c r="B511" i="6"/>
  <c r="A511" i="6"/>
  <c r="H510" i="6"/>
  <c r="G510" i="6"/>
  <c r="F510" i="6"/>
  <c r="E510" i="6"/>
  <c r="D510" i="6"/>
  <c r="C510" i="6"/>
  <c r="B510" i="6"/>
  <c r="A510" i="6"/>
  <c r="H509" i="6"/>
  <c r="G509" i="6"/>
  <c r="F509" i="6"/>
  <c r="E509" i="6"/>
  <c r="D509" i="6"/>
  <c r="C509" i="6"/>
  <c r="B509" i="6"/>
  <c r="A509" i="6"/>
  <c r="H508" i="6"/>
  <c r="G508" i="6"/>
  <c r="F508" i="6"/>
  <c r="E508" i="6"/>
  <c r="D508" i="6"/>
  <c r="C508" i="6"/>
  <c r="B508" i="6"/>
  <c r="A508" i="6"/>
  <c r="H507" i="6"/>
  <c r="G507" i="6"/>
  <c r="F507" i="6"/>
  <c r="E507" i="6"/>
  <c r="D507" i="6"/>
  <c r="C507" i="6"/>
  <c r="B507" i="6"/>
  <c r="A507" i="6"/>
  <c r="H506" i="6"/>
  <c r="G506" i="6"/>
  <c r="F506" i="6"/>
  <c r="E506" i="6"/>
  <c r="D506" i="6"/>
  <c r="C506" i="6"/>
  <c r="B506" i="6"/>
  <c r="A506" i="6"/>
  <c r="H505" i="6"/>
  <c r="G505" i="6"/>
  <c r="F505" i="6"/>
  <c r="E505" i="6"/>
  <c r="D505" i="6"/>
  <c r="C505" i="6"/>
  <c r="B505" i="6"/>
  <c r="A505" i="6"/>
  <c r="H504" i="6"/>
  <c r="G504" i="6"/>
  <c r="F504" i="6"/>
  <c r="E504" i="6"/>
  <c r="D504" i="6"/>
  <c r="C504" i="6"/>
  <c r="B504" i="6"/>
  <c r="A504" i="6"/>
  <c r="H503" i="6"/>
  <c r="G503" i="6"/>
  <c r="F503" i="6"/>
  <c r="E503" i="6"/>
  <c r="D503" i="6"/>
  <c r="C503" i="6"/>
  <c r="B503" i="6"/>
  <c r="A503" i="6"/>
  <c r="H502" i="6"/>
  <c r="G502" i="6"/>
  <c r="F502" i="6"/>
  <c r="E502" i="6"/>
  <c r="D502" i="6"/>
  <c r="C502" i="6"/>
  <c r="B502" i="6"/>
  <c r="A502" i="6"/>
  <c r="H501" i="6"/>
  <c r="G501" i="6"/>
  <c r="F501" i="6"/>
  <c r="E501" i="6"/>
  <c r="D501" i="6"/>
  <c r="C501" i="6"/>
  <c r="B501" i="6"/>
  <c r="A501" i="6"/>
  <c r="H500" i="6"/>
  <c r="G500" i="6"/>
  <c r="F500" i="6"/>
  <c r="E500" i="6"/>
  <c r="D500" i="6"/>
  <c r="C500" i="6"/>
  <c r="B500" i="6"/>
  <c r="A500" i="6"/>
  <c r="H499" i="6"/>
  <c r="G499" i="6"/>
  <c r="F499" i="6"/>
  <c r="E499" i="6"/>
  <c r="D499" i="6"/>
  <c r="C499" i="6"/>
  <c r="B499" i="6"/>
  <c r="A499" i="6"/>
  <c r="H498" i="6"/>
  <c r="G498" i="6"/>
  <c r="F498" i="6"/>
  <c r="E498" i="6"/>
  <c r="D498" i="6"/>
  <c r="C498" i="6"/>
  <c r="B498" i="6"/>
  <c r="A498" i="6"/>
  <c r="H497" i="6"/>
  <c r="G497" i="6"/>
  <c r="F497" i="6"/>
  <c r="E497" i="6"/>
  <c r="D497" i="6"/>
  <c r="C497" i="6"/>
  <c r="B497" i="6"/>
  <c r="A497" i="6"/>
  <c r="H496" i="6"/>
  <c r="G496" i="6"/>
  <c r="F496" i="6"/>
  <c r="E496" i="6"/>
  <c r="D496" i="6"/>
  <c r="C496" i="6"/>
  <c r="B496" i="6"/>
  <c r="A496" i="6"/>
  <c r="H495" i="6"/>
  <c r="G495" i="6"/>
  <c r="F495" i="6"/>
  <c r="E495" i="6"/>
  <c r="D495" i="6"/>
  <c r="C495" i="6"/>
  <c r="B495" i="6"/>
  <c r="A495" i="6"/>
  <c r="H494" i="6"/>
  <c r="G494" i="6"/>
  <c r="F494" i="6"/>
  <c r="E494" i="6"/>
  <c r="D494" i="6"/>
  <c r="C494" i="6"/>
  <c r="B494" i="6"/>
  <c r="A494" i="6"/>
  <c r="H493" i="6"/>
  <c r="G493" i="6"/>
  <c r="F493" i="6"/>
  <c r="E493" i="6"/>
  <c r="D493" i="6"/>
  <c r="C493" i="6"/>
  <c r="B493" i="6"/>
  <c r="A493" i="6"/>
  <c r="H492" i="6"/>
  <c r="G492" i="6"/>
  <c r="F492" i="6"/>
  <c r="E492" i="6"/>
  <c r="D492" i="6"/>
  <c r="C492" i="6"/>
  <c r="B492" i="6"/>
  <c r="A492" i="6"/>
  <c r="H491" i="6"/>
  <c r="G491" i="6"/>
  <c r="F491" i="6"/>
  <c r="E491" i="6"/>
  <c r="D491" i="6"/>
  <c r="C491" i="6"/>
  <c r="B491" i="6"/>
  <c r="A491" i="6"/>
  <c r="H490" i="6"/>
  <c r="G490" i="6"/>
  <c r="F490" i="6"/>
  <c r="E490" i="6"/>
  <c r="D490" i="6"/>
  <c r="C490" i="6"/>
  <c r="B490" i="6"/>
  <c r="A490" i="6"/>
  <c r="H489" i="6"/>
  <c r="G489" i="6"/>
  <c r="F489" i="6"/>
  <c r="E489" i="6"/>
  <c r="D489" i="6"/>
  <c r="C489" i="6"/>
  <c r="B489" i="6"/>
  <c r="A489" i="6"/>
  <c r="H488" i="6"/>
  <c r="G488" i="6"/>
  <c r="F488" i="6"/>
  <c r="E488" i="6"/>
  <c r="D488" i="6"/>
  <c r="C488" i="6"/>
  <c r="B488" i="6"/>
  <c r="A488" i="6"/>
  <c r="H487" i="6"/>
  <c r="G487" i="6"/>
  <c r="F487" i="6"/>
  <c r="E487" i="6"/>
  <c r="D487" i="6"/>
  <c r="C487" i="6"/>
  <c r="B487" i="6"/>
  <c r="A487" i="6"/>
  <c r="H486" i="6"/>
  <c r="G486" i="6"/>
  <c r="F486" i="6"/>
  <c r="E486" i="6"/>
  <c r="D486" i="6"/>
  <c r="C486" i="6"/>
  <c r="B486" i="6"/>
  <c r="A486" i="6"/>
  <c r="H485" i="6"/>
  <c r="G485" i="6"/>
  <c r="F485" i="6"/>
  <c r="E485" i="6"/>
  <c r="D485" i="6"/>
  <c r="C485" i="6"/>
  <c r="B485" i="6"/>
  <c r="A485" i="6"/>
  <c r="H484" i="6"/>
  <c r="G484" i="6"/>
  <c r="F484" i="6"/>
  <c r="E484" i="6"/>
  <c r="D484" i="6"/>
  <c r="C484" i="6"/>
  <c r="B484" i="6"/>
  <c r="A484" i="6"/>
  <c r="H483" i="6"/>
  <c r="G483" i="6"/>
  <c r="F483" i="6"/>
  <c r="E483" i="6"/>
  <c r="D483" i="6"/>
  <c r="C483" i="6"/>
  <c r="B483" i="6"/>
  <c r="A483" i="6"/>
  <c r="H482" i="6"/>
  <c r="G482" i="6"/>
  <c r="F482" i="6"/>
  <c r="E482" i="6"/>
  <c r="D482" i="6"/>
  <c r="C482" i="6"/>
  <c r="B482" i="6"/>
  <c r="A482" i="6"/>
  <c r="H481" i="6"/>
  <c r="G481" i="6"/>
  <c r="F481" i="6"/>
  <c r="E481" i="6"/>
  <c r="D481" i="6"/>
  <c r="C481" i="6"/>
  <c r="B481" i="6"/>
  <c r="A481" i="6"/>
  <c r="H480" i="6"/>
  <c r="G480" i="6"/>
  <c r="F480" i="6"/>
  <c r="E480" i="6"/>
  <c r="D480" i="6"/>
  <c r="C480" i="6"/>
  <c r="B480" i="6"/>
  <c r="A480" i="6"/>
  <c r="H479" i="6"/>
  <c r="G479" i="6"/>
  <c r="F479" i="6"/>
  <c r="E479" i="6"/>
  <c r="D479" i="6"/>
  <c r="C479" i="6"/>
  <c r="B479" i="6"/>
  <c r="A479" i="6"/>
  <c r="H478" i="6"/>
  <c r="G478" i="6"/>
  <c r="F478" i="6"/>
  <c r="E478" i="6"/>
  <c r="D478" i="6"/>
  <c r="C478" i="6"/>
  <c r="B478" i="6"/>
  <c r="A478" i="6"/>
  <c r="H477" i="6"/>
  <c r="G477" i="6"/>
  <c r="F477" i="6"/>
  <c r="E477" i="6"/>
  <c r="D477" i="6"/>
  <c r="C477" i="6"/>
  <c r="B477" i="6"/>
  <c r="A477" i="6"/>
  <c r="H476" i="6"/>
  <c r="G476" i="6"/>
  <c r="F476" i="6"/>
  <c r="E476" i="6"/>
  <c r="D476" i="6"/>
  <c r="C476" i="6"/>
  <c r="B476" i="6"/>
  <c r="A476" i="6"/>
  <c r="H475" i="6"/>
  <c r="G475" i="6"/>
  <c r="F475" i="6"/>
  <c r="E475" i="6"/>
  <c r="D475" i="6"/>
  <c r="C475" i="6"/>
  <c r="B475" i="6"/>
  <c r="A475" i="6"/>
  <c r="H474" i="6"/>
  <c r="G474" i="6"/>
  <c r="F474" i="6"/>
  <c r="E474" i="6"/>
  <c r="D474" i="6"/>
  <c r="C474" i="6"/>
  <c r="B474" i="6"/>
  <c r="A474" i="6"/>
  <c r="H473" i="6"/>
  <c r="G473" i="6"/>
  <c r="F473" i="6"/>
  <c r="E473" i="6"/>
  <c r="D473" i="6"/>
  <c r="C473" i="6"/>
  <c r="B473" i="6"/>
  <c r="A473" i="6"/>
  <c r="H472" i="6"/>
  <c r="G472" i="6"/>
  <c r="F472" i="6"/>
  <c r="E472" i="6"/>
  <c r="D472" i="6"/>
  <c r="C472" i="6"/>
  <c r="B472" i="6"/>
  <c r="A472" i="6"/>
  <c r="H471" i="6"/>
  <c r="G471" i="6"/>
  <c r="F471" i="6"/>
  <c r="E471" i="6"/>
  <c r="D471" i="6"/>
  <c r="C471" i="6"/>
  <c r="B471" i="6"/>
  <c r="A471" i="6"/>
  <c r="H470" i="6"/>
  <c r="G470" i="6"/>
  <c r="F470" i="6"/>
  <c r="E470" i="6"/>
  <c r="D470" i="6"/>
  <c r="C470" i="6"/>
  <c r="B470" i="6"/>
  <c r="A470" i="6"/>
  <c r="H469" i="6"/>
  <c r="G469" i="6"/>
  <c r="F469" i="6"/>
  <c r="E469" i="6"/>
  <c r="D469" i="6"/>
  <c r="C469" i="6"/>
  <c r="B469" i="6"/>
  <c r="A469" i="6"/>
  <c r="H468" i="6"/>
  <c r="G468" i="6"/>
  <c r="F468" i="6"/>
  <c r="E468" i="6"/>
  <c r="D468" i="6"/>
  <c r="C468" i="6"/>
  <c r="B468" i="6"/>
  <c r="A468" i="6"/>
  <c r="H467" i="6"/>
  <c r="G467" i="6"/>
  <c r="F467" i="6"/>
  <c r="E467" i="6"/>
  <c r="D467" i="6"/>
  <c r="C467" i="6"/>
  <c r="B467" i="6"/>
  <c r="A467" i="6"/>
  <c r="H466" i="6"/>
  <c r="G466" i="6"/>
  <c r="F466" i="6"/>
  <c r="E466" i="6"/>
  <c r="D466" i="6"/>
  <c r="C466" i="6"/>
  <c r="B466" i="6"/>
  <c r="A466" i="6"/>
  <c r="H465" i="6"/>
  <c r="G465" i="6"/>
  <c r="F465" i="6"/>
  <c r="E465" i="6"/>
  <c r="D465" i="6"/>
  <c r="C465" i="6"/>
  <c r="B465" i="6"/>
  <c r="A465" i="6"/>
  <c r="H464" i="6"/>
  <c r="G464" i="6"/>
  <c r="F464" i="6"/>
  <c r="E464" i="6"/>
  <c r="D464" i="6"/>
  <c r="C464" i="6"/>
  <c r="B464" i="6"/>
  <c r="A464" i="6"/>
  <c r="H463" i="6"/>
  <c r="G463" i="6"/>
  <c r="F463" i="6"/>
  <c r="E463" i="6"/>
  <c r="D463" i="6"/>
  <c r="C463" i="6"/>
  <c r="B463" i="6"/>
  <c r="A463" i="6"/>
  <c r="H462" i="6"/>
  <c r="G462" i="6"/>
  <c r="F462" i="6"/>
  <c r="E462" i="6"/>
  <c r="D462" i="6"/>
  <c r="C462" i="6"/>
  <c r="B462" i="6"/>
  <c r="A462" i="6"/>
  <c r="H461" i="6"/>
  <c r="G461" i="6"/>
  <c r="F461" i="6"/>
  <c r="E461" i="6"/>
  <c r="D461" i="6"/>
  <c r="C461" i="6"/>
  <c r="B461" i="6"/>
  <c r="A461" i="6"/>
  <c r="H460" i="6"/>
  <c r="G460" i="6"/>
  <c r="F460" i="6"/>
  <c r="E460" i="6"/>
  <c r="D460" i="6"/>
  <c r="C460" i="6"/>
  <c r="B460" i="6"/>
  <c r="A460" i="6"/>
  <c r="H459" i="6"/>
  <c r="G459" i="6"/>
  <c r="F459" i="6"/>
  <c r="E459" i="6"/>
  <c r="D459" i="6"/>
  <c r="C459" i="6"/>
  <c r="B459" i="6"/>
  <c r="A459" i="6"/>
  <c r="H458" i="6"/>
  <c r="G458" i="6"/>
  <c r="F458" i="6"/>
  <c r="E458" i="6"/>
  <c r="D458" i="6"/>
  <c r="C458" i="6"/>
  <c r="B458" i="6"/>
  <c r="A458" i="6"/>
  <c r="H457" i="6"/>
  <c r="G457" i="6"/>
  <c r="F457" i="6"/>
  <c r="E457" i="6"/>
  <c r="D457" i="6"/>
  <c r="C457" i="6"/>
  <c r="B457" i="6"/>
  <c r="A457" i="6"/>
  <c r="H456" i="6"/>
  <c r="G456" i="6"/>
  <c r="F456" i="6"/>
  <c r="E456" i="6"/>
  <c r="D456" i="6"/>
  <c r="C456" i="6"/>
  <c r="B456" i="6"/>
  <c r="A456" i="6"/>
  <c r="H455" i="6"/>
  <c r="G455" i="6"/>
  <c r="F455" i="6"/>
  <c r="E455" i="6"/>
  <c r="D455" i="6"/>
  <c r="C455" i="6"/>
  <c r="B455" i="6"/>
  <c r="A455" i="6"/>
  <c r="H454" i="6"/>
  <c r="G454" i="6"/>
  <c r="F454" i="6"/>
  <c r="E454" i="6"/>
  <c r="D454" i="6"/>
  <c r="C454" i="6"/>
  <c r="B454" i="6"/>
  <c r="A454" i="6"/>
  <c r="H453" i="6"/>
  <c r="G453" i="6"/>
  <c r="F453" i="6"/>
  <c r="E453" i="6"/>
  <c r="D453" i="6"/>
  <c r="C453" i="6"/>
  <c r="B453" i="6"/>
  <c r="A453" i="6"/>
  <c r="H452" i="6"/>
  <c r="G452" i="6"/>
  <c r="F452" i="6"/>
  <c r="E452" i="6"/>
  <c r="D452" i="6"/>
  <c r="C452" i="6"/>
  <c r="B452" i="6"/>
  <c r="A452" i="6"/>
  <c r="H451" i="6"/>
  <c r="G451" i="6"/>
  <c r="F451" i="6"/>
  <c r="E451" i="6"/>
  <c r="D451" i="6"/>
  <c r="C451" i="6"/>
  <c r="B451" i="6"/>
  <c r="A451" i="6"/>
  <c r="H450" i="6"/>
  <c r="G450" i="6"/>
  <c r="F450" i="6"/>
  <c r="E450" i="6"/>
  <c r="D450" i="6"/>
  <c r="C450" i="6"/>
  <c r="B450" i="6"/>
  <c r="A450" i="6"/>
  <c r="H449" i="6"/>
  <c r="G449" i="6"/>
  <c r="F449" i="6"/>
  <c r="E449" i="6"/>
  <c r="D449" i="6"/>
  <c r="C449" i="6"/>
  <c r="B449" i="6"/>
  <c r="A449" i="6"/>
  <c r="H448" i="6"/>
  <c r="G448" i="6"/>
  <c r="F448" i="6"/>
  <c r="E448" i="6"/>
  <c r="D448" i="6"/>
  <c r="C448" i="6"/>
  <c r="B448" i="6"/>
  <c r="A448" i="6"/>
  <c r="H447" i="6"/>
  <c r="G447" i="6"/>
  <c r="F447" i="6"/>
  <c r="E447" i="6"/>
  <c r="D447" i="6"/>
  <c r="C447" i="6"/>
  <c r="B447" i="6"/>
  <c r="A447" i="6"/>
  <c r="H446" i="6"/>
  <c r="G446" i="6"/>
  <c r="F446" i="6"/>
  <c r="E446" i="6"/>
  <c r="D446" i="6"/>
  <c r="C446" i="6"/>
  <c r="B446" i="6"/>
  <c r="A446" i="6"/>
  <c r="H445" i="6"/>
  <c r="G445" i="6"/>
  <c r="F445" i="6"/>
  <c r="E445" i="6"/>
  <c r="D445" i="6"/>
  <c r="C445" i="6"/>
  <c r="B445" i="6"/>
  <c r="A445" i="6"/>
  <c r="H444" i="6"/>
  <c r="G444" i="6"/>
  <c r="F444" i="6"/>
  <c r="E444" i="6"/>
  <c r="D444" i="6"/>
  <c r="C444" i="6"/>
  <c r="B444" i="6"/>
  <c r="A444" i="6"/>
  <c r="H443" i="6"/>
  <c r="G443" i="6"/>
  <c r="F443" i="6"/>
  <c r="E443" i="6"/>
  <c r="D443" i="6"/>
  <c r="C443" i="6"/>
  <c r="B443" i="6"/>
  <c r="A443" i="6"/>
  <c r="H442" i="6"/>
  <c r="G442" i="6"/>
  <c r="F442" i="6"/>
  <c r="E442" i="6"/>
  <c r="D442" i="6"/>
  <c r="C442" i="6"/>
  <c r="B442" i="6"/>
  <c r="A442" i="6"/>
  <c r="H441" i="6"/>
  <c r="G441" i="6"/>
  <c r="F441" i="6"/>
  <c r="E441" i="6"/>
  <c r="D441" i="6"/>
  <c r="C441" i="6"/>
  <c r="B441" i="6"/>
  <c r="A441" i="6"/>
  <c r="H440" i="6"/>
  <c r="G440" i="6"/>
  <c r="F440" i="6"/>
  <c r="E440" i="6"/>
  <c r="D440" i="6"/>
  <c r="C440" i="6"/>
  <c r="B440" i="6"/>
  <c r="A440" i="6"/>
  <c r="H439" i="6"/>
  <c r="G439" i="6"/>
  <c r="F439" i="6"/>
  <c r="E439" i="6"/>
  <c r="D439" i="6"/>
  <c r="C439" i="6"/>
  <c r="B439" i="6"/>
  <c r="A439" i="6"/>
  <c r="H438" i="6"/>
  <c r="G438" i="6"/>
  <c r="F438" i="6"/>
  <c r="E438" i="6"/>
  <c r="D438" i="6"/>
  <c r="C438" i="6"/>
  <c r="B438" i="6"/>
  <c r="A438" i="6"/>
  <c r="H437" i="6"/>
  <c r="G437" i="6"/>
  <c r="F437" i="6"/>
  <c r="E437" i="6"/>
  <c r="D437" i="6"/>
  <c r="C437" i="6"/>
  <c r="B437" i="6"/>
  <c r="A437" i="6"/>
  <c r="H436" i="6"/>
  <c r="G436" i="6"/>
  <c r="F436" i="6"/>
  <c r="E436" i="6"/>
  <c r="D436" i="6"/>
  <c r="C436" i="6"/>
  <c r="B436" i="6"/>
  <c r="A436" i="6"/>
  <c r="H435" i="6"/>
  <c r="G435" i="6"/>
  <c r="F435" i="6"/>
  <c r="E435" i="6"/>
  <c r="D435" i="6"/>
  <c r="C435" i="6"/>
  <c r="B435" i="6"/>
  <c r="A435" i="6"/>
  <c r="H434" i="6"/>
  <c r="G434" i="6"/>
  <c r="F434" i="6"/>
  <c r="E434" i="6"/>
  <c r="D434" i="6"/>
  <c r="C434" i="6"/>
  <c r="B434" i="6"/>
  <c r="A434" i="6"/>
  <c r="H433" i="6"/>
  <c r="G433" i="6"/>
  <c r="F433" i="6"/>
  <c r="E433" i="6"/>
  <c r="D433" i="6"/>
  <c r="C433" i="6"/>
  <c r="B433" i="6"/>
  <c r="A433" i="6"/>
  <c r="H432" i="6"/>
  <c r="G432" i="6"/>
  <c r="F432" i="6"/>
  <c r="E432" i="6"/>
  <c r="D432" i="6"/>
  <c r="C432" i="6"/>
  <c r="B432" i="6"/>
  <c r="A432" i="6"/>
  <c r="H431" i="6"/>
  <c r="G431" i="6"/>
  <c r="F431" i="6"/>
  <c r="E431" i="6"/>
  <c r="D431" i="6"/>
  <c r="C431" i="6"/>
  <c r="B431" i="6"/>
  <c r="A431" i="6"/>
  <c r="H430" i="6"/>
  <c r="G430" i="6"/>
  <c r="F430" i="6"/>
  <c r="E430" i="6"/>
  <c r="D430" i="6"/>
  <c r="C430" i="6"/>
  <c r="B430" i="6"/>
  <c r="A430" i="6"/>
  <c r="H429" i="6"/>
  <c r="G429" i="6"/>
  <c r="F429" i="6"/>
  <c r="E429" i="6"/>
  <c r="D429" i="6"/>
  <c r="C429" i="6"/>
  <c r="B429" i="6"/>
  <c r="A429" i="6"/>
  <c r="H428" i="6"/>
  <c r="G428" i="6"/>
  <c r="F428" i="6"/>
  <c r="E428" i="6"/>
  <c r="D428" i="6"/>
  <c r="C428" i="6"/>
  <c r="B428" i="6"/>
  <c r="A428" i="6"/>
  <c r="H427" i="6"/>
  <c r="G427" i="6"/>
  <c r="F427" i="6"/>
  <c r="E427" i="6"/>
  <c r="D427" i="6"/>
  <c r="C427" i="6"/>
  <c r="B427" i="6"/>
  <c r="A427" i="6"/>
  <c r="H426" i="6"/>
  <c r="G426" i="6"/>
  <c r="F426" i="6"/>
  <c r="E426" i="6"/>
  <c r="D426" i="6"/>
  <c r="C426" i="6"/>
  <c r="B426" i="6"/>
  <c r="A426" i="6"/>
  <c r="H425" i="6"/>
  <c r="G425" i="6"/>
  <c r="F425" i="6"/>
  <c r="E425" i="6"/>
  <c r="D425" i="6"/>
  <c r="C425" i="6"/>
  <c r="B425" i="6"/>
  <c r="A425" i="6"/>
  <c r="H424" i="6"/>
  <c r="G424" i="6"/>
  <c r="F424" i="6"/>
  <c r="E424" i="6"/>
  <c r="D424" i="6"/>
  <c r="C424" i="6"/>
  <c r="B424" i="6"/>
  <c r="A424" i="6"/>
  <c r="H423" i="6"/>
  <c r="G423" i="6"/>
  <c r="F423" i="6"/>
  <c r="E423" i="6"/>
  <c r="D423" i="6"/>
  <c r="C423" i="6"/>
  <c r="B423" i="6"/>
  <c r="A423" i="6"/>
  <c r="H422" i="6"/>
  <c r="G422" i="6"/>
  <c r="F422" i="6"/>
  <c r="E422" i="6"/>
  <c r="D422" i="6"/>
  <c r="C422" i="6"/>
  <c r="B422" i="6"/>
  <c r="A422" i="6"/>
  <c r="H421" i="6"/>
  <c r="G421" i="6"/>
  <c r="F421" i="6"/>
  <c r="E421" i="6"/>
  <c r="D421" i="6"/>
  <c r="C421" i="6"/>
  <c r="B421" i="6"/>
  <c r="A421" i="6"/>
  <c r="H420" i="6"/>
  <c r="G420" i="6"/>
  <c r="F420" i="6"/>
  <c r="E420" i="6"/>
  <c r="D420" i="6"/>
  <c r="C420" i="6"/>
  <c r="B420" i="6"/>
  <c r="A420" i="6"/>
  <c r="H419" i="6"/>
  <c r="G419" i="6"/>
  <c r="F419" i="6"/>
  <c r="E419" i="6"/>
  <c r="D419" i="6"/>
  <c r="C419" i="6"/>
  <c r="B419" i="6"/>
  <c r="A419" i="6"/>
  <c r="H418" i="6"/>
  <c r="G418" i="6"/>
  <c r="F418" i="6"/>
  <c r="E418" i="6"/>
  <c r="D418" i="6"/>
  <c r="C418" i="6"/>
  <c r="B418" i="6"/>
  <c r="A418" i="6"/>
  <c r="H417" i="6"/>
  <c r="G417" i="6"/>
  <c r="F417" i="6"/>
  <c r="E417" i="6"/>
  <c r="D417" i="6"/>
  <c r="C417" i="6"/>
  <c r="B417" i="6"/>
  <c r="A417" i="6"/>
  <c r="H416" i="6"/>
  <c r="G416" i="6"/>
  <c r="F416" i="6"/>
  <c r="E416" i="6"/>
  <c r="D416" i="6"/>
  <c r="C416" i="6"/>
  <c r="B416" i="6"/>
  <c r="A416" i="6"/>
  <c r="H415" i="6"/>
  <c r="G415" i="6"/>
  <c r="F415" i="6"/>
  <c r="E415" i="6"/>
  <c r="D415" i="6"/>
  <c r="C415" i="6"/>
  <c r="B415" i="6"/>
  <c r="A415" i="6"/>
  <c r="H414" i="6"/>
  <c r="G414" i="6"/>
  <c r="F414" i="6"/>
  <c r="E414" i="6"/>
  <c r="D414" i="6"/>
  <c r="C414" i="6"/>
  <c r="B414" i="6"/>
  <c r="A414" i="6"/>
  <c r="H413" i="6"/>
  <c r="G413" i="6"/>
  <c r="F413" i="6"/>
  <c r="E413" i="6"/>
  <c r="D413" i="6"/>
  <c r="C413" i="6"/>
  <c r="B413" i="6"/>
  <c r="A413" i="6"/>
  <c r="H412" i="6"/>
  <c r="G412" i="6"/>
  <c r="F412" i="6"/>
  <c r="E412" i="6"/>
  <c r="D412" i="6"/>
  <c r="C412" i="6"/>
  <c r="B412" i="6"/>
  <c r="A412" i="6"/>
  <c r="H411" i="6"/>
  <c r="G411" i="6"/>
  <c r="F411" i="6"/>
  <c r="E411" i="6"/>
  <c r="D411" i="6"/>
  <c r="C411" i="6"/>
  <c r="B411" i="6"/>
  <c r="A411" i="6"/>
  <c r="H410" i="6"/>
  <c r="G410" i="6"/>
  <c r="F410" i="6"/>
  <c r="E410" i="6"/>
  <c r="D410" i="6"/>
  <c r="C410" i="6"/>
  <c r="B410" i="6"/>
  <c r="A410" i="6"/>
  <c r="H409" i="6"/>
  <c r="G409" i="6"/>
  <c r="F409" i="6"/>
  <c r="E409" i="6"/>
  <c r="D409" i="6"/>
  <c r="C409" i="6"/>
  <c r="B409" i="6"/>
  <c r="A409" i="6"/>
  <c r="H408" i="6"/>
  <c r="G408" i="6"/>
  <c r="F408" i="6"/>
  <c r="E408" i="6"/>
  <c r="D408" i="6"/>
  <c r="C408" i="6"/>
  <c r="B408" i="6"/>
  <c r="A408" i="6"/>
  <c r="H407" i="6"/>
  <c r="G407" i="6"/>
  <c r="F407" i="6"/>
  <c r="E407" i="6"/>
  <c r="D407" i="6"/>
  <c r="C407" i="6"/>
  <c r="B407" i="6"/>
  <c r="A407" i="6"/>
  <c r="H406" i="6"/>
  <c r="G406" i="6"/>
  <c r="F406" i="6"/>
  <c r="E406" i="6"/>
  <c r="D406" i="6"/>
  <c r="C406" i="6"/>
  <c r="B406" i="6"/>
  <c r="A406" i="6"/>
  <c r="H405" i="6"/>
  <c r="G405" i="6"/>
  <c r="F405" i="6"/>
  <c r="E405" i="6"/>
  <c r="D405" i="6"/>
  <c r="C405" i="6"/>
  <c r="B405" i="6"/>
  <c r="A405" i="6"/>
  <c r="H404" i="6"/>
  <c r="G404" i="6"/>
  <c r="F404" i="6"/>
  <c r="E404" i="6"/>
  <c r="D404" i="6"/>
  <c r="C404" i="6"/>
  <c r="B404" i="6"/>
  <c r="A404" i="6"/>
  <c r="H403" i="6"/>
  <c r="G403" i="6"/>
  <c r="F403" i="6"/>
  <c r="E403" i="6"/>
  <c r="D403" i="6"/>
  <c r="C403" i="6"/>
  <c r="B403" i="6"/>
  <c r="A403" i="6"/>
  <c r="H402" i="6"/>
  <c r="G402" i="6"/>
  <c r="F402" i="6"/>
  <c r="E402" i="6"/>
  <c r="D402" i="6"/>
  <c r="C402" i="6"/>
  <c r="B402" i="6"/>
  <c r="A402" i="6"/>
  <c r="H401" i="6"/>
  <c r="G401" i="6"/>
  <c r="F401" i="6"/>
  <c r="E401" i="6"/>
  <c r="D401" i="6"/>
  <c r="C401" i="6"/>
  <c r="B401" i="6"/>
  <c r="A401" i="6"/>
  <c r="H400" i="6"/>
  <c r="G400" i="6"/>
  <c r="F400" i="6"/>
  <c r="E400" i="6"/>
  <c r="D400" i="6"/>
  <c r="C400" i="6"/>
  <c r="B400" i="6"/>
  <c r="A400" i="6"/>
  <c r="H399" i="6"/>
  <c r="G399" i="6"/>
  <c r="F399" i="6"/>
  <c r="E399" i="6"/>
  <c r="D399" i="6"/>
  <c r="C399" i="6"/>
  <c r="B399" i="6"/>
  <c r="A399" i="6"/>
  <c r="H398" i="6"/>
  <c r="G398" i="6"/>
  <c r="F398" i="6"/>
  <c r="E398" i="6"/>
  <c r="D398" i="6"/>
  <c r="C398" i="6"/>
  <c r="B398" i="6"/>
  <c r="A398" i="6"/>
  <c r="H397" i="6"/>
  <c r="G397" i="6"/>
  <c r="F397" i="6"/>
  <c r="E397" i="6"/>
  <c r="D397" i="6"/>
  <c r="C397" i="6"/>
  <c r="B397" i="6"/>
  <c r="A397" i="6"/>
  <c r="H396" i="6"/>
  <c r="G396" i="6"/>
  <c r="F396" i="6"/>
  <c r="E396" i="6"/>
  <c r="D396" i="6"/>
  <c r="C396" i="6"/>
  <c r="B396" i="6"/>
  <c r="A396" i="6"/>
  <c r="C395" i="6"/>
  <c r="B395" i="6"/>
  <c r="A395" i="6"/>
  <c r="H394" i="6"/>
  <c r="G394" i="6"/>
  <c r="F394" i="6"/>
  <c r="E394" i="6"/>
  <c r="D394" i="6"/>
  <c r="C394" i="6"/>
  <c r="B394" i="6"/>
  <c r="A394" i="6"/>
  <c r="H393" i="6"/>
  <c r="G393" i="6"/>
  <c r="F393" i="6"/>
  <c r="E393" i="6"/>
  <c r="D393" i="6"/>
  <c r="C393" i="6"/>
  <c r="B393" i="6"/>
  <c r="A393" i="6"/>
  <c r="H392" i="6"/>
  <c r="G392" i="6"/>
  <c r="F392" i="6"/>
  <c r="E392" i="6"/>
  <c r="D392" i="6"/>
  <c r="C392" i="6"/>
  <c r="B392" i="6"/>
  <c r="A392" i="6"/>
  <c r="H391" i="6"/>
  <c r="G391" i="6"/>
  <c r="F391" i="6"/>
  <c r="E391" i="6"/>
  <c r="D391" i="6"/>
  <c r="C391" i="6"/>
  <c r="B391" i="6"/>
  <c r="A391" i="6"/>
  <c r="H390" i="6"/>
  <c r="G390" i="6"/>
  <c r="F390" i="6"/>
  <c r="E390" i="6"/>
  <c r="D390" i="6"/>
  <c r="C390" i="6"/>
  <c r="B390" i="6"/>
  <c r="A390" i="6"/>
  <c r="H389" i="6"/>
  <c r="G389" i="6"/>
  <c r="F389" i="6"/>
  <c r="E389" i="6"/>
  <c r="D389" i="6"/>
  <c r="C389" i="6"/>
  <c r="B389" i="6"/>
  <c r="A389" i="6"/>
  <c r="H388" i="6"/>
  <c r="G388" i="6"/>
  <c r="F388" i="6"/>
  <c r="E388" i="6"/>
  <c r="D388" i="6"/>
  <c r="C388" i="6"/>
  <c r="B388" i="6"/>
  <c r="A388" i="6"/>
  <c r="H387" i="6"/>
  <c r="G387" i="6"/>
  <c r="F387" i="6"/>
  <c r="E387" i="6"/>
  <c r="D387" i="6"/>
  <c r="C387" i="6"/>
  <c r="B387" i="6"/>
  <c r="A387" i="6"/>
  <c r="H386" i="6"/>
  <c r="G386" i="6"/>
  <c r="F386" i="6"/>
  <c r="E386" i="6"/>
  <c r="D386" i="6"/>
  <c r="C386" i="6"/>
  <c r="B386" i="6"/>
  <c r="A386" i="6"/>
  <c r="H385" i="6"/>
  <c r="G385" i="6"/>
  <c r="F385" i="6"/>
  <c r="E385" i="6"/>
  <c r="D385" i="6"/>
  <c r="C385" i="6"/>
  <c r="B385" i="6"/>
  <c r="A385" i="6"/>
  <c r="H384" i="6"/>
  <c r="G384" i="6"/>
  <c r="F384" i="6"/>
  <c r="E384" i="6"/>
  <c r="D384" i="6"/>
  <c r="C384" i="6"/>
  <c r="B384" i="6"/>
  <c r="A384" i="6"/>
  <c r="H383" i="6"/>
  <c r="G383" i="6"/>
  <c r="F383" i="6"/>
  <c r="E383" i="6"/>
  <c r="D383" i="6"/>
  <c r="C383" i="6"/>
  <c r="B383" i="6"/>
  <c r="A383" i="6"/>
  <c r="H382" i="6"/>
  <c r="G382" i="6"/>
  <c r="F382" i="6"/>
  <c r="E382" i="6"/>
  <c r="D382" i="6"/>
  <c r="C382" i="6"/>
  <c r="B382" i="6"/>
  <c r="A382" i="6"/>
  <c r="H381" i="6"/>
  <c r="G381" i="6"/>
  <c r="F381" i="6"/>
  <c r="E381" i="6"/>
  <c r="D381" i="6"/>
  <c r="C381" i="6"/>
  <c r="B381" i="6"/>
  <c r="A381" i="6"/>
  <c r="H380" i="6"/>
  <c r="G380" i="6"/>
  <c r="F380" i="6"/>
  <c r="E380" i="6"/>
  <c r="D380" i="6"/>
  <c r="C380" i="6"/>
  <c r="B380" i="6"/>
  <c r="A380" i="6"/>
  <c r="H379" i="6"/>
  <c r="G379" i="6"/>
  <c r="F379" i="6"/>
  <c r="E379" i="6"/>
  <c r="D379" i="6"/>
  <c r="C379" i="6"/>
  <c r="B379" i="6"/>
  <c r="A379" i="6"/>
  <c r="H378" i="6"/>
  <c r="G378" i="6"/>
  <c r="F378" i="6"/>
  <c r="E378" i="6"/>
  <c r="D378" i="6"/>
  <c r="C378" i="6"/>
  <c r="B378" i="6"/>
  <c r="A378" i="6"/>
  <c r="H377" i="6"/>
  <c r="G377" i="6"/>
  <c r="F377" i="6"/>
  <c r="E377" i="6"/>
  <c r="D377" i="6"/>
  <c r="C377" i="6"/>
  <c r="B377" i="6"/>
  <c r="A377" i="6"/>
  <c r="H376" i="6"/>
  <c r="G376" i="6"/>
  <c r="F376" i="6"/>
  <c r="E376" i="6"/>
  <c r="D376" i="6"/>
  <c r="C376" i="6"/>
  <c r="B376" i="6"/>
  <c r="A376" i="6"/>
  <c r="H375" i="6"/>
  <c r="G375" i="6"/>
  <c r="F375" i="6"/>
  <c r="E375" i="6"/>
  <c r="D375" i="6"/>
  <c r="C375" i="6"/>
  <c r="B375" i="6"/>
  <c r="A375" i="6"/>
  <c r="H374" i="6"/>
  <c r="G374" i="6"/>
  <c r="F374" i="6"/>
  <c r="E374" i="6"/>
  <c r="D374" i="6"/>
  <c r="C374" i="6"/>
  <c r="B374" i="6"/>
  <c r="A374" i="6"/>
  <c r="H373" i="6"/>
  <c r="G373" i="6"/>
  <c r="F373" i="6"/>
  <c r="E373" i="6"/>
  <c r="D373" i="6"/>
  <c r="C373" i="6"/>
  <c r="B373" i="6"/>
  <c r="A373" i="6"/>
  <c r="H372" i="6"/>
  <c r="G372" i="6"/>
  <c r="F372" i="6"/>
  <c r="E372" i="6"/>
  <c r="D372" i="6"/>
  <c r="C372" i="6"/>
  <c r="B372" i="6"/>
  <c r="A372" i="6"/>
  <c r="H371" i="6"/>
  <c r="G371" i="6"/>
  <c r="F371" i="6"/>
  <c r="E371" i="6"/>
  <c r="D371" i="6"/>
  <c r="C371" i="6"/>
  <c r="B371" i="6"/>
  <c r="A371" i="6"/>
  <c r="H370" i="6"/>
  <c r="G370" i="6"/>
  <c r="F370" i="6"/>
  <c r="E370" i="6"/>
  <c r="D370" i="6"/>
  <c r="C370" i="6"/>
  <c r="B370" i="6"/>
  <c r="A370" i="6"/>
  <c r="H369" i="6"/>
  <c r="G369" i="6"/>
  <c r="F369" i="6"/>
  <c r="E369" i="6"/>
  <c r="D369" i="6"/>
  <c r="C369" i="6"/>
  <c r="B369" i="6"/>
  <c r="A369" i="6"/>
  <c r="H368" i="6"/>
  <c r="G368" i="6"/>
  <c r="F368" i="6"/>
  <c r="E368" i="6"/>
  <c r="D368" i="6"/>
  <c r="C368" i="6"/>
  <c r="B368" i="6"/>
  <c r="A368" i="6"/>
  <c r="H367" i="6"/>
  <c r="G367" i="6"/>
  <c r="F367" i="6"/>
  <c r="E367" i="6"/>
  <c r="D367" i="6"/>
  <c r="C367" i="6"/>
  <c r="B367" i="6"/>
  <c r="A367" i="6"/>
  <c r="H366" i="6"/>
  <c r="G366" i="6"/>
  <c r="F366" i="6"/>
  <c r="E366" i="6"/>
  <c r="D366" i="6"/>
  <c r="C366" i="6"/>
  <c r="B366" i="6"/>
  <c r="A366" i="6"/>
  <c r="H365" i="6"/>
  <c r="G365" i="6"/>
  <c r="F365" i="6"/>
  <c r="E365" i="6"/>
  <c r="D365" i="6"/>
  <c r="C365" i="6"/>
  <c r="B365" i="6"/>
  <c r="A365" i="6"/>
  <c r="H364" i="6"/>
  <c r="G364" i="6"/>
  <c r="F364" i="6"/>
  <c r="E364" i="6"/>
  <c r="D364" i="6"/>
  <c r="C364" i="6"/>
  <c r="B364" i="6"/>
  <c r="A364" i="6"/>
  <c r="H363" i="6"/>
  <c r="G363" i="6"/>
  <c r="F363" i="6"/>
  <c r="E363" i="6"/>
  <c r="D363" i="6"/>
  <c r="C363" i="6"/>
  <c r="B363" i="6"/>
  <c r="A363" i="6"/>
  <c r="H362" i="6"/>
  <c r="G362" i="6"/>
  <c r="F362" i="6"/>
  <c r="E362" i="6"/>
  <c r="D362" i="6"/>
  <c r="C362" i="6"/>
  <c r="B362" i="6"/>
  <c r="A362" i="6"/>
  <c r="H361" i="6"/>
  <c r="G361" i="6"/>
  <c r="F361" i="6"/>
  <c r="E361" i="6"/>
  <c r="D361" i="6"/>
  <c r="C361" i="6"/>
  <c r="B361" i="6"/>
  <c r="A361" i="6"/>
  <c r="H360" i="6"/>
  <c r="G360" i="6"/>
  <c r="F360" i="6"/>
  <c r="E360" i="6"/>
  <c r="D360" i="6"/>
  <c r="C360" i="6"/>
  <c r="B360" i="6"/>
  <c r="A360" i="6"/>
  <c r="H359" i="6"/>
  <c r="G359" i="6"/>
  <c r="F359" i="6"/>
  <c r="E359" i="6"/>
  <c r="D359" i="6"/>
  <c r="C359" i="6"/>
  <c r="B359" i="6"/>
  <c r="A359" i="6"/>
  <c r="H358" i="6"/>
  <c r="G358" i="6"/>
  <c r="F358" i="6"/>
  <c r="E358" i="6"/>
  <c r="D358" i="6"/>
  <c r="C358" i="6"/>
  <c r="B358" i="6"/>
  <c r="A358" i="6"/>
  <c r="H357" i="6"/>
  <c r="G357" i="6"/>
  <c r="F357" i="6"/>
  <c r="E357" i="6"/>
  <c r="D357" i="6"/>
  <c r="C357" i="6"/>
  <c r="B357" i="6"/>
  <c r="A357" i="6"/>
  <c r="H356" i="6"/>
  <c r="G356" i="6"/>
  <c r="F356" i="6"/>
  <c r="E356" i="6"/>
  <c r="D356" i="6"/>
  <c r="C356" i="6"/>
  <c r="B356" i="6"/>
  <c r="A356" i="6"/>
  <c r="H355" i="6"/>
  <c r="G355" i="6"/>
  <c r="F355" i="6"/>
  <c r="E355" i="6"/>
  <c r="D355" i="6"/>
  <c r="C355" i="6"/>
  <c r="B355" i="6"/>
  <c r="A355" i="6"/>
  <c r="H354" i="6"/>
  <c r="G354" i="6"/>
  <c r="F354" i="6"/>
  <c r="E354" i="6"/>
  <c r="D354" i="6"/>
  <c r="C354" i="6"/>
  <c r="B354" i="6"/>
  <c r="A354" i="6"/>
  <c r="H353" i="6"/>
  <c r="G353" i="6"/>
  <c r="F353" i="6"/>
  <c r="E353" i="6"/>
  <c r="D353" i="6"/>
  <c r="C353" i="6"/>
  <c r="B353" i="6"/>
  <c r="A353" i="6"/>
  <c r="H352" i="6"/>
  <c r="G352" i="6"/>
  <c r="F352" i="6"/>
  <c r="E352" i="6"/>
  <c r="D352" i="6"/>
  <c r="C352" i="6"/>
  <c r="B352" i="6"/>
  <c r="A352" i="6"/>
  <c r="H351" i="6"/>
  <c r="G351" i="6"/>
  <c r="F351" i="6"/>
  <c r="E351" i="6"/>
  <c r="D351" i="6"/>
  <c r="C351" i="6"/>
  <c r="B351" i="6"/>
  <c r="A351" i="6"/>
  <c r="H350" i="6"/>
  <c r="G350" i="6"/>
  <c r="F350" i="6"/>
  <c r="E350" i="6"/>
  <c r="D350" i="6"/>
  <c r="C350" i="6"/>
  <c r="B350" i="6"/>
  <c r="A350" i="6"/>
  <c r="H349" i="6"/>
  <c r="G349" i="6"/>
  <c r="F349" i="6"/>
  <c r="E349" i="6"/>
  <c r="D349" i="6"/>
  <c r="C349" i="6"/>
  <c r="B349" i="6"/>
  <c r="A349" i="6"/>
  <c r="H348" i="6"/>
  <c r="G348" i="6"/>
  <c r="F348" i="6"/>
  <c r="E348" i="6"/>
  <c r="D348" i="6"/>
  <c r="C348" i="6"/>
  <c r="B348" i="6"/>
  <c r="A348" i="6"/>
  <c r="H347" i="6"/>
  <c r="G347" i="6"/>
  <c r="F347" i="6"/>
  <c r="E347" i="6"/>
  <c r="D347" i="6"/>
  <c r="C347" i="6"/>
  <c r="B347" i="6"/>
  <c r="A347" i="6"/>
  <c r="H346" i="6"/>
  <c r="G346" i="6"/>
  <c r="F346" i="6"/>
  <c r="E346" i="6"/>
  <c r="D346" i="6"/>
  <c r="C346" i="6"/>
  <c r="B346" i="6"/>
  <c r="H345" i="6"/>
  <c r="G345" i="6"/>
  <c r="F345" i="6"/>
  <c r="E345" i="6"/>
  <c r="D345" i="6"/>
  <c r="C345" i="6"/>
  <c r="B345" i="6"/>
  <c r="A345" i="6"/>
  <c r="H344" i="6"/>
  <c r="G344" i="6"/>
  <c r="F344" i="6"/>
  <c r="E344" i="6"/>
  <c r="D344" i="6"/>
  <c r="C344" i="6"/>
  <c r="B344" i="6"/>
  <c r="A344" i="6"/>
  <c r="H343" i="6"/>
  <c r="G343" i="6"/>
  <c r="F343" i="6"/>
  <c r="E343" i="6"/>
  <c r="D343" i="6"/>
  <c r="C343" i="6"/>
  <c r="B343" i="6"/>
  <c r="A343" i="6"/>
  <c r="H342" i="6"/>
  <c r="G342" i="6"/>
  <c r="F342" i="6"/>
  <c r="E342" i="6"/>
  <c r="D342" i="6"/>
  <c r="C342" i="6"/>
  <c r="B342" i="6"/>
  <c r="A342" i="6"/>
  <c r="H341" i="6"/>
  <c r="G341" i="6"/>
  <c r="F341" i="6"/>
  <c r="E341" i="6"/>
  <c r="D341" i="6"/>
  <c r="C341" i="6"/>
  <c r="B341" i="6"/>
  <c r="A341" i="6"/>
  <c r="H340" i="6"/>
  <c r="G340" i="6"/>
  <c r="F340" i="6"/>
  <c r="E340" i="6"/>
  <c r="D340" i="6"/>
  <c r="C340" i="6"/>
  <c r="B340" i="6"/>
  <c r="A340" i="6"/>
  <c r="H339" i="6"/>
  <c r="G339" i="6"/>
  <c r="F339" i="6"/>
  <c r="E339" i="6"/>
  <c r="D339" i="6"/>
  <c r="C339" i="6"/>
  <c r="B339" i="6"/>
  <c r="A339" i="6"/>
  <c r="H338" i="6"/>
  <c r="G338" i="6"/>
  <c r="F338" i="6"/>
  <c r="E338" i="6"/>
  <c r="D338" i="6"/>
  <c r="C338" i="6"/>
  <c r="B338" i="6"/>
  <c r="A338" i="6"/>
  <c r="H337" i="6"/>
  <c r="G337" i="6"/>
  <c r="F337" i="6"/>
  <c r="E337" i="6"/>
  <c r="D337" i="6"/>
  <c r="C337" i="6"/>
  <c r="B337" i="6"/>
  <c r="A337" i="6"/>
  <c r="H336" i="6"/>
  <c r="G336" i="6"/>
  <c r="F336" i="6"/>
  <c r="E336" i="6"/>
  <c r="D336" i="6"/>
  <c r="C336" i="6"/>
  <c r="B336" i="6"/>
  <c r="A336" i="6"/>
  <c r="H335" i="6"/>
  <c r="G335" i="6"/>
  <c r="F335" i="6"/>
  <c r="E335" i="6"/>
  <c r="D335" i="6"/>
  <c r="C335" i="6"/>
  <c r="B335" i="6"/>
  <c r="A335" i="6"/>
  <c r="H334" i="6"/>
  <c r="G334" i="6"/>
  <c r="F334" i="6"/>
  <c r="E334" i="6"/>
  <c r="D334" i="6"/>
  <c r="C334" i="6"/>
  <c r="B334" i="6"/>
  <c r="A334" i="6"/>
  <c r="H333" i="6"/>
  <c r="G333" i="6"/>
  <c r="F333" i="6"/>
  <c r="E333" i="6"/>
  <c r="D333" i="6"/>
  <c r="C333" i="6"/>
  <c r="B333" i="6"/>
  <c r="A333" i="6"/>
  <c r="H332" i="6"/>
  <c r="G332" i="6"/>
  <c r="F332" i="6"/>
  <c r="E332" i="6"/>
  <c r="D332" i="6"/>
  <c r="C332" i="6"/>
  <c r="B332" i="6"/>
  <c r="A332" i="6"/>
  <c r="H331" i="6"/>
  <c r="G331" i="6"/>
  <c r="F331" i="6"/>
  <c r="E331" i="6"/>
  <c r="D331" i="6"/>
  <c r="C331" i="6"/>
  <c r="B331" i="6"/>
  <c r="A331" i="6"/>
  <c r="H330" i="6"/>
  <c r="G330" i="6"/>
  <c r="F330" i="6"/>
  <c r="E330" i="6"/>
  <c r="D330" i="6"/>
  <c r="C330" i="6"/>
  <c r="B330" i="6"/>
  <c r="A330" i="6"/>
  <c r="H329" i="6"/>
  <c r="G329" i="6"/>
  <c r="F329" i="6"/>
  <c r="E329" i="6"/>
  <c r="D329" i="6"/>
  <c r="C329" i="6"/>
  <c r="B329" i="6"/>
  <c r="A329" i="6"/>
  <c r="H328" i="6"/>
  <c r="G328" i="6"/>
  <c r="F328" i="6"/>
  <c r="E328" i="6"/>
  <c r="D328" i="6"/>
  <c r="C328" i="6"/>
  <c r="B328" i="6"/>
  <c r="A328" i="6"/>
  <c r="H327" i="6"/>
  <c r="G327" i="6"/>
  <c r="F327" i="6"/>
  <c r="E327" i="6"/>
  <c r="D327" i="6"/>
  <c r="C327" i="6"/>
  <c r="B327" i="6"/>
  <c r="A327" i="6"/>
  <c r="H326" i="6"/>
  <c r="G326" i="6"/>
  <c r="F326" i="6"/>
  <c r="E326" i="6"/>
  <c r="D326" i="6"/>
  <c r="C326" i="6"/>
  <c r="B326" i="6"/>
  <c r="A326" i="6"/>
  <c r="H325" i="6"/>
  <c r="G325" i="6"/>
  <c r="F325" i="6"/>
  <c r="E325" i="6"/>
  <c r="D325" i="6"/>
  <c r="C325" i="6"/>
  <c r="B325" i="6"/>
  <c r="A325" i="6"/>
  <c r="H324" i="6"/>
  <c r="G324" i="6"/>
  <c r="F324" i="6"/>
  <c r="E324" i="6"/>
  <c r="D324" i="6"/>
  <c r="C324" i="6"/>
  <c r="B324" i="6"/>
  <c r="A324" i="6"/>
  <c r="H323" i="6"/>
  <c r="G323" i="6"/>
  <c r="F323" i="6"/>
  <c r="E323" i="6"/>
  <c r="D323" i="6"/>
  <c r="C323" i="6"/>
  <c r="B323" i="6"/>
  <c r="A323" i="6"/>
  <c r="H322" i="6"/>
  <c r="G322" i="6"/>
  <c r="F322" i="6"/>
  <c r="E322" i="6"/>
  <c r="D322" i="6"/>
  <c r="C322" i="6"/>
  <c r="B322" i="6"/>
  <c r="A322" i="6"/>
  <c r="H321" i="6"/>
  <c r="G321" i="6"/>
  <c r="F321" i="6"/>
  <c r="E321" i="6"/>
  <c r="D321" i="6"/>
  <c r="C321" i="6"/>
  <c r="B321" i="6"/>
  <c r="A321" i="6"/>
  <c r="H320" i="6"/>
  <c r="G320" i="6"/>
  <c r="F320" i="6"/>
  <c r="E320" i="6"/>
  <c r="D320" i="6"/>
  <c r="C320" i="6"/>
  <c r="B320" i="6"/>
  <c r="A320" i="6"/>
  <c r="H319" i="6"/>
  <c r="G319" i="6"/>
  <c r="F319" i="6"/>
  <c r="E319" i="6"/>
  <c r="D319" i="6"/>
  <c r="C319" i="6"/>
  <c r="B319" i="6"/>
  <c r="A319" i="6"/>
  <c r="H318" i="6"/>
  <c r="G318" i="6"/>
  <c r="F318" i="6"/>
  <c r="E318" i="6"/>
  <c r="D318" i="6"/>
  <c r="C318" i="6"/>
  <c r="B318" i="6"/>
  <c r="A318" i="6"/>
  <c r="H317" i="6"/>
  <c r="G317" i="6"/>
  <c r="F317" i="6"/>
  <c r="E317" i="6"/>
  <c r="D317" i="6"/>
  <c r="C317" i="6"/>
  <c r="B317" i="6"/>
  <c r="A317" i="6"/>
  <c r="H316" i="6"/>
  <c r="G316" i="6"/>
  <c r="F316" i="6"/>
  <c r="E316" i="6"/>
  <c r="D316" i="6"/>
  <c r="C316" i="6"/>
  <c r="B316" i="6"/>
  <c r="A316" i="6"/>
  <c r="H315" i="6"/>
  <c r="G315" i="6"/>
  <c r="F315" i="6"/>
  <c r="E315" i="6"/>
  <c r="D315" i="6"/>
  <c r="C315" i="6"/>
  <c r="B315" i="6"/>
  <c r="A315" i="6"/>
  <c r="H314" i="6"/>
  <c r="G314" i="6"/>
  <c r="F314" i="6"/>
  <c r="E314" i="6"/>
  <c r="D314" i="6"/>
  <c r="C314" i="6"/>
  <c r="B314" i="6"/>
  <c r="A314" i="6"/>
  <c r="H313" i="6"/>
  <c r="G313" i="6"/>
  <c r="F313" i="6"/>
  <c r="E313" i="6"/>
  <c r="D313" i="6"/>
  <c r="C313" i="6"/>
  <c r="B313" i="6"/>
  <c r="A313" i="6"/>
  <c r="H312" i="6"/>
  <c r="G312" i="6"/>
  <c r="F312" i="6"/>
  <c r="E312" i="6"/>
  <c r="D312" i="6"/>
  <c r="C312" i="6"/>
  <c r="B312" i="6"/>
  <c r="A312" i="6"/>
  <c r="H311" i="6"/>
  <c r="G311" i="6"/>
  <c r="F311" i="6"/>
  <c r="E311" i="6"/>
  <c r="D311" i="6"/>
  <c r="C311" i="6"/>
  <c r="B311" i="6"/>
  <c r="A311" i="6"/>
  <c r="H310" i="6"/>
  <c r="G310" i="6"/>
  <c r="F310" i="6"/>
  <c r="E310" i="6"/>
  <c r="D310" i="6"/>
  <c r="C310" i="6"/>
  <c r="B310" i="6"/>
  <c r="A310" i="6"/>
  <c r="H309" i="6"/>
  <c r="G309" i="6"/>
  <c r="F309" i="6"/>
  <c r="E309" i="6"/>
  <c r="D309" i="6"/>
  <c r="C309" i="6"/>
  <c r="B309" i="6"/>
  <c r="A309" i="6"/>
  <c r="H308" i="6"/>
  <c r="G308" i="6"/>
  <c r="F308" i="6"/>
  <c r="E308" i="6"/>
  <c r="D308" i="6"/>
  <c r="C308" i="6"/>
  <c r="B308" i="6"/>
  <c r="A308" i="6"/>
  <c r="H307" i="6"/>
  <c r="G307" i="6"/>
  <c r="F307" i="6"/>
  <c r="E307" i="6"/>
  <c r="D307" i="6"/>
  <c r="C307" i="6"/>
  <c r="B307" i="6"/>
  <c r="A307" i="6"/>
  <c r="H306" i="6"/>
  <c r="G306" i="6"/>
  <c r="F306" i="6"/>
  <c r="E306" i="6"/>
  <c r="D306" i="6"/>
  <c r="C306" i="6"/>
  <c r="B306" i="6"/>
  <c r="A306" i="6"/>
  <c r="H305" i="6"/>
  <c r="G305" i="6"/>
  <c r="F305" i="6"/>
  <c r="E305" i="6"/>
  <c r="D305" i="6"/>
  <c r="C305" i="6"/>
  <c r="B305" i="6"/>
  <c r="A305" i="6"/>
  <c r="H304" i="6"/>
  <c r="G304" i="6"/>
  <c r="F304" i="6"/>
  <c r="E304" i="6"/>
  <c r="D304" i="6"/>
  <c r="C304" i="6"/>
  <c r="B304" i="6"/>
  <c r="A304" i="6"/>
  <c r="H303" i="6"/>
  <c r="G303" i="6"/>
  <c r="F303" i="6"/>
  <c r="E303" i="6"/>
  <c r="D303" i="6"/>
  <c r="C303" i="6"/>
  <c r="B303" i="6"/>
  <c r="A303" i="6"/>
  <c r="H302" i="6"/>
  <c r="G302" i="6"/>
  <c r="F302" i="6"/>
  <c r="E302" i="6"/>
  <c r="D302" i="6"/>
  <c r="C302" i="6"/>
  <c r="B302" i="6"/>
  <c r="A302" i="6"/>
  <c r="H301" i="6"/>
  <c r="G301" i="6"/>
  <c r="F301" i="6"/>
  <c r="E301" i="6"/>
  <c r="D301" i="6"/>
  <c r="C301" i="6"/>
  <c r="B301" i="6"/>
  <c r="A301" i="6"/>
  <c r="H300" i="6"/>
  <c r="G300" i="6"/>
  <c r="F300" i="6"/>
  <c r="E300" i="6"/>
  <c r="D300" i="6"/>
  <c r="C300" i="6"/>
  <c r="B300" i="6"/>
  <c r="A300" i="6"/>
  <c r="H299" i="6"/>
  <c r="G299" i="6"/>
  <c r="F299" i="6"/>
  <c r="E299" i="6"/>
  <c r="D299" i="6"/>
  <c r="C299" i="6"/>
  <c r="B299" i="6"/>
  <c r="A299" i="6"/>
  <c r="H298" i="6"/>
  <c r="G298" i="6"/>
  <c r="F298" i="6"/>
  <c r="E298" i="6"/>
  <c r="D298" i="6"/>
  <c r="C298" i="6"/>
  <c r="B298" i="6"/>
  <c r="A298" i="6"/>
  <c r="H297" i="6"/>
  <c r="G297" i="6"/>
  <c r="F297" i="6"/>
  <c r="E297" i="6"/>
  <c r="D297" i="6"/>
  <c r="C297" i="6"/>
  <c r="B297" i="6"/>
  <c r="A297" i="6"/>
  <c r="H296" i="6"/>
  <c r="G296" i="6"/>
  <c r="F296" i="6"/>
  <c r="E296" i="6"/>
  <c r="D296" i="6"/>
  <c r="C296" i="6"/>
  <c r="B296" i="6"/>
  <c r="A296" i="6"/>
  <c r="H295" i="6"/>
  <c r="G295" i="6"/>
  <c r="F295" i="6"/>
  <c r="E295" i="6"/>
  <c r="D295" i="6"/>
  <c r="C295" i="6"/>
  <c r="B295" i="6"/>
  <c r="A295" i="6"/>
  <c r="H294" i="6"/>
  <c r="G294" i="6"/>
  <c r="F294" i="6"/>
  <c r="E294" i="6"/>
  <c r="D294" i="6"/>
  <c r="C294" i="6"/>
  <c r="B294" i="6"/>
  <c r="A294" i="6"/>
  <c r="H293" i="6"/>
  <c r="G293" i="6"/>
  <c r="F293" i="6"/>
  <c r="E293" i="6"/>
  <c r="D293" i="6"/>
  <c r="C293" i="6"/>
  <c r="B293" i="6"/>
  <c r="A293" i="6"/>
  <c r="H292" i="6"/>
  <c r="G292" i="6"/>
  <c r="F292" i="6"/>
  <c r="E292" i="6"/>
  <c r="D292" i="6"/>
  <c r="C292" i="6"/>
  <c r="B292" i="6"/>
  <c r="A292" i="6"/>
  <c r="H291" i="6"/>
  <c r="G291" i="6"/>
  <c r="F291" i="6"/>
  <c r="E291" i="6"/>
  <c r="D291" i="6"/>
  <c r="C291" i="6"/>
  <c r="B291" i="6"/>
  <c r="A291" i="6"/>
  <c r="H290" i="6"/>
  <c r="G290" i="6"/>
  <c r="F290" i="6"/>
  <c r="E290" i="6"/>
  <c r="D290" i="6"/>
  <c r="C290" i="6"/>
  <c r="B290" i="6"/>
  <c r="A290" i="6"/>
  <c r="H289" i="6"/>
  <c r="G289" i="6"/>
  <c r="F289" i="6"/>
  <c r="E289" i="6"/>
  <c r="D289" i="6"/>
  <c r="C289" i="6"/>
  <c r="B289" i="6"/>
  <c r="A289" i="6"/>
  <c r="H288" i="6"/>
  <c r="G288" i="6"/>
  <c r="F288" i="6"/>
  <c r="E288" i="6"/>
  <c r="D288" i="6"/>
  <c r="C288" i="6"/>
  <c r="B288" i="6"/>
  <c r="A288" i="6"/>
  <c r="H287" i="6"/>
  <c r="G287" i="6"/>
  <c r="F287" i="6"/>
  <c r="E287" i="6"/>
  <c r="D287" i="6"/>
  <c r="C287" i="6"/>
  <c r="B287" i="6"/>
  <c r="A287" i="6"/>
  <c r="H286" i="6"/>
  <c r="G286" i="6"/>
  <c r="F286" i="6"/>
  <c r="E286" i="6"/>
  <c r="D286" i="6"/>
  <c r="C286" i="6"/>
  <c r="B286" i="6"/>
  <c r="A286" i="6"/>
  <c r="H285" i="6"/>
  <c r="G285" i="6"/>
  <c r="F285" i="6"/>
  <c r="E285" i="6"/>
  <c r="D285" i="6"/>
  <c r="C285" i="6"/>
  <c r="B285" i="6"/>
  <c r="A285" i="6"/>
  <c r="H284" i="6"/>
  <c r="G284" i="6"/>
  <c r="F284" i="6"/>
  <c r="E284" i="6"/>
  <c r="D284" i="6"/>
  <c r="C284" i="6"/>
  <c r="B284" i="6"/>
  <c r="A284" i="6"/>
  <c r="H283" i="6"/>
  <c r="G283" i="6"/>
  <c r="F283" i="6"/>
  <c r="E283" i="6"/>
  <c r="D283" i="6"/>
  <c r="C283" i="6"/>
  <c r="B283" i="6"/>
  <c r="A283" i="6"/>
  <c r="H282" i="6"/>
  <c r="G282" i="6"/>
  <c r="F282" i="6"/>
  <c r="E282" i="6"/>
  <c r="D282" i="6"/>
  <c r="C282" i="6"/>
  <c r="B282" i="6"/>
  <c r="A282" i="6"/>
  <c r="H281" i="6"/>
  <c r="G281" i="6"/>
  <c r="F281" i="6"/>
  <c r="E281" i="6"/>
  <c r="D281" i="6"/>
  <c r="C281" i="6"/>
  <c r="B281" i="6"/>
  <c r="A281" i="6"/>
  <c r="H280" i="6"/>
  <c r="G280" i="6"/>
  <c r="F280" i="6"/>
  <c r="E280" i="6"/>
  <c r="D280" i="6"/>
  <c r="C280" i="6"/>
  <c r="B280" i="6"/>
  <c r="A280" i="6"/>
  <c r="H279" i="6"/>
  <c r="G279" i="6"/>
  <c r="F279" i="6"/>
  <c r="E279" i="6"/>
  <c r="D279" i="6"/>
  <c r="C279" i="6"/>
  <c r="B279" i="6"/>
  <c r="A279" i="6"/>
  <c r="H278" i="6"/>
  <c r="G278" i="6"/>
  <c r="F278" i="6"/>
  <c r="E278" i="6"/>
  <c r="D278" i="6"/>
  <c r="C278" i="6"/>
  <c r="B278" i="6"/>
  <c r="A278" i="6"/>
  <c r="H277" i="6"/>
  <c r="G277" i="6"/>
  <c r="F277" i="6"/>
  <c r="E277" i="6"/>
  <c r="D277" i="6"/>
  <c r="C277" i="6"/>
  <c r="B277" i="6"/>
  <c r="A277" i="6"/>
  <c r="H276" i="6"/>
  <c r="G276" i="6"/>
  <c r="F276" i="6"/>
  <c r="E276" i="6"/>
  <c r="D276" i="6"/>
  <c r="C276" i="6"/>
  <c r="B276" i="6"/>
  <c r="A276" i="6"/>
  <c r="H275" i="6"/>
  <c r="G275" i="6"/>
  <c r="F275" i="6"/>
  <c r="E275" i="6"/>
  <c r="D275" i="6"/>
  <c r="C275" i="6"/>
  <c r="B275" i="6"/>
  <c r="A275" i="6"/>
  <c r="H274" i="6"/>
  <c r="G274" i="6"/>
  <c r="F274" i="6"/>
  <c r="E274" i="6"/>
  <c r="D274" i="6"/>
  <c r="C274" i="6"/>
  <c r="B274" i="6"/>
  <c r="A274" i="6"/>
  <c r="H273" i="6"/>
  <c r="G273" i="6"/>
  <c r="F273" i="6"/>
  <c r="E273" i="6"/>
  <c r="D273" i="6"/>
  <c r="C273" i="6"/>
  <c r="B273" i="6"/>
  <c r="A273" i="6"/>
  <c r="H272" i="6"/>
  <c r="G272" i="6"/>
  <c r="F272" i="6"/>
  <c r="E272" i="6"/>
  <c r="D272" i="6"/>
  <c r="C272" i="6"/>
  <c r="B272" i="6"/>
  <c r="A272" i="6"/>
  <c r="H271" i="6"/>
  <c r="G271" i="6"/>
  <c r="F271" i="6"/>
  <c r="E271" i="6"/>
  <c r="D271" i="6"/>
  <c r="C271" i="6"/>
  <c r="B271" i="6"/>
  <c r="A271" i="6"/>
  <c r="H270" i="6"/>
  <c r="G270" i="6"/>
  <c r="F270" i="6"/>
  <c r="E270" i="6"/>
  <c r="D270" i="6"/>
  <c r="C270" i="6"/>
  <c r="B270" i="6"/>
  <c r="A270" i="6"/>
  <c r="H269" i="6"/>
  <c r="G269" i="6"/>
  <c r="F269" i="6"/>
  <c r="E269" i="6"/>
  <c r="D269" i="6"/>
  <c r="C269" i="6"/>
  <c r="B269" i="6"/>
  <c r="A269" i="6"/>
  <c r="H268" i="6"/>
  <c r="G268" i="6"/>
  <c r="F268" i="6"/>
  <c r="E268" i="6"/>
  <c r="D268" i="6"/>
  <c r="C268" i="6"/>
  <c r="B268" i="6"/>
  <c r="A268" i="6"/>
  <c r="H267" i="6"/>
  <c r="G267" i="6"/>
  <c r="F267" i="6"/>
  <c r="E267" i="6"/>
  <c r="D267" i="6"/>
  <c r="C267" i="6"/>
  <c r="B267" i="6"/>
  <c r="A267" i="6"/>
  <c r="H266" i="6"/>
  <c r="G266" i="6"/>
  <c r="F266" i="6"/>
  <c r="E266" i="6"/>
  <c r="D266" i="6"/>
  <c r="C266" i="6"/>
  <c r="B266" i="6"/>
  <c r="A266" i="6"/>
  <c r="H265" i="6"/>
  <c r="G265" i="6"/>
  <c r="F265" i="6"/>
  <c r="E265" i="6"/>
  <c r="D265" i="6"/>
  <c r="C265" i="6"/>
  <c r="B265" i="6"/>
  <c r="A265" i="6"/>
  <c r="H264" i="6"/>
  <c r="G264" i="6"/>
  <c r="F264" i="6"/>
  <c r="E264" i="6"/>
  <c r="D264" i="6"/>
  <c r="C264" i="6"/>
  <c r="B264" i="6"/>
  <c r="A264" i="6"/>
  <c r="H263" i="6"/>
  <c r="G263" i="6"/>
  <c r="F263" i="6"/>
  <c r="E263" i="6"/>
  <c r="D263" i="6"/>
  <c r="C263" i="6"/>
  <c r="B263" i="6"/>
  <c r="A263" i="6"/>
  <c r="H262" i="6"/>
  <c r="G262" i="6"/>
  <c r="F262" i="6"/>
  <c r="E262" i="6"/>
  <c r="D262" i="6"/>
  <c r="C262" i="6"/>
  <c r="B262" i="6"/>
  <c r="A262" i="6"/>
  <c r="H261" i="6"/>
  <c r="G261" i="6"/>
  <c r="F261" i="6"/>
  <c r="E261" i="6"/>
  <c r="D261" i="6"/>
  <c r="C261" i="6"/>
  <c r="B261" i="6"/>
  <c r="A261" i="6"/>
  <c r="H260" i="6"/>
  <c r="G260" i="6"/>
  <c r="F260" i="6"/>
  <c r="E260" i="6"/>
  <c r="D260" i="6"/>
  <c r="C260" i="6"/>
  <c r="B260" i="6"/>
  <c r="A260" i="6"/>
  <c r="H259" i="6"/>
  <c r="G259" i="6"/>
  <c r="F259" i="6"/>
  <c r="E259" i="6"/>
  <c r="D259" i="6"/>
  <c r="C259" i="6"/>
  <c r="B259" i="6"/>
  <c r="A259" i="6"/>
  <c r="H258" i="6"/>
  <c r="G258" i="6"/>
  <c r="F258" i="6"/>
  <c r="E258" i="6"/>
  <c r="D258" i="6"/>
  <c r="C258" i="6"/>
  <c r="B258" i="6"/>
  <c r="A258" i="6"/>
  <c r="H257" i="6"/>
  <c r="G257" i="6"/>
  <c r="F257" i="6"/>
  <c r="E257" i="6"/>
  <c r="D257" i="6"/>
  <c r="C257" i="6"/>
  <c r="B257" i="6"/>
  <c r="A257" i="6"/>
  <c r="H256" i="6"/>
  <c r="G256" i="6"/>
  <c r="F256" i="6"/>
  <c r="E256" i="6"/>
  <c r="D256" i="6"/>
  <c r="C256" i="6"/>
  <c r="B256" i="6"/>
  <c r="A256" i="6"/>
  <c r="H255" i="6"/>
  <c r="G255" i="6"/>
  <c r="F255" i="6"/>
  <c r="E255" i="6"/>
  <c r="D255" i="6"/>
  <c r="C255" i="6"/>
  <c r="B255" i="6"/>
  <c r="A255" i="6"/>
  <c r="H254" i="6"/>
  <c r="G254" i="6"/>
  <c r="F254" i="6"/>
  <c r="E254" i="6"/>
  <c r="D254" i="6"/>
  <c r="C254" i="6"/>
  <c r="B254" i="6"/>
  <c r="A254" i="6"/>
  <c r="H253" i="6"/>
  <c r="G253" i="6"/>
  <c r="F253" i="6"/>
  <c r="E253" i="6"/>
  <c r="D253" i="6"/>
  <c r="C253" i="6"/>
  <c r="B253" i="6"/>
  <c r="A253" i="6"/>
  <c r="H252" i="6"/>
  <c r="G252" i="6"/>
  <c r="F252" i="6"/>
  <c r="E252" i="6"/>
  <c r="D252" i="6"/>
  <c r="C252" i="6"/>
  <c r="B252" i="6"/>
  <c r="A252" i="6"/>
  <c r="H251" i="6"/>
  <c r="G251" i="6"/>
  <c r="F251" i="6"/>
  <c r="E251" i="6"/>
  <c r="D251" i="6"/>
  <c r="C251" i="6"/>
  <c r="B251" i="6"/>
  <c r="A251" i="6"/>
  <c r="H250" i="6"/>
  <c r="G250" i="6"/>
  <c r="F250" i="6"/>
  <c r="E250" i="6"/>
  <c r="D250" i="6"/>
  <c r="C250" i="6"/>
  <c r="B250" i="6"/>
  <c r="A250" i="6"/>
  <c r="H249" i="6"/>
  <c r="G249" i="6"/>
  <c r="F249" i="6"/>
  <c r="E249" i="6"/>
  <c r="D249" i="6"/>
  <c r="C249" i="6"/>
  <c r="B249" i="6"/>
  <c r="A249" i="6"/>
  <c r="H248" i="6"/>
  <c r="G248" i="6"/>
  <c r="F248" i="6"/>
  <c r="E248" i="6"/>
  <c r="D248" i="6"/>
  <c r="C248" i="6"/>
  <c r="B248" i="6"/>
  <c r="A248" i="6"/>
  <c r="H247" i="6"/>
  <c r="G247" i="6"/>
  <c r="F247" i="6"/>
  <c r="E247" i="6"/>
  <c r="D247" i="6"/>
  <c r="C247" i="6"/>
  <c r="B247" i="6"/>
  <c r="A247" i="6"/>
  <c r="H246" i="6"/>
  <c r="G246" i="6"/>
  <c r="F246" i="6"/>
  <c r="E246" i="6"/>
  <c r="D246" i="6"/>
  <c r="C246" i="6"/>
  <c r="B246" i="6"/>
  <c r="A246" i="6"/>
  <c r="H245" i="6"/>
  <c r="G245" i="6"/>
  <c r="F245" i="6"/>
  <c r="E245" i="6"/>
  <c r="D245" i="6"/>
  <c r="C245" i="6"/>
  <c r="B245" i="6"/>
  <c r="A245" i="6"/>
  <c r="H244" i="6"/>
  <c r="G244" i="6"/>
  <c r="F244" i="6"/>
  <c r="E244" i="6"/>
  <c r="D244" i="6"/>
  <c r="C244" i="6"/>
  <c r="B244" i="6"/>
  <c r="A244" i="6"/>
  <c r="H243" i="6"/>
  <c r="G243" i="6"/>
  <c r="F243" i="6"/>
  <c r="E243" i="6"/>
  <c r="D243" i="6"/>
  <c r="C243" i="6"/>
  <c r="B243" i="6"/>
  <c r="A243" i="6"/>
  <c r="H242" i="6"/>
  <c r="G242" i="6"/>
  <c r="F242" i="6"/>
  <c r="E242" i="6"/>
  <c r="D242" i="6"/>
  <c r="C242" i="6"/>
  <c r="B242" i="6"/>
  <c r="A242" i="6"/>
  <c r="H241" i="6"/>
  <c r="G241" i="6"/>
  <c r="F241" i="6"/>
  <c r="E241" i="6"/>
  <c r="D241" i="6"/>
  <c r="C241" i="6"/>
  <c r="B241" i="6"/>
  <c r="A241" i="6"/>
  <c r="H240" i="6"/>
  <c r="G240" i="6"/>
  <c r="F240" i="6"/>
  <c r="E240" i="6"/>
  <c r="D240" i="6"/>
  <c r="C240" i="6"/>
  <c r="B240" i="6"/>
  <c r="A240" i="6"/>
  <c r="H239" i="6"/>
  <c r="G239" i="6"/>
  <c r="F239" i="6"/>
  <c r="E239" i="6"/>
  <c r="D239" i="6"/>
  <c r="C239" i="6"/>
  <c r="B239" i="6"/>
  <c r="A239" i="6"/>
  <c r="H238" i="6"/>
  <c r="G238" i="6"/>
  <c r="F238" i="6"/>
  <c r="E238" i="6"/>
  <c r="D238" i="6"/>
  <c r="C238" i="6"/>
  <c r="B238" i="6"/>
  <c r="A238" i="6"/>
  <c r="H237" i="6"/>
  <c r="G237" i="6"/>
  <c r="F237" i="6"/>
  <c r="E237" i="6"/>
  <c r="D237" i="6"/>
  <c r="C237" i="6"/>
  <c r="B237" i="6"/>
  <c r="A237" i="6"/>
  <c r="H236" i="6"/>
  <c r="G236" i="6"/>
  <c r="F236" i="6"/>
  <c r="E236" i="6"/>
  <c r="D236" i="6"/>
  <c r="C236" i="6"/>
  <c r="B236" i="6"/>
  <c r="A236" i="6"/>
  <c r="H235" i="6"/>
  <c r="G235" i="6"/>
  <c r="F235" i="6"/>
  <c r="E235" i="6"/>
  <c r="D235" i="6"/>
  <c r="C235" i="6"/>
  <c r="B235" i="6"/>
  <c r="A235" i="6"/>
  <c r="H234" i="6"/>
  <c r="G234" i="6"/>
  <c r="F234" i="6"/>
  <c r="E234" i="6"/>
  <c r="D234" i="6"/>
  <c r="C234" i="6"/>
  <c r="B234" i="6"/>
  <c r="A234" i="6"/>
  <c r="H233" i="6"/>
  <c r="G233" i="6"/>
  <c r="F233" i="6"/>
  <c r="E233" i="6"/>
  <c r="D233" i="6"/>
  <c r="C233" i="6"/>
  <c r="B233" i="6"/>
  <c r="A233" i="6"/>
  <c r="H232" i="6"/>
  <c r="G232" i="6"/>
  <c r="F232" i="6"/>
  <c r="E232" i="6"/>
  <c r="D232" i="6"/>
  <c r="C232" i="6"/>
  <c r="B232" i="6"/>
  <c r="A232" i="6"/>
  <c r="H231" i="6"/>
  <c r="G231" i="6"/>
  <c r="F231" i="6"/>
  <c r="E231" i="6"/>
  <c r="D231" i="6"/>
  <c r="C231" i="6"/>
  <c r="B231" i="6"/>
  <c r="A231" i="6"/>
  <c r="H230" i="6"/>
  <c r="G230" i="6"/>
  <c r="F230" i="6"/>
  <c r="E230" i="6"/>
  <c r="D230" i="6"/>
  <c r="C230" i="6"/>
  <c r="B230" i="6"/>
  <c r="A230" i="6"/>
  <c r="H229" i="6"/>
  <c r="G229" i="6"/>
  <c r="F229" i="6"/>
  <c r="E229" i="6"/>
  <c r="D229" i="6"/>
  <c r="C229" i="6"/>
  <c r="B229" i="6"/>
  <c r="A229" i="6"/>
  <c r="H228" i="6"/>
  <c r="G228" i="6"/>
  <c r="F228" i="6"/>
  <c r="E228" i="6"/>
  <c r="D228" i="6"/>
  <c r="C228" i="6"/>
  <c r="B228" i="6"/>
  <c r="A228" i="6"/>
  <c r="H227" i="6"/>
  <c r="G227" i="6"/>
  <c r="F227" i="6"/>
  <c r="E227" i="6"/>
  <c r="D227" i="6"/>
  <c r="C227" i="6"/>
  <c r="B227" i="6"/>
  <c r="A227" i="6"/>
  <c r="H226" i="6"/>
  <c r="G226" i="6"/>
  <c r="F226" i="6"/>
  <c r="E226" i="6"/>
  <c r="D226" i="6"/>
  <c r="C226" i="6"/>
  <c r="B226" i="6"/>
  <c r="A226" i="6"/>
  <c r="H225" i="6"/>
  <c r="G225" i="6"/>
  <c r="F225" i="6"/>
  <c r="E225" i="6"/>
  <c r="D225" i="6"/>
  <c r="C225" i="6"/>
  <c r="B225" i="6"/>
  <c r="A225" i="6"/>
  <c r="H224" i="6"/>
  <c r="G224" i="6"/>
  <c r="F224" i="6"/>
  <c r="E224" i="6"/>
  <c r="D224" i="6"/>
  <c r="C224" i="6"/>
  <c r="B224" i="6"/>
  <c r="A224" i="6"/>
  <c r="H223" i="6"/>
  <c r="G223" i="6"/>
  <c r="F223" i="6"/>
  <c r="E223" i="6"/>
  <c r="D223" i="6"/>
  <c r="C223" i="6"/>
  <c r="B223" i="6"/>
  <c r="A223" i="6"/>
  <c r="H222" i="6"/>
  <c r="G222" i="6"/>
  <c r="F222" i="6"/>
  <c r="E222" i="6"/>
  <c r="D222" i="6"/>
  <c r="C222" i="6"/>
  <c r="B222" i="6"/>
  <c r="A222" i="6"/>
  <c r="H221" i="6"/>
  <c r="G221" i="6"/>
  <c r="F221" i="6"/>
  <c r="E221" i="6"/>
  <c r="D221" i="6"/>
  <c r="C221" i="6"/>
  <c r="B221" i="6"/>
  <c r="A221" i="6"/>
  <c r="H220" i="6"/>
  <c r="G220" i="6"/>
  <c r="F220" i="6"/>
  <c r="E220" i="6"/>
  <c r="D220" i="6"/>
  <c r="C220" i="6"/>
  <c r="B220" i="6"/>
  <c r="A220" i="6"/>
  <c r="H219" i="6"/>
  <c r="G219" i="6"/>
  <c r="F219" i="6"/>
  <c r="E219" i="6"/>
  <c r="D219" i="6"/>
  <c r="C219" i="6"/>
  <c r="B219" i="6"/>
  <c r="A219" i="6"/>
  <c r="H218" i="6"/>
  <c r="G218" i="6"/>
  <c r="F218" i="6"/>
  <c r="E218" i="6"/>
  <c r="D218" i="6"/>
  <c r="C218" i="6"/>
  <c r="B218" i="6"/>
  <c r="A218" i="6"/>
  <c r="H217" i="6"/>
  <c r="G217" i="6"/>
  <c r="F217" i="6"/>
  <c r="E217" i="6"/>
  <c r="D217" i="6"/>
  <c r="C217" i="6"/>
  <c r="B217" i="6"/>
  <c r="A217" i="6"/>
  <c r="H216" i="6"/>
  <c r="G216" i="6"/>
  <c r="F216" i="6"/>
  <c r="E216" i="6"/>
  <c r="D216" i="6"/>
  <c r="C216" i="6"/>
  <c r="B216" i="6"/>
  <c r="A216" i="6"/>
  <c r="H215" i="6"/>
  <c r="G215" i="6"/>
  <c r="F215" i="6"/>
  <c r="E215" i="6"/>
  <c r="D215" i="6"/>
  <c r="C215" i="6"/>
  <c r="B215" i="6"/>
  <c r="A215" i="6"/>
  <c r="H214" i="6"/>
  <c r="G214" i="6"/>
  <c r="F214" i="6"/>
  <c r="E214" i="6"/>
  <c r="D214" i="6"/>
  <c r="C214" i="6"/>
  <c r="B214" i="6"/>
  <c r="A214" i="6"/>
  <c r="H213" i="6"/>
  <c r="G213" i="6"/>
  <c r="F213" i="6"/>
  <c r="E213" i="6"/>
  <c r="D213" i="6"/>
  <c r="C213" i="6"/>
  <c r="B213" i="6"/>
  <c r="A213" i="6"/>
  <c r="H212" i="6"/>
  <c r="G212" i="6"/>
  <c r="F212" i="6"/>
  <c r="E212" i="6"/>
  <c r="D212" i="6"/>
  <c r="C212" i="6"/>
  <c r="B212" i="6"/>
  <c r="A212" i="6"/>
  <c r="H211" i="6"/>
  <c r="G211" i="6"/>
  <c r="F211" i="6"/>
  <c r="E211" i="6"/>
  <c r="D211" i="6"/>
  <c r="C211" i="6"/>
  <c r="B211" i="6"/>
  <c r="A211" i="6"/>
  <c r="H210" i="6"/>
  <c r="G210" i="6"/>
  <c r="F210" i="6"/>
  <c r="E210" i="6"/>
  <c r="D210" i="6"/>
  <c r="C210" i="6"/>
  <c r="B210" i="6"/>
  <c r="A210" i="6"/>
  <c r="H209" i="6"/>
  <c r="G209" i="6"/>
  <c r="F209" i="6"/>
  <c r="E209" i="6"/>
  <c r="D209" i="6"/>
  <c r="C209" i="6"/>
  <c r="B209" i="6"/>
  <c r="A209" i="6"/>
  <c r="H208" i="6"/>
  <c r="G208" i="6"/>
  <c r="F208" i="6"/>
  <c r="E208" i="6"/>
  <c r="D208" i="6"/>
  <c r="C208" i="6"/>
  <c r="B208" i="6"/>
  <c r="A208" i="6"/>
  <c r="H207" i="6"/>
  <c r="G207" i="6"/>
  <c r="F207" i="6"/>
  <c r="E207" i="6"/>
  <c r="D207" i="6"/>
  <c r="C207" i="6"/>
  <c r="B207" i="6"/>
  <c r="A207" i="6"/>
  <c r="H206" i="6"/>
  <c r="G206" i="6"/>
  <c r="F206" i="6"/>
  <c r="E206" i="6"/>
  <c r="D206" i="6"/>
  <c r="C206" i="6"/>
  <c r="B206" i="6"/>
  <c r="A206" i="6"/>
  <c r="H205" i="6"/>
  <c r="G205" i="6"/>
  <c r="F205" i="6"/>
  <c r="E205" i="6"/>
  <c r="D205" i="6"/>
  <c r="C205" i="6"/>
  <c r="B205" i="6"/>
  <c r="A205" i="6"/>
  <c r="H204" i="6"/>
  <c r="G204" i="6"/>
  <c r="F204" i="6"/>
  <c r="E204" i="6"/>
  <c r="D204" i="6"/>
  <c r="C204" i="6"/>
  <c r="B204" i="6"/>
  <c r="A204" i="6"/>
  <c r="H203" i="6"/>
  <c r="G203" i="6"/>
  <c r="F203" i="6"/>
  <c r="E203" i="6"/>
  <c r="D203" i="6"/>
  <c r="C203" i="6"/>
  <c r="B203" i="6"/>
  <c r="A203" i="6"/>
  <c r="H202" i="6"/>
  <c r="G202" i="6"/>
  <c r="F202" i="6"/>
  <c r="E202" i="6"/>
  <c r="D202" i="6"/>
  <c r="C202" i="6"/>
  <c r="B202" i="6"/>
  <c r="A202" i="6"/>
  <c r="H201" i="6"/>
  <c r="G201" i="6"/>
  <c r="F201" i="6"/>
  <c r="E201" i="6"/>
  <c r="D201" i="6"/>
  <c r="C201" i="6"/>
  <c r="B201" i="6"/>
  <c r="A201" i="6"/>
  <c r="H200" i="6"/>
  <c r="G200" i="6"/>
  <c r="F200" i="6"/>
  <c r="E200" i="6"/>
  <c r="D200" i="6"/>
  <c r="C200" i="6"/>
  <c r="B200" i="6"/>
  <c r="A200" i="6"/>
  <c r="H199" i="6"/>
  <c r="G199" i="6"/>
  <c r="F199" i="6"/>
  <c r="E199" i="6"/>
  <c r="D199" i="6"/>
  <c r="C199" i="6"/>
  <c r="B199" i="6"/>
  <c r="A199" i="6"/>
  <c r="H198" i="6"/>
  <c r="G198" i="6"/>
  <c r="F198" i="6"/>
  <c r="E198" i="6"/>
  <c r="D198" i="6"/>
  <c r="C198" i="6"/>
  <c r="B198" i="6"/>
  <c r="A198" i="6"/>
  <c r="H197" i="6"/>
  <c r="G197" i="6"/>
  <c r="F197" i="6"/>
  <c r="E197" i="6"/>
  <c r="D197" i="6"/>
  <c r="C197" i="6"/>
  <c r="B197" i="6"/>
  <c r="A197" i="6"/>
  <c r="H196" i="6"/>
  <c r="G196" i="6"/>
  <c r="F196" i="6"/>
  <c r="E196" i="6"/>
  <c r="D196" i="6"/>
  <c r="C196" i="6"/>
  <c r="B196" i="6"/>
  <c r="A196" i="6"/>
  <c r="H195" i="6"/>
  <c r="G195" i="6"/>
  <c r="F195" i="6"/>
  <c r="E195" i="6"/>
  <c r="D195" i="6"/>
  <c r="C195" i="6"/>
  <c r="B195" i="6"/>
  <c r="A195" i="6"/>
  <c r="H194" i="6"/>
  <c r="G194" i="6"/>
  <c r="F194" i="6"/>
  <c r="E194" i="6"/>
  <c r="D194" i="6"/>
  <c r="C194" i="6"/>
  <c r="B194" i="6"/>
  <c r="A194" i="6"/>
  <c r="H193" i="6"/>
  <c r="G193" i="6"/>
  <c r="F193" i="6"/>
  <c r="E193" i="6"/>
  <c r="D193" i="6"/>
  <c r="C193" i="6"/>
  <c r="B193" i="6"/>
  <c r="A193" i="6"/>
  <c r="H192" i="6"/>
  <c r="G192" i="6"/>
  <c r="F192" i="6"/>
  <c r="E192" i="6"/>
  <c r="D192" i="6"/>
  <c r="C192" i="6"/>
  <c r="B192" i="6"/>
  <c r="A192" i="6"/>
  <c r="H191" i="6"/>
  <c r="G191" i="6"/>
  <c r="F191" i="6"/>
  <c r="E191" i="6"/>
  <c r="D191" i="6"/>
  <c r="C191" i="6"/>
  <c r="B191" i="6"/>
  <c r="A191" i="6"/>
  <c r="H190" i="6"/>
  <c r="G190" i="6"/>
  <c r="F190" i="6"/>
  <c r="E190" i="6"/>
  <c r="D190" i="6"/>
  <c r="C190" i="6"/>
  <c r="B190" i="6"/>
  <c r="A190" i="6"/>
  <c r="H189" i="6"/>
  <c r="G189" i="6"/>
  <c r="F189" i="6"/>
  <c r="E189" i="6"/>
  <c r="D189" i="6"/>
  <c r="C189" i="6"/>
  <c r="B189" i="6"/>
  <c r="A189" i="6"/>
  <c r="H188" i="6"/>
  <c r="G188" i="6"/>
  <c r="F188" i="6"/>
  <c r="E188" i="6"/>
  <c r="D188" i="6"/>
  <c r="C188" i="6"/>
  <c r="B188" i="6"/>
  <c r="A188" i="6"/>
  <c r="H187" i="6"/>
  <c r="G187" i="6"/>
  <c r="F187" i="6"/>
  <c r="E187" i="6"/>
  <c r="D187" i="6"/>
  <c r="C187" i="6"/>
  <c r="B187" i="6"/>
  <c r="A187" i="6"/>
  <c r="H186" i="6"/>
  <c r="G186" i="6"/>
  <c r="F186" i="6"/>
  <c r="E186" i="6"/>
  <c r="D186" i="6"/>
  <c r="C186" i="6"/>
  <c r="B186" i="6"/>
  <c r="A186" i="6"/>
  <c r="H185" i="6"/>
  <c r="G185" i="6"/>
  <c r="F185" i="6"/>
  <c r="E185" i="6"/>
  <c r="D185" i="6"/>
  <c r="C185" i="6"/>
  <c r="B185" i="6"/>
  <c r="A185" i="6"/>
  <c r="H184" i="6"/>
  <c r="G184" i="6"/>
  <c r="F184" i="6"/>
  <c r="E184" i="6"/>
  <c r="D184" i="6"/>
  <c r="C184" i="6"/>
  <c r="B184" i="6"/>
  <c r="A184" i="6"/>
  <c r="H183" i="6"/>
  <c r="G183" i="6"/>
  <c r="F183" i="6"/>
  <c r="E183" i="6"/>
  <c r="D183" i="6"/>
  <c r="C183" i="6"/>
  <c r="B183" i="6"/>
  <c r="A183" i="6"/>
  <c r="H182" i="6"/>
  <c r="G182" i="6"/>
  <c r="F182" i="6"/>
  <c r="E182" i="6"/>
  <c r="D182" i="6"/>
  <c r="C182" i="6"/>
  <c r="B182" i="6"/>
  <c r="A182" i="6"/>
  <c r="H181" i="6"/>
  <c r="G181" i="6"/>
  <c r="F181" i="6"/>
  <c r="E181" i="6"/>
  <c r="D181" i="6"/>
  <c r="C181" i="6"/>
  <c r="B181" i="6"/>
  <c r="A181" i="6"/>
  <c r="H180" i="6"/>
  <c r="G180" i="6"/>
  <c r="F180" i="6"/>
  <c r="E180" i="6"/>
  <c r="D180" i="6"/>
  <c r="C180" i="6"/>
  <c r="B180" i="6"/>
  <c r="A180" i="6"/>
  <c r="H179" i="6"/>
  <c r="G179" i="6"/>
  <c r="F179" i="6"/>
  <c r="E179" i="6"/>
  <c r="D179" i="6"/>
  <c r="C179" i="6"/>
  <c r="B179" i="6"/>
  <c r="A179" i="6"/>
  <c r="H178" i="6"/>
  <c r="G178" i="6"/>
  <c r="F178" i="6"/>
  <c r="E178" i="6"/>
  <c r="D178" i="6"/>
  <c r="C178" i="6"/>
  <c r="B178" i="6"/>
  <c r="A178" i="6"/>
  <c r="H177" i="6"/>
  <c r="G177" i="6"/>
  <c r="F177" i="6"/>
  <c r="E177" i="6"/>
  <c r="D177" i="6"/>
  <c r="C177" i="6"/>
  <c r="B177" i="6"/>
  <c r="A177" i="6"/>
  <c r="H176" i="6"/>
  <c r="G176" i="6"/>
  <c r="F176" i="6"/>
  <c r="E176" i="6"/>
  <c r="D176" i="6"/>
  <c r="C176" i="6"/>
  <c r="B176" i="6"/>
  <c r="A176" i="6"/>
  <c r="H175" i="6"/>
  <c r="G175" i="6"/>
  <c r="F175" i="6"/>
  <c r="E175" i="6"/>
  <c r="D175" i="6"/>
  <c r="C175" i="6"/>
  <c r="B175" i="6"/>
  <c r="A175" i="6"/>
  <c r="H174" i="6"/>
  <c r="G174" i="6"/>
  <c r="F174" i="6"/>
  <c r="E174" i="6"/>
  <c r="D174" i="6"/>
  <c r="C174" i="6"/>
  <c r="B174" i="6"/>
  <c r="A174" i="6"/>
  <c r="H173" i="6"/>
  <c r="G173" i="6"/>
  <c r="F173" i="6"/>
  <c r="E173" i="6"/>
  <c r="D173" i="6"/>
  <c r="C173" i="6"/>
  <c r="B173" i="6"/>
  <c r="A173" i="6"/>
  <c r="H172" i="6"/>
  <c r="G172" i="6"/>
  <c r="F172" i="6"/>
  <c r="E172" i="6"/>
  <c r="D172" i="6"/>
  <c r="C172" i="6"/>
  <c r="B172" i="6"/>
  <c r="A172" i="6"/>
  <c r="H171" i="6"/>
  <c r="G171" i="6"/>
  <c r="F171" i="6"/>
  <c r="E171" i="6"/>
  <c r="D171" i="6"/>
  <c r="C171" i="6"/>
  <c r="B171" i="6"/>
  <c r="A171" i="6"/>
  <c r="H170" i="6"/>
  <c r="G170" i="6"/>
  <c r="F170" i="6"/>
  <c r="E170" i="6"/>
  <c r="D170" i="6"/>
  <c r="C170" i="6"/>
  <c r="B170" i="6"/>
  <c r="A170" i="6"/>
  <c r="H169" i="6"/>
  <c r="G169" i="6"/>
  <c r="F169" i="6"/>
  <c r="E169" i="6"/>
  <c r="D169" i="6"/>
  <c r="C169" i="6"/>
  <c r="B169" i="6"/>
  <c r="A169" i="6"/>
  <c r="H168" i="6"/>
  <c r="G168" i="6"/>
  <c r="F168" i="6"/>
  <c r="E168" i="6"/>
  <c r="D168" i="6"/>
  <c r="C168" i="6"/>
  <c r="B168" i="6"/>
  <c r="A168" i="6"/>
  <c r="H167" i="6"/>
  <c r="G167" i="6"/>
  <c r="F167" i="6"/>
  <c r="E167" i="6"/>
  <c r="D167" i="6"/>
  <c r="C167" i="6"/>
  <c r="B167" i="6"/>
  <c r="A167" i="6"/>
  <c r="H166" i="6"/>
  <c r="G166" i="6"/>
  <c r="F166" i="6"/>
  <c r="E166" i="6"/>
  <c r="D166" i="6"/>
  <c r="C166" i="6"/>
  <c r="B166" i="6"/>
  <c r="A166" i="6"/>
  <c r="H165" i="6"/>
  <c r="G165" i="6"/>
  <c r="F165" i="6"/>
  <c r="E165" i="6"/>
  <c r="D165" i="6"/>
  <c r="C165" i="6"/>
  <c r="B165" i="6"/>
  <c r="A165" i="6"/>
  <c r="H164" i="6"/>
  <c r="G164" i="6"/>
  <c r="F164" i="6"/>
  <c r="E164" i="6"/>
  <c r="D164" i="6"/>
  <c r="C164" i="6"/>
  <c r="B164" i="6"/>
  <c r="A164" i="6"/>
  <c r="H163" i="6"/>
  <c r="G163" i="6"/>
  <c r="F163" i="6"/>
  <c r="E163" i="6"/>
  <c r="D163" i="6"/>
  <c r="C163" i="6"/>
  <c r="B163" i="6"/>
  <c r="A163" i="6"/>
  <c r="H162" i="6"/>
  <c r="G162" i="6"/>
  <c r="F162" i="6"/>
  <c r="E162" i="6"/>
  <c r="D162" i="6"/>
  <c r="C162" i="6"/>
  <c r="B162" i="6"/>
  <c r="A162" i="6"/>
  <c r="H161" i="6"/>
  <c r="G161" i="6"/>
  <c r="F161" i="6"/>
  <c r="E161" i="6"/>
  <c r="D161" i="6"/>
  <c r="C161" i="6"/>
  <c r="B161" i="6"/>
  <c r="A161" i="6"/>
  <c r="H160" i="6"/>
  <c r="G160" i="6"/>
  <c r="F160" i="6"/>
  <c r="E160" i="6"/>
  <c r="D160" i="6"/>
  <c r="C160" i="6"/>
  <c r="B160" i="6"/>
  <c r="A160" i="6"/>
  <c r="H159" i="6"/>
  <c r="G159" i="6"/>
  <c r="F159" i="6"/>
  <c r="E159" i="6"/>
  <c r="D159" i="6"/>
  <c r="C159" i="6"/>
  <c r="B159" i="6"/>
  <c r="A159" i="6"/>
  <c r="H158" i="6"/>
  <c r="G158" i="6"/>
  <c r="F158" i="6"/>
  <c r="E158" i="6"/>
  <c r="D158" i="6"/>
  <c r="C158" i="6"/>
  <c r="B158" i="6"/>
  <c r="A158" i="6"/>
  <c r="H157" i="6"/>
  <c r="G157" i="6"/>
  <c r="F157" i="6"/>
  <c r="E157" i="6"/>
  <c r="D157" i="6"/>
  <c r="C157" i="6"/>
  <c r="B157" i="6"/>
  <c r="A157" i="6"/>
  <c r="H156" i="6"/>
  <c r="G156" i="6"/>
  <c r="F156" i="6"/>
  <c r="E156" i="6"/>
  <c r="D156" i="6"/>
  <c r="C156" i="6"/>
  <c r="B156" i="6"/>
  <c r="A156" i="6"/>
  <c r="H155" i="6"/>
  <c r="G155" i="6"/>
  <c r="F155" i="6"/>
  <c r="E155" i="6"/>
  <c r="D155" i="6"/>
  <c r="C155" i="6"/>
  <c r="B155" i="6"/>
  <c r="A155" i="6"/>
  <c r="H154" i="6"/>
  <c r="G154" i="6"/>
  <c r="F154" i="6"/>
  <c r="E154" i="6"/>
  <c r="D154" i="6"/>
  <c r="C154" i="6"/>
  <c r="B154" i="6"/>
  <c r="A154" i="6"/>
  <c r="H153" i="6"/>
  <c r="G153" i="6"/>
  <c r="F153" i="6"/>
  <c r="E153" i="6"/>
  <c r="D153" i="6"/>
  <c r="C153" i="6"/>
  <c r="B153" i="6"/>
  <c r="A153" i="6"/>
  <c r="H152" i="6"/>
  <c r="G152" i="6"/>
  <c r="F152" i="6"/>
  <c r="E152" i="6"/>
  <c r="D152" i="6"/>
  <c r="C152" i="6"/>
  <c r="B152" i="6"/>
  <c r="A152" i="6"/>
  <c r="H151" i="6"/>
  <c r="G151" i="6"/>
  <c r="F151" i="6"/>
  <c r="E151" i="6"/>
  <c r="D151" i="6"/>
  <c r="C151" i="6"/>
  <c r="B151" i="6"/>
  <c r="A151" i="6"/>
  <c r="H150" i="6"/>
  <c r="G150" i="6"/>
  <c r="F150" i="6"/>
  <c r="E150" i="6"/>
  <c r="D150" i="6"/>
  <c r="C150" i="6"/>
  <c r="B150" i="6"/>
  <c r="A150" i="6"/>
  <c r="H149" i="6"/>
  <c r="G149" i="6"/>
  <c r="F149" i="6"/>
  <c r="E149" i="6"/>
  <c r="D149" i="6"/>
  <c r="C149" i="6"/>
  <c r="B149" i="6"/>
  <c r="A149" i="6"/>
  <c r="H148" i="6"/>
  <c r="G148" i="6"/>
  <c r="F148" i="6"/>
  <c r="E148" i="6"/>
  <c r="D148" i="6"/>
  <c r="C148" i="6"/>
  <c r="B148" i="6"/>
  <c r="A148" i="6"/>
  <c r="H147" i="6"/>
  <c r="G147" i="6"/>
  <c r="F147" i="6"/>
  <c r="E147" i="6"/>
  <c r="D147" i="6"/>
  <c r="C147" i="6"/>
  <c r="B147" i="6"/>
  <c r="A147" i="6"/>
  <c r="H146" i="6"/>
  <c r="G146" i="6"/>
  <c r="F146" i="6"/>
  <c r="E146" i="6"/>
  <c r="D146" i="6"/>
  <c r="C146" i="6"/>
  <c r="B146" i="6"/>
  <c r="A146" i="6"/>
  <c r="H145" i="6"/>
  <c r="G145" i="6"/>
  <c r="F145" i="6"/>
  <c r="E145" i="6"/>
  <c r="D145" i="6"/>
  <c r="C145" i="6"/>
  <c r="B145" i="6"/>
  <c r="A145" i="6"/>
  <c r="H144" i="6"/>
  <c r="G144" i="6"/>
  <c r="F144" i="6"/>
  <c r="E144" i="6"/>
  <c r="D144" i="6"/>
  <c r="C144" i="6"/>
  <c r="B144" i="6"/>
  <c r="A144" i="6"/>
  <c r="H143" i="6"/>
  <c r="G143" i="6"/>
  <c r="F143" i="6"/>
  <c r="E143" i="6"/>
  <c r="D143" i="6"/>
  <c r="C143" i="6"/>
  <c r="B143" i="6"/>
  <c r="A143" i="6"/>
  <c r="H142" i="6"/>
  <c r="G142" i="6"/>
  <c r="F142" i="6"/>
  <c r="E142" i="6"/>
  <c r="D142" i="6"/>
  <c r="C142" i="6"/>
  <c r="B142" i="6"/>
  <c r="A142" i="6"/>
  <c r="H141" i="6"/>
  <c r="G141" i="6"/>
  <c r="F141" i="6"/>
  <c r="E141" i="6"/>
  <c r="D141" i="6"/>
  <c r="C141" i="6"/>
  <c r="B141" i="6"/>
  <c r="A141" i="6"/>
  <c r="H140" i="6"/>
  <c r="G140" i="6"/>
  <c r="F140" i="6"/>
  <c r="E140" i="6"/>
  <c r="D140" i="6"/>
  <c r="C140" i="6"/>
  <c r="B140" i="6"/>
  <c r="A140" i="6"/>
  <c r="H139" i="6"/>
  <c r="G139" i="6"/>
  <c r="F139" i="6"/>
  <c r="E139" i="6"/>
  <c r="D139" i="6"/>
  <c r="C139" i="6"/>
  <c r="B139" i="6"/>
  <c r="A139" i="6"/>
  <c r="H138" i="6"/>
  <c r="G138" i="6"/>
  <c r="F138" i="6"/>
  <c r="E138" i="6"/>
  <c r="D138" i="6"/>
  <c r="C138" i="6"/>
  <c r="B138" i="6"/>
  <c r="A138" i="6"/>
  <c r="H137" i="6"/>
  <c r="G137" i="6"/>
  <c r="F137" i="6"/>
  <c r="E137" i="6"/>
  <c r="D137" i="6"/>
  <c r="C137" i="6"/>
  <c r="B137" i="6"/>
  <c r="A137" i="6"/>
  <c r="H136" i="6"/>
  <c r="G136" i="6"/>
  <c r="F136" i="6"/>
  <c r="E136" i="6"/>
  <c r="D136" i="6"/>
  <c r="C136" i="6"/>
  <c r="B136" i="6"/>
  <c r="A136" i="6"/>
  <c r="H135" i="6"/>
  <c r="G135" i="6"/>
  <c r="F135" i="6"/>
  <c r="E135" i="6"/>
  <c r="D135" i="6"/>
  <c r="C135" i="6"/>
  <c r="B135" i="6"/>
  <c r="A135" i="6"/>
  <c r="H134" i="6"/>
  <c r="G134" i="6"/>
  <c r="F134" i="6"/>
  <c r="E134" i="6"/>
  <c r="D134" i="6"/>
  <c r="C134" i="6"/>
  <c r="B134" i="6"/>
  <c r="A134" i="6"/>
  <c r="H133" i="6"/>
  <c r="G133" i="6"/>
  <c r="F133" i="6"/>
  <c r="E133" i="6"/>
  <c r="D133" i="6"/>
  <c r="C133" i="6"/>
  <c r="B133" i="6"/>
  <c r="A133" i="6"/>
  <c r="H132" i="6"/>
  <c r="G132" i="6"/>
  <c r="F132" i="6"/>
  <c r="E132" i="6"/>
  <c r="D132" i="6"/>
  <c r="C132" i="6"/>
  <c r="B132" i="6"/>
  <c r="A132" i="6"/>
  <c r="H131" i="6"/>
  <c r="G131" i="6"/>
  <c r="F131" i="6"/>
  <c r="E131" i="6"/>
  <c r="D131" i="6"/>
  <c r="C131" i="6"/>
  <c r="B131" i="6"/>
  <c r="A131" i="6"/>
  <c r="H130" i="6"/>
  <c r="G130" i="6"/>
  <c r="F130" i="6"/>
  <c r="E130" i="6"/>
  <c r="D130" i="6"/>
  <c r="C130" i="6"/>
  <c r="B130" i="6"/>
  <c r="A130" i="6"/>
  <c r="H129" i="6"/>
  <c r="G129" i="6"/>
  <c r="F129" i="6"/>
  <c r="E129" i="6"/>
  <c r="D129" i="6"/>
  <c r="C129" i="6"/>
  <c r="B129" i="6"/>
  <c r="A129" i="6"/>
  <c r="H128" i="6"/>
  <c r="G128" i="6"/>
  <c r="F128" i="6"/>
  <c r="E128" i="6"/>
  <c r="D128" i="6"/>
  <c r="C128" i="6"/>
  <c r="B128" i="6"/>
  <c r="A128" i="6"/>
  <c r="H127" i="6"/>
  <c r="G127" i="6"/>
  <c r="F127" i="6"/>
  <c r="E127" i="6"/>
  <c r="D127" i="6"/>
  <c r="C127" i="6"/>
  <c r="B127" i="6"/>
  <c r="A127" i="6"/>
  <c r="H126" i="6"/>
  <c r="G126" i="6"/>
  <c r="F126" i="6"/>
  <c r="E126" i="6"/>
  <c r="D126" i="6"/>
  <c r="C126" i="6"/>
  <c r="B126" i="6"/>
  <c r="A126" i="6"/>
  <c r="H125" i="6"/>
  <c r="G125" i="6"/>
  <c r="F125" i="6"/>
  <c r="E125" i="6"/>
  <c r="D125" i="6"/>
  <c r="C125" i="6"/>
  <c r="B125" i="6"/>
  <c r="A125" i="6"/>
  <c r="H124" i="6"/>
  <c r="G124" i="6"/>
  <c r="F124" i="6"/>
  <c r="E124" i="6"/>
  <c r="D124" i="6"/>
  <c r="C124" i="6"/>
  <c r="B124" i="6"/>
  <c r="A124" i="6"/>
  <c r="H123" i="6"/>
  <c r="G123" i="6"/>
  <c r="F123" i="6"/>
  <c r="E123" i="6"/>
  <c r="D123" i="6"/>
  <c r="C123" i="6"/>
  <c r="B123" i="6"/>
  <c r="A123" i="6"/>
  <c r="H122" i="6"/>
  <c r="G122" i="6"/>
  <c r="F122" i="6"/>
  <c r="E122" i="6"/>
  <c r="D122" i="6"/>
  <c r="C122" i="6"/>
  <c r="B122" i="6"/>
  <c r="A122" i="6"/>
  <c r="H121" i="6"/>
  <c r="G121" i="6"/>
  <c r="F121" i="6"/>
  <c r="E121" i="6"/>
  <c r="D121" i="6"/>
  <c r="C121" i="6"/>
  <c r="B121" i="6"/>
  <c r="A121" i="6"/>
  <c r="H120" i="6"/>
  <c r="G120" i="6"/>
  <c r="F120" i="6"/>
  <c r="E120" i="6"/>
  <c r="D120" i="6"/>
  <c r="C120" i="6"/>
  <c r="B120" i="6"/>
  <c r="A120" i="6"/>
  <c r="H119" i="6"/>
  <c r="G119" i="6"/>
  <c r="F119" i="6"/>
  <c r="E119" i="6"/>
  <c r="D119" i="6"/>
  <c r="C119" i="6"/>
  <c r="B119" i="6"/>
  <c r="A119" i="6"/>
  <c r="H118" i="6"/>
  <c r="G118" i="6"/>
  <c r="F118" i="6"/>
  <c r="E118" i="6"/>
  <c r="D118" i="6"/>
  <c r="C118" i="6"/>
  <c r="B118" i="6"/>
  <c r="A118" i="6"/>
  <c r="H117" i="6"/>
  <c r="G117" i="6"/>
  <c r="F117" i="6"/>
  <c r="E117" i="6"/>
  <c r="D117" i="6"/>
  <c r="C117" i="6"/>
  <c r="B117" i="6"/>
  <c r="A117" i="6"/>
  <c r="H116" i="6"/>
  <c r="G116" i="6"/>
  <c r="F116" i="6"/>
  <c r="E116" i="6"/>
  <c r="D116" i="6"/>
  <c r="C116" i="6"/>
  <c r="B116" i="6"/>
  <c r="A116" i="6"/>
  <c r="H115" i="6"/>
  <c r="G115" i="6"/>
  <c r="F115" i="6"/>
  <c r="E115" i="6"/>
  <c r="D115" i="6"/>
  <c r="C115" i="6"/>
  <c r="B115" i="6"/>
  <c r="A115" i="6"/>
  <c r="H114" i="6"/>
  <c r="G114" i="6"/>
  <c r="F114" i="6"/>
  <c r="E114" i="6"/>
  <c r="D114" i="6"/>
  <c r="C114" i="6"/>
  <c r="B114" i="6"/>
  <c r="A114" i="6"/>
  <c r="H113" i="6"/>
  <c r="G113" i="6"/>
  <c r="F113" i="6"/>
  <c r="E113" i="6"/>
  <c r="D113" i="6"/>
  <c r="C113" i="6"/>
  <c r="B113" i="6"/>
  <c r="A113" i="6"/>
  <c r="H112" i="6"/>
  <c r="G112" i="6"/>
  <c r="F112" i="6"/>
  <c r="E112" i="6"/>
  <c r="D112" i="6"/>
  <c r="C112" i="6"/>
  <c r="B112" i="6"/>
  <c r="A112" i="6"/>
  <c r="H111" i="6"/>
  <c r="G111" i="6"/>
  <c r="F111" i="6"/>
  <c r="E111" i="6"/>
  <c r="D111" i="6"/>
  <c r="C111" i="6"/>
  <c r="B111" i="6"/>
  <c r="A111" i="6"/>
  <c r="H110" i="6"/>
  <c r="G110" i="6"/>
  <c r="F110" i="6"/>
  <c r="E110" i="6"/>
  <c r="D110" i="6"/>
  <c r="C110" i="6"/>
  <c r="B110" i="6"/>
  <c r="A110" i="6"/>
  <c r="H109" i="6"/>
  <c r="G109" i="6"/>
  <c r="F109" i="6"/>
  <c r="E109" i="6"/>
  <c r="D109" i="6"/>
  <c r="C109" i="6"/>
  <c r="B109" i="6"/>
  <c r="A109" i="6"/>
  <c r="H108" i="6"/>
  <c r="G108" i="6"/>
  <c r="F108" i="6"/>
  <c r="E108" i="6"/>
  <c r="D108" i="6"/>
  <c r="C108" i="6"/>
  <c r="B108" i="6"/>
  <c r="A108" i="6"/>
  <c r="H107" i="6"/>
  <c r="G107" i="6"/>
  <c r="F107" i="6"/>
  <c r="E107" i="6"/>
  <c r="D107" i="6"/>
  <c r="C107" i="6"/>
  <c r="B107" i="6"/>
  <c r="A107" i="6"/>
  <c r="H106" i="6"/>
  <c r="G106" i="6"/>
  <c r="F106" i="6"/>
  <c r="E106" i="6"/>
  <c r="D106" i="6"/>
  <c r="C106" i="6"/>
  <c r="B106" i="6"/>
  <c r="A106" i="6"/>
  <c r="H105" i="6"/>
  <c r="G105" i="6"/>
  <c r="F105" i="6"/>
  <c r="E105" i="6"/>
  <c r="D105" i="6"/>
  <c r="C105" i="6"/>
  <c r="B105" i="6"/>
  <c r="A105" i="6"/>
  <c r="H104" i="6"/>
  <c r="G104" i="6"/>
  <c r="F104" i="6"/>
  <c r="E104" i="6"/>
  <c r="D104" i="6"/>
  <c r="C104" i="6"/>
  <c r="B104" i="6"/>
  <c r="A104" i="6"/>
  <c r="H103" i="6"/>
  <c r="G103" i="6"/>
  <c r="F103" i="6"/>
  <c r="E103" i="6"/>
  <c r="D103" i="6"/>
  <c r="C103" i="6"/>
  <c r="B103" i="6"/>
  <c r="A103" i="6"/>
  <c r="H102" i="6"/>
  <c r="G102" i="6"/>
  <c r="F102" i="6"/>
  <c r="E102" i="6"/>
  <c r="D102" i="6"/>
  <c r="C102" i="6"/>
  <c r="B102" i="6"/>
  <c r="A102" i="6"/>
  <c r="H101" i="6"/>
  <c r="G101" i="6"/>
  <c r="F101" i="6"/>
  <c r="E101" i="6"/>
  <c r="D101" i="6"/>
  <c r="C101" i="6"/>
  <c r="B101" i="6"/>
  <c r="A101" i="6"/>
  <c r="H100" i="6"/>
  <c r="G100" i="6"/>
  <c r="F100" i="6"/>
  <c r="E100" i="6"/>
  <c r="D100" i="6"/>
  <c r="C100" i="6"/>
  <c r="B100" i="6"/>
  <c r="A100" i="6"/>
  <c r="H99" i="6"/>
  <c r="G99" i="6"/>
  <c r="F99" i="6"/>
  <c r="E99" i="6"/>
  <c r="D99" i="6"/>
  <c r="C99" i="6"/>
  <c r="B99" i="6"/>
  <c r="A99" i="6"/>
  <c r="H98" i="6"/>
  <c r="G98" i="6"/>
  <c r="F98" i="6"/>
  <c r="E98" i="6"/>
  <c r="D98" i="6"/>
  <c r="C98" i="6"/>
  <c r="B98" i="6"/>
  <c r="A98" i="6"/>
  <c r="H97" i="6"/>
  <c r="G97" i="6"/>
  <c r="F97" i="6"/>
  <c r="E97" i="6"/>
  <c r="D97" i="6"/>
  <c r="C97" i="6"/>
  <c r="B97" i="6"/>
  <c r="A97" i="6"/>
  <c r="H96" i="6"/>
  <c r="G96" i="6"/>
  <c r="F96" i="6"/>
  <c r="E96" i="6"/>
  <c r="D96" i="6"/>
  <c r="C96" i="6"/>
  <c r="B96" i="6"/>
  <c r="A96" i="6"/>
  <c r="H95" i="6"/>
  <c r="G95" i="6"/>
  <c r="F95" i="6"/>
  <c r="E95" i="6"/>
  <c r="D95" i="6"/>
  <c r="C95" i="6"/>
  <c r="B95" i="6"/>
  <c r="A95" i="6"/>
  <c r="H94" i="6"/>
  <c r="G94" i="6"/>
  <c r="F94" i="6"/>
  <c r="E94" i="6"/>
  <c r="D94" i="6"/>
  <c r="C94" i="6"/>
  <c r="B94" i="6"/>
  <c r="A94" i="6"/>
  <c r="H93" i="6"/>
  <c r="G93" i="6"/>
  <c r="F93" i="6"/>
  <c r="E93" i="6"/>
  <c r="D93" i="6"/>
  <c r="C93" i="6"/>
  <c r="B93" i="6"/>
  <c r="A93" i="6"/>
  <c r="H92" i="6"/>
  <c r="G92" i="6"/>
  <c r="F92" i="6"/>
  <c r="E92" i="6"/>
  <c r="D92" i="6"/>
  <c r="C92" i="6"/>
  <c r="B92" i="6"/>
  <c r="A92" i="6"/>
  <c r="H91" i="6"/>
  <c r="G91" i="6"/>
  <c r="F91" i="6"/>
  <c r="E91" i="6"/>
  <c r="D91" i="6"/>
  <c r="C91" i="6"/>
  <c r="B91" i="6"/>
  <c r="A91" i="6"/>
  <c r="H90" i="6"/>
  <c r="G90" i="6"/>
  <c r="F90" i="6"/>
  <c r="E90" i="6"/>
  <c r="D90" i="6"/>
  <c r="C90" i="6"/>
  <c r="B90" i="6"/>
  <c r="A90" i="6"/>
  <c r="H89" i="6"/>
  <c r="G89" i="6"/>
  <c r="F89" i="6"/>
  <c r="E89" i="6"/>
  <c r="D89" i="6"/>
  <c r="C89" i="6"/>
  <c r="B89" i="6"/>
  <c r="A89" i="6"/>
  <c r="H88" i="6"/>
  <c r="G88" i="6"/>
  <c r="F88" i="6"/>
  <c r="E88" i="6"/>
  <c r="D88" i="6"/>
  <c r="C88" i="6"/>
  <c r="B88" i="6"/>
  <c r="A88" i="6"/>
  <c r="H87" i="6"/>
  <c r="G87" i="6"/>
  <c r="F87" i="6"/>
  <c r="E87" i="6"/>
  <c r="D87" i="6"/>
  <c r="C87" i="6"/>
  <c r="B87" i="6"/>
  <c r="A87" i="6"/>
  <c r="H86" i="6"/>
  <c r="G86" i="6"/>
  <c r="F86" i="6"/>
  <c r="E86" i="6"/>
  <c r="D86" i="6"/>
  <c r="C86" i="6"/>
  <c r="B86" i="6"/>
  <c r="A86" i="6"/>
  <c r="H85" i="6"/>
  <c r="G85" i="6"/>
  <c r="F85" i="6"/>
  <c r="E85" i="6"/>
  <c r="D85" i="6"/>
  <c r="C85" i="6"/>
  <c r="B85" i="6"/>
  <c r="A85" i="6"/>
  <c r="H84" i="6"/>
  <c r="G84" i="6"/>
  <c r="F84" i="6"/>
  <c r="E84" i="6"/>
  <c r="D84" i="6"/>
  <c r="C84" i="6"/>
  <c r="B84" i="6"/>
  <c r="A84" i="6"/>
  <c r="H83" i="6"/>
  <c r="G83" i="6"/>
  <c r="F83" i="6"/>
  <c r="E83" i="6"/>
  <c r="D83" i="6"/>
  <c r="C83" i="6"/>
  <c r="B83" i="6"/>
  <c r="A83" i="6"/>
  <c r="H82" i="6"/>
  <c r="G82" i="6"/>
  <c r="F82" i="6"/>
  <c r="E82" i="6"/>
  <c r="D82" i="6"/>
  <c r="C82" i="6"/>
  <c r="B82" i="6"/>
  <c r="A82" i="6"/>
  <c r="H81" i="6"/>
  <c r="G81" i="6"/>
  <c r="F81" i="6"/>
  <c r="E81" i="6"/>
  <c r="D81" i="6"/>
  <c r="C81" i="6"/>
  <c r="B81" i="6"/>
  <c r="A81" i="6"/>
  <c r="H80" i="6"/>
  <c r="G80" i="6"/>
  <c r="F80" i="6"/>
  <c r="E80" i="6"/>
  <c r="D80" i="6"/>
  <c r="C80" i="6"/>
  <c r="B80" i="6"/>
  <c r="A80" i="6"/>
  <c r="H79" i="6"/>
  <c r="G79" i="6"/>
  <c r="F79" i="6"/>
  <c r="E79" i="6"/>
  <c r="D79" i="6"/>
  <c r="C79" i="6"/>
  <c r="B79" i="6"/>
  <c r="A79" i="6"/>
  <c r="H78" i="6"/>
  <c r="G78" i="6"/>
  <c r="F78" i="6"/>
  <c r="E78" i="6"/>
  <c r="D78" i="6"/>
  <c r="C78" i="6"/>
  <c r="B78" i="6"/>
  <c r="A78" i="6"/>
  <c r="H77" i="6"/>
  <c r="G77" i="6"/>
  <c r="F77" i="6"/>
  <c r="E77" i="6"/>
  <c r="D77" i="6"/>
  <c r="C77" i="6"/>
  <c r="B77" i="6"/>
  <c r="A77" i="6"/>
  <c r="H76" i="6"/>
  <c r="G76" i="6"/>
  <c r="F76" i="6"/>
  <c r="E76" i="6"/>
  <c r="D76" i="6"/>
  <c r="C76" i="6"/>
  <c r="B76" i="6"/>
  <c r="A76" i="6"/>
  <c r="H75" i="6"/>
  <c r="G75" i="6"/>
  <c r="F75" i="6"/>
  <c r="E75" i="6"/>
  <c r="D75" i="6"/>
  <c r="C75" i="6"/>
  <c r="B75" i="6"/>
  <c r="A75" i="6"/>
  <c r="H74" i="6"/>
  <c r="G74" i="6"/>
  <c r="F74" i="6"/>
  <c r="E74" i="6"/>
  <c r="D74" i="6"/>
  <c r="C74" i="6"/>
  <c r="B74" i="6"/>
  <c r="A74" i="6"/>
  <c r="H73" i="6"/>
  <c r="G73" i="6"/>
  <c r="F73" i="6"/>
  <c r="E73" i="6"/>
  <c r="D73" i="6"/>
  <c r="C73" i="6"/>
  <c r="B73" i="6"/>
  <c r="A73" i="6"/>
  <c r="H72" i="6"/>
  <c r="G72" i="6"/>
  <c r="F72" i="6"/>
  <c r="E72" i="6"/>
  <c r="D72" i="6"/>
  <c r="C72" i="6"/>
  <c r="B72" i="6"/>
  <c r="A72" i="6"/>
  <c r="H71" i="6"/>
  <c r="G71" i="6"/>
  <c r="F71" i="6"/>
  <c r="E71" i="6"/>
  <c r="D71" i="6"/>
  <c r="C71" i="6"/>
  <c r="B71" i="6"/>
  <c r="A71" i="6"/>
  <c r="H70" i="6"/>
  <c r="G70" i="6"/>
  <c r="F70" i="6"/>
  <c r="E70" i="6"/>
  <c r="D70" i="6"/>
  <c r="C70" i="6"/>
  <c r="B70" i="6"/>
  <c r="A70" i="6"/>
  <c r="H69" i="6"/>
  <c r="G69" i="6"/>
  <c r="F69" i="6"/>
  <c r="E69" i="6"/>
  <c r="D69" i="6"/>
  <c r="C69" i="6"/>
  <c r="B69" i="6"/>
  <c r="A69" i="6"/>
  <c r="H68" i="6"/>
  <c r="G68" i="6"/>
  <c r="F68" i="6"/>
  <c r="E68" i="6"/>
  <c r="D68" i="6"/>
  <c r="C68" i="6"/>
  <c r="B68" i="6"/>
  <c r="A68" i="6"/>
  <c r="H67" i="6"/>
  <c r="G67" i="6"/>
  <c r="F67" i="6"/>
  <c r="E67" i="6"/>
  <c r="D67" i="6"/>
  <c r="C67" i="6"/>
  <c r="B67" i="6"/>
  <c r="A67" i="6"/>
  <c r="H66" i="6"/>
  <c r="G66" i="6"/>
  <c r="F66" i="6"/>
  <c r="E66" i="6"/>
  <c r="D66" i="6"/>
  <c r="C66" i="6"/>
  <c r="B66" i="6"/>
  <c r="A66" i="6"/>
  <c r="H65" i="6"/>
  <c r="G65" i="6"/>
  <c r="F65" i="6"/>
  <c r="E65" i="6"/>
  <c r="D65" i="6"/>
  <c r="C65" i="6"/>
  <c r="B65" i="6"/>
  <c r="A65" i="6"/>
  <c r="H64" i="6"/>
  <c r="G64" i="6"/>
  <c r="F64" i="6"/>
  <c r="E64" i="6"/>
  <c r="D64" i="6"/>
  <c r="C64" i="6"/>
  <c r="B64" i="6"/>
  <c r="A64" i="6"/>
  <c r="H63" i="6"/>
  <c r="G63" i="6"/>
  <c r="F63" i="6"/>
  <c r="E63" i="6"/>
  <c r="D63" i="6"/>
  <c r="C63" i="6"/>
  <c r="B63" i="6"/>
  <c r="A63" i="6"/>
  <c r="H62" i="6"/>
  <c r="G62" i="6"/>
  <c r="F62" i="6"/>
  <c r="E62" i="6"/>
  <c r="D62" i="6"/>
  <c r="C62" i="6"/>
  <c r="B62" i="6"/>
  <c r="A62" i="6"/>
  <c r="H61" i="6"/>
  <c r="G61" i="6"/>
  <c r="F61" i="6"/>
  <c r="E61" i="6"/>
  <c r="D61" i="6"/>
  <c r="C61" i="6"/>
  <c r="B61" i="6"/>
  <c r="A61" i="6"/>
  <c r="H60" i="6"/>
  <c r="G60" i="6"/>
  <c r="F60" i="6"/>
  <c r="E60" i="6"/>
  <c r="D60" i="6"/>
  <c r="C60" i="6"/>
  <c r="B60" i="6"/>
  <c r="A60" i="6"/>
  <c r="H59" i="6"/>
  <c r="G59" i="6"/>
  <c r="F59" i="6"/>
  <c r="E59" i="6"/>
  <c r="D59" i="6"/>
  <c r="C59" i="6"/>
  <c r="B59" i="6"/>
  <c r="A59" i="6"/>
  <c r="H58" i="6"/>
  <c r="G58" i="6"/>
  <c r="F58" i="6"/>
  <c r="E58" i="6"/>
  <c r="D58" i="6"/>
  <c r="C58" i="6"/>
  <c r="B58" i="6"/>
  <c r="A58" i="6"/>
  <c r="H57" i="6"/>
  <c r="G57" i="6"/>
  <c r="F57" i="6"/>
  <c r="E57" i="6"/>
  <c r="D57" i="6"/>
  <c r="C57" i="6"/>
  <c r="B57" i="6"/>
  <c r="A57" i="6"/>
  <c r="H56" i="6"/>
  <c r="G56" i="6"/>
  <c r="F56" i="6"/>
  <c r="E56" i="6"/>
  <c r="D56" i="6"/>
  <c r="C56" i="6"/>
  <c r="B56" i="6"/>
  <c r="A56" i="6"/>
  <c r="H55" i="6"/>
  <c r="G55" i="6"/>
  <c r="F55" i="6"/>
  <c r="E55" i="6"/>
  <c r="D55" i="6"/>
  <c r="C55" i="6"/>
  <c r="B55" i="6"/>
  <c r="A55" i="6"/>
  <c r="H54" i="6"/>
  <c r="G54" i="6"/>
  <c r="F54" i="6"/>
  <c r="E54" i="6"/>
  <c r="D54" i="6"/>
  <c r="C54" i="6"/>
  <c r="B54" i="6"/>
  <c r="A54" i="6"/>
  <c r="H53" i="6"/>
  <c r="G53" i="6"/>
  <c r="F53" i="6"/>
  <c r="E53" i="6"/>
  <c r="D53" i="6"/>
  <c r="C53" i="6"/>
  <c r="B53" i="6"/>
  <c r="A53" i="6"/>
  <c r="H52" i="6"/>
  <c r="G52" i="6"/>
  <c r="F52" i="6"/>
  <c r="E52" i="6"/>
  <c r="D52" i="6"/>
  <c r="C52" i="6"/>
  <c r="B52" i="6"/>
  <c r="A52" i="6"/>
  <c r="H51" i="6"/>
  <c r="G51" i="6"/>
  <c r="F51" i="6"/>
  <c r="E51" i="6"/>
  <c r="D51" i="6"/>
  <c r="C51" i="6"/>
  <c r="B51" i="6"/>
  <c r="A51" i="6"/>
  <c r="H50" i="6"/>
  <c r="G50" i="6"/>
  <c r="F50" i="6"/>
  <c r="E50" i="6"/>
  <c r="D50" i="6"/>
  <c r="C50" i="6"/>
  <c r="B50" i="6"/>
  <c r="A50" i="6"/>
  <c r="H49" i="6"/>
  <c r="G49" i="6"/>
  <c r="F49" i="6"/>
  <c r="E49" i="6"/>
  <c r="D49" i="6"/>
  <c r="C49" i="6"/>
  <c r="B49" i="6"/>
  <c r="A49" i="6"/>
  <c r="H48" i="6"/>
  <c r="G48" i="6"/>
  <c r="F48" i="6"/>
  <c r="E48" i="6"/>
  <c r="D48" i="6"/>
  <c r="C48" i="6"/>
  <c r="B48" i="6"/>
  <c r="A48" i="6"/>
  <c r="H47" i="6"/>
  <c r="G47" i="6"/>
  <c r="F47" i="6"/>
  <c r="E47" i="6"/>
  <c r="D47" i="6"/>
  <c r="C47" i="6"/>
  <c r="B47" i="6"/>
  <c r="A47" i="6"/>
  <c r="H46" i="6"/>
  <c r="G46" i="6"/>
  <c r="F46" i="6"/>
  <c r="E46" i="6"/>
  <c r="D46" i="6"/>
  <c r="C46" i="6"/>
  <c r="B46" i="6"/>
  <c r="A46" i="6"/>
  <c r="H45" i="6"/>
  <c r="G45" i="6"/>
  <c r="F45" i="6"/>
  <c r="E45" i="6"/>
  <c r="D45" i="6"/>
  <c r="C45" i="6"/>
  <c r="B45" i="6"/>
  <c r="A45" i="6"/>
  <c r="H44" i="6"/>
  <c r="G44" i="6"/>
  <c r="F44" i="6"/>
  <c r="E44" i="6"/>
  <c r="D44" i="6"/>
  <c r="C44" i="6"/>
  <c r="B44" i="6"/>
  <c r="A44" i="6"/>
  <c r="H43" i="6"/>
  <c r="G43" i="6"/>
  <c r="F43" i="6"/>
  <c r="E43" i="6"/>
  <c r="D43" i="6"/>
  <c r="C43" i="6"/>
  <c r="B43" i="6"/>
  <c r="A43" i="6"/>
  <c r="H42" i="6"/>
  <c r="G42" i="6"/>
  <c r="F42" i="6"/>
  <c r="E42" i="6"/>
  <c r="D42" i="6"/>
  <c r="C42" i="6"/>
  <c r="B42" i="6"/>
  <c r="A42" i="6"/>
  <c r="H41" i="6"/>
  <c r="G41" i="6"/>
  <c r="F41" i="6"/>
  <c r="E41" i="6"/>
  <c r="D41" i="6"/>
  <c r="C41" i="6"/>
  <c r="B41" i="6"/>
  <c r="A41" i="6"/>
  <c r="H40" i="6"/>
  <c r="G40" i="6"/>
  <c r="F40" i="6"/>
  <c r="E40" i="6"/>
  <c r="D40" i="6"/>
  <c r="C40" i="6"/>
  <c r="B40" i="6"/>
  <c r="A40" i="6"/>
  <c r="H39" i="6"/>
  <c r="G39" i="6"/>
  <c r="F39" i="6"/>
  <c r="E39" i="6"/>
  <c r="D39" i="6"/>
  <c r="C39" i="6"/>
  <c r="B39" i="6"/>
  <c r="A39" i="6"/>
  <c r="H38" i="6"/>
  <c r="G38" i="6"/>
  <c r="F38" i="6"/>
  <c r="E38" i="6"/>
  <c r="D38" i="6"/>
  <c r="C38" i="6"/>
  <c r="B38" i="6"/>
  <c r="A38" i="6"/>
  <c r="H37" i="6"/>
  <c r="G37" i="6"/>
  <c r="F37" i="6"/>
  <c r="E37" i="6"/>
  <c r="D37" i="6"/>
  <c r="C37" i="6"/>
  <c r="B37" i="6"/>
  <c r="A37" i="6"/>
  <c r="H36" i="6"/>
  <c r="G36" i="6"/>
  <c r="F36" i="6"/>
  <c r="E36" i="6"/>
  <c r="D36" i="6"/>
  <c r="C36" i="6"/>
  <c r="B36" i="6"/>
  <c r="A36" i="6"/>
  <c r="H35" i="6"/>
  <c r="G35" i="6"/>
  <c r="F35" i="6"/>
  <c r="E35" i="6"/>
  <c r="D35" i="6"/>
  <c r="C35" i="6"/>
  <c r="B35" i="6"/>
  <c r="A35" i="6"/>
  <c r="H34" i="6"/>
  <c r="G34" i="6"/>
  <c r="F34" i="6"/>
  <c r="E34" i="6"/>
  <c r="D34" i="6"/>
  <c r="C34" i="6"/>
  <c r="B34" i="6"/>
  <c r="A34" i="6"/>
  <c r="H33" i="6"/>
  <c r="G33" i="6"/>
  <c r="F33" i="6"/>
  <c r="E33" i="6"/>
  <c r="D33" i="6"/>
  <c r="C33" i="6"/>
  <c r="B33" i="6"/>
  <c r="A33" i="6"/>
  <c r="H32" i="6"/>
  <c r="G32" i="6"/>
  <c r="F32" i="6"/>
  <c r="E32" i="6"/>
  <c r="D32" i="6"/>
  <c r="C32" i="6"/>
  <c r="B32" i="6"/>
  <c r="A32" i="6"/>
  <c r="H31" i="6"/>
  <c r="G31" i="6"/>
  <c r="F31" i="6"/>
  <c r="E31" i="6"/>
  <c r="D31" i="6"/>
  <c r="C31" i="6"/>
  <c r="B31" i="6"/>
  <c r="A31" i="6"/>
  <c r="H30" i="6"/>
  <c r="G30" i="6"/>
  <c r="F30" i="6"/>
  <c r="E30" i="6"/>
  <c r="D30" i="6"/>
  <c r="C30" i="6"/>
  <c r="B30" i="6"/>
  <c r="A30" i="6"/>
  <c r="H29" i="6"/>
  <c r="G29" i="6"/>
  <c r="F29" i="6"/>
  <c r="E29" i="6"/>
  <c r="D29" i="6"/>
  <c r="C29" i="6"/>
  <c r="B29" i="6"/>
  <c r="A29" i="6"/>
  <c r="H28" i="6"/>
  <c r="G28" i="6"/>
  <c r="F28" i="6"/>
  <c r="E28" i="6"/>
  <c r="D28" i="6"/>
  <c r="C28" i="6"/>
  <c r="B28" i="6"/>
  <c r="A28" i="6"/>
  <c r="H27" i="6"/>
  <c r="G27" i="6"/>
  <c r="F27" i="6"/>
  <c r="E27" i="6"/>
  <c r="D27" i="6"/>
  <c r="C27" i="6"/>
  <c r="B27" i="6"/>
  <c r="A27" i="6"/>
  <c r="H26" i="6"/>
  <c r="G26" i="6"/>
  <c r="F26" i="6"/>
  <c r="E26" i="6"/>
  <c r="D26" i="6"/>
  <c r="C26" i="6"/>
  <c r="B26" i="6"/>
  <c r="A26" i="6"/>
  <c r="H25" i="6"/>
  <c r="G25" i="6"/>
  <c r="F25" i="6"/>
  <c r="E25" i="6"/>
  <c r="D25" i="6"/>
  <c r="C25" i="6"/>
  <c r="B25" i="6"/>
  <c r="A25" i="6"/>
  <c r="H24" i="6"/>
  <c r="G24" i="6"/>
  <c r="F24" i="6"/>
  <c r="E24" i="6"/>
  <c r="D24" i="6"/>
  <c r="C24" i="6"/>
  <c r="B24" i="6"/>
  <c r="A24" i="6"/>
  <c r="H23" i="6"/>
  <c r="G23" i="6"/>
  <c r="F23" i="6"/>
  <c r="E23" i="6"/>
  <c r="D23" i="6"/>
  <c r="C23" i="6"/>
  <c r="B23" i="6"/>
  <c r="A23" i="6"/>
  <c r="H22" i="6"/>
  <c r="G22" i="6"/>
  <c r="F22" i="6"/>
  <c r="E22" i="6"/>
  <c r="D22" i="6"/>
  <c r="C22" i="6"/>
  <c r="B22" i="6"/>
  <c r="A22" i="6"/>
  <c r="H21" i="6"/>
  <c r="G21" i="6"/>
  <c r="F21" i="6"/>
  <c r="E21" i="6"/>
  <c r="D21" i="6"/>
  <c r="C21" i="6"/>
  <c r="B21" i="6"/>
  <c r="A21" i="6"/>
  <c r="H20" i="6"/>
  <c r="G20" i="6"/>
  <c r="F20" i="6"/>
  <c r="E20" i="6"/>
  <c r="D20" i="6"/>
  <c r="C20" i="6"/>
  <c r="B20" i="6"/>
  <c r="A20" i="6"/>
  <c r="H19" i="6"/>
  <c r="G19" i="6"/>
  <c r="F19" i="6"/>
  <c r="E19" i="6"/>
  <c r="D19" i="6"/>
  <c r="C19" i="6"/>
  <c r="B19" i="6"/>
  <c r="A19" i="6"/>
  <c r="H18" i="6"/>
  <c r="G18" i="6"/>
  <c r="F18" i="6"/>
  <c r="E18" i="6"/>
  <c r="D18" i="6"/>
  <c r="C18" i="6"/>
  <c r="B18" i="6"/>
  <c r="A18" i="6"/>
  <c r="H17" i="6"/>
  <c r="G17" i="6"/>
  <c r="F17" i="6"/>
  <c r="E17" i="6"/>
  <c r="D17" i="6"/>
  <c r="C17" i="6"/>
  <c r="B17" i="6"/>
  <c r="A17" i="6"/>
  <c r="H16" i="6"/>
  <c r="G16" i="6"/>
  <c r="F16" i="6"/>
  <c r="E16" i="6"/>
  <c r="D16" i="6"/>
  <c r="C16" i="6"/>
  <c r="B16" i="6"/>
  <c r="A16" i="6"/>
  <c r="H15" i="6"/>
  <c r="G15" i="6"/>
  <c r="F15" i="6"/>
  <c r="E15" i="6"/>
  <c r="D15" i="6"/>
  <c r="C15" i="6"/>
  <c r="B15" i="6"/>
  <c r="A15" i="6"/>
  <c r="H14" i="6"/>
  <c r="G14" i="6"/>
  <c r="F14" i="6"/>
  <c r="E14" i="6"/>
  <c r="D14" i="6"/>
  <c r="C14" i="6"/>
  <c r="B14" i="6"/>
  <c r="A14" i="6"/>
  <c r="H13" i="6"/>
  <c r="G13" i="6"/>
  <c r="F13" i="6"/>
  <c r="E13" i="6"/>
  <c r="D13" i="6"/>
  <c r="C13" i="6"/>
  <c r="B13" i="6"/>
  <c r="A13" i="6"/>
  <c r="H12" i="6"/>
  <c r="G12" i="6"/>
  <c r="F12" i="6"/>
  <c r="E12" i="6"/>
  <c r="D12" i="6"/>
  <c r="C12" i="6"/>
  <c r="B12" i="6"/>
  <c r="A12" i="6"/>
  <c r="H11" i="6"/>
  <c r="G11" i="6"/>
  <c r="F11" i="6"/>
  <c r="E11" i="6"/>
  <c r="D11" i="6"/>
  <c r="C11" i="6"/>
  <c r="B11" i="6"/>
  <c r="A11" i="6"/>
  <c r="H10" i="6"/>
  <c r="G10" i="6"/>
  <c r="F10" i="6"/>
  <c r="E10" i="6"/>
  <c r="D10" i="6"/>
  <c r="C10" i="6"/>
  <c r="B10" i="6"/>
  <c r="A10" i="6"/>
  <c r="H9" i="6"/>
  <c r="G9" i="6"/>
  <c r="F9" i="6"/>
  <c r="E9" i="6"/>
  <c r="D9" i="6"/>
  <c r="C9" i="6"/>
  <c r="B9" i="6"/>
  <c r="A9" i="6"/>
  <c r="H8" i="6"/>
  <c r="G8" i="6"/>
  <c r="F8" i="6"/>
  <c r="E8" i="6"/>
  <c r="D8" i="6"/>
  <c r="C8" i="6"/>
  <c r="B8" i="6"/>
  <c r="A8" i="6"/>
  <c r="H7" i="6"/>
  <c r="G7" i="6"/>
  <c r="F7" i="6"/>
  <c r="E7" i="6"/>
  <c r="D7" i="6"/>
  <c r="C7" i="6"/>
  <c r="B7" i="6"/>
  <c r="A7" i="6"/>
  <c r="H6" i="6"/>
  <c r="G6" i="6"/>
  <c r="F6" i="6"/>
  <c r="E6" i="6"/>
  <c r="D6" i="6"/>
  <c r="C6" i="6"/>
  <c r="B6" i="6"/>
  <c r="A6" i="6"/>
  <c r="H5" i="6"/>
  <c r="G5" i="6"/>
  <c r="F5" i="6"/>
  <c r="E5" i="6"/>
  <c r="D5" i="6"/>
  <c r="C5" i="6"/>
  <c r="B5" i="6"/>
  <c r="A5" i="6"/>
  <c r="H4" i="6"/>
  <c r="G4" i="6"/>
  <c r="F4" i="6"/>
  <c r="E4" i="6"/>
  <c r="D4" i="6"/>
  <c r="C4" i="6"/>
  <c r="B4" i="6"/>
  <c r="A4" i="6"/>
  <c r="H3" i="6"/>
  <c r="G3" i="6"/>
  <c r="F3" i="6"/>
  <c r="E3" i="6"/>
  <c r="D3" i="6"/>
  <c r="C3" i="6"/>
  <c r="B3" i="6"/>
  <c r="A3" i="6"/>
  <c r="H2" i="6"/>
  <c r="G2" i="6"/>
  <c r="F2" i="6"/>
  <c r="E2" i="6"/>
  <c r="D2" i="6"/>
  <c r="C2" i="6"/>
  <c r="B2" i="6"/>
  <c r="H1" i="6"/>
  <c r="G1" i="6"/>
  <c r="F1" i="6"/>
  <c r="E1" i="6"/>
  <c r="D1" i="6"/>
  <c r="C1" i="6"/>
  <c r="B1" i="6"/>
  <c r="A1" i="6"/>
  <c r="O9" i="2" l="1"/>
  <c r="M9" i="2"/>
  <c r="N9" i="2"/>
  <c r="L9" i="2"/>
  <c r="K9" i="2"/>
  <c r="O4" i="2"/>
  <c r="N4" i="2"/>
  <c r="M4" i="2"/>
  <c r="L4" i="2"/>
  <c r="K4" i="2"/>
  <c r="G15" i="2" l="1"/>
  <c r="F15" i="2"/>
  <c r="E15" i="2"/>
  <c r="D15" i="2"/>
  <c r="C15" i="2"/>
  <c r="K14" i="2"/>
  <c r="G14" i="2"/>
  <c r="F14" i="2"/>
  <c r="E14" i="2"/>
  <c r="D14" i="2"/>
  <c r="C14" i="2"/>
  <c r="O14" i="2" l="1"/>
  <c r="N14" i="2"/>
  <c r="M14" i="2"/>
  <c r="L14" i="2"/>
  <c r="G9" i="2" l="1"/>
  <c r="F9" i="2"/>
  <c r="E9" i="2"/>
  <c r="D9" i="2"/>
  <c r="C9" i="2"/>
  <c r="G7" i="2"/>
  <c r="F7" i="2"/>
  <c r="D7" i="2"/>
  <c r="E7" i="2"/>
  <c r="C7" i="2"/>
  <c r="G4" i="2"/>
  <c r="F4" i="2"/>
  <c r="E4" i="2"/>
  <c r="D4" i="2"/>
  <c r="C4" i="2"/>
  <c r="N5" i="2" l="1"/>
  <c r="N34" i="2" s="1"/>
  <c r="N36" i="2" s="1"/>
  <c r="O42" i="2"/>
  <c r="L42" i="2"/>
  <c r="O27" i="2"/>
  <c r="K5" i="2"/>
  <c r="K34" i="2" s="1"/>
  <c r="K36" i="2" s="1"/>
  <c r="C308" i="4"/>
  <c r="C307" i="4"/>
  <c r="C306" i="4"/>
  <c r="C305" i="4"/>
  <c r="C304" i="4"/>
  <c r="C303" i="4"/>
  <c r="C302" i="4"/>
  <c r="B308" i="4"/>
  <c r="B307" i="4"/>
  <c r="B306" i="4"/>
  <c r="B305" i="4"/>
  <c r="B304" i="4"/>
  <c r="B303" i="4"/>
  <c r="B302" i="4"/>
  <c r="A308" i="4"/>
  <c r="A307" i="4"/>
  <c r="A306" i="4"/>
  <c r="A305" i="4"/>
  <c r="A304" i="4"/>
  <c r="A303" i="4"/>
  <c r="A302" i="4"/>
  <c r="A301" i="4"/>
  <c r="Q318" i="1"/>
  <c r="R318" i="1"/>
  <c r="Q319" i="1"/>
  <c r="R319" i="1"/>
  <c r="Q320" i="1"/>
  <c r="R320" i="1"/>
  <c r="Q321" i="1"/>
  <c r="R321" i="1"/>
  <c r="Q322" i="1"/>
  <c r="R322" i="1"/>
  <c r="Q323" i="1"/>
  <c r="R323" i="1"/>
  <c r="Q324" i="1"/>
  <c r="R324" i="1"/>
  <c r="R639" i="1"/>
  <c r="O37" i="2"/>
  <c r="O15" i="2"/>
  <c r="O44" i="2" s="1"/>
  <c r="N15" i="2"/>
  <c r="N44" i="2"/>
  <c r="M15" i="2"/>
  <c r="L15" i="2"/>
  <c r="O30" i="2"/>
  <c r="N37" i="2"/>
  <c r="G27" i="2"/>
  <c r="F6" i="2"/>
  <c r="F41" i="2" s="1"/>
  <c r="D5" i="2"/>
  <c r="D34" i="2" s="1"/>
  <c r="D36" i="2" s="1"/>
  <c r="G37" i="2"/>
  <c r="F37" i="2"/>
  <c r="O7" i="2"/>
  <c r="N7" i="2"/>
  <c r="M7" i="2"/>
  <c r="L7" i="2"/>
  <c r="K7" i="2"/>
  <c r="K27" i="2"/>
  <c r="E44" i="2"/>
  <c r="D44" i="2"/>
  <c r="E30" i="2"/>
  <c r="G42" i="2"/>
  <c r="G28" i="2"/>
  <c r="E42" i="2"/>
  <c r="E27" i="2"/>
  <c r="O5" i="2"/>
  <c r="O34" i="2" s="1"/>
  <c r="O36" i="2" s="1"/>
  <c r="C10" i="4"/>
  <c r="D6" i="2"/>
  <c r="D41" i="2" s="1"/>
  <c r="F42" i="2"/>
  <c r="E28" i="2"/>
  <c r="B296" i="4"/>
  <c r="A296" i="4"/>
  <c r="C296" i="4"/>
  <c r="R214" i="1"/>
  <c r="N30" i="2"/>
  <c r="C216" i="4"/>
  <c r="B216" i="4"/>
  <c r="A216" i="4"/>
  <c r="R225" i="1"/>
  <c r="Q225" i="1"/>
  <c r="R576" i="1"/>
  <c r="Q576" i="1"/>
  <c r="C568" i="4"/>
  <c r="B568" i="4"/>
  <c r="A568" i="4"/>
  <c r="C559" i="4"/>
  <c r="C2" i="4"/>
  <c r="Q567" i="1"/>
  <c r="R567" i="1"/>
  <c r="Q568" i="1"/>
  <c r="Q258" i="1"/>
  <c r="Q256" i="1"/>
  <c r="Q254" i="1"/>
  <c r="Q259" i="1"/>
  <c r="Q260" i="1"/>
  <c r="Q257" i="1"/>
  <c r="R256" i="1"/>
  <c r="Q255" i="1"/>
  <c r="R253" i="1"/>
  <c r="R258" i="1"/>
  <c r="R259" i="1"/>
  <c r="R257" i="1"/>
  <c r="R255" i="1"/>
  <c r="Q253" i="1"/>
  <c r="R254" i="1"/>
  <c r="A247" i="4"/>
  <c r="A248" i="4"/>
  <c r="A249" i="4"/>
  <c r="A250" i="4"/>
  <c r="B247" i="4"/>
  <c r="B248" i="4"/>
  <c r="B249" i="4"/>
  <c r="B250" i="4"/>
  <c r="C248" i="4"/>
  <c r="C249" i="4"/>
  <c r="C250" i="4"/>
  <c r="C247" i="4"/>
  <c r="Q382" i="1"/>
  <c r="R382" i="1"/>
  <c r="R86" i="1"/>
  <c r="Q86" i="1"/>
  <c r="R97" i="1"/>
  <c r="Q97" i="1"/>
  <c r="R98" i="1"/>
  <c r="Q98" i="1"/>
  <c r="R102" i="1"/>
  <c r="Q102" i="1"/>
  <c r="R103" i="1"/>
  <c r="Q103" i="1"/>
  <c r="R107" i="1"/>
  <c r="Q107" i="1"/>
  <c r="R127" i="1"/>
  <c r="Q127" i="1"/>
  <c r="S127" i="1" s="1"/>
  <c r="R139" i="1"/>
  <c r="Q139" i="1"/>
  <c r="R145" i="1"/>
  <c r="Q145" i="1"/>
  <c r="R151" i="1"/>
  <c r="Q151" i="1"/>
  <c r="R158" i="1"/>
  <c r="Q158" i="1"/>
  <c r="R162" i="1"/>
  <c r="Q162" i="1"/>
  <c r="R165" i="1"/>
  <c r="Q165" i="1"/>
  <c r="R170" i="1"/>
  <c r="Q170" i="1"/>
  <c r="R187" i="1"/>
  <c r="Q187" i="1"/>
  <c r="R188" i="1"/>
  <c r="Q188" i="1"/>
  <c r="R197" i="1"/>
  <c r="Q197" i="1"/>
  <c r="R203" i="1"/>
  <c r="Q203" i="1"/>
  <c r="R213" i="1"/>
  <c r="Q213" i="1"/>
  <c r="R221" i="1"/>
  <c r="Q221" i="1"/>
  <c r="R222" i="1"/>
  <c r="Q222" i="1"/>
  <c r="R224" i="1"/>
  <c r="Q224" i="1"/>
  <c r="R228" i="1"/>
  <c r="Q228" i="1"/>
  <c r="R244" i="1"/>
  <c r="Q244" i="1"/>
  <c r="R35" i="1"/>
  <c r="Q35" i="1"/>
  <c r="R34" i="1"/>
  <c r="Q34" i="1"/>
  <c r="R31" i="1"/>
  <c r="Q31" i="1"/>
  <c r="R30" i="1"/>
  <c r="Q30" i="1"/>
  <c r="R24" i="1"/>
  <c r="Q24" i="1"/>
  <c r="R23" i="1"/>
  <c r="Q23" i="1"/>
  <c r="R22" i="1"/>
  <c r="Q22" i="1"/>
  <c r="R18" i="1"/>
  <c r="Q18" i="1"/>
  <c r="R246" i="1"/>
  <c r="Q246" i="1"/>
  <c r="R245" i="1"/>
  <c r="Q245" i="1"/>
  <c r="R233" i="1"/>
  <c r="Q233" i="1"/>
  <c r="R234" i="1"/>
  <c r="Q234" i="1"/>
  <c r="R235" i="1"/>
  <c r="Q235" i="1"/>
  <c r="R236" i="1"/>
  <c r="Q236" i="1"/>
  <c r="R237" i="1"/>
  <c r="Q237" i="1"/>
  <c r="R238" i="1"/>
  <c r="Q238" i="1"/>
  <c r="R239" i="1"/>
  <c r="Q239" i="1"/>
  <c r="R240" i="1"/>
  <c r="Q240" i="1"/>
  <c r="R241" i="1"/>
  <c r="Q241" i="1"/>
  <c r="R242" i="1"/>
  <c r="Q242" i="1"/>
  <c r="R243" i="1"/>
  <c r="Q243" i="1"/>
  <c r="R232" i="1"/>
  <c r="Q232" i="1"/>
  <c r="R230" i="1"/>
  <c r="Q230" i="1"/>
  <c r="R229" i="1"/>
  <c r="Q229" i="1"/>
  <c r="R223" i="1"/>
  <c r="Q223" i="1"/>
  <c r="R217" i="1"/>
  <c r="Q217" i="1"/>
  <c r="R218" i="1"/>
  <c r="Q218" i="1"/>
  <c r="R219" i="1"/>
  <c r="Q219" i="1"/>
  <c r="R220" i="1"/>
  <c r="Q220" i="1"/>
  <c r="R216" i="1"/>
  <c r="Q216" i="1"/>
  <c r="R209" i="1"/>
  <c r="Q209" i="1"/>
  <c r="R210" i="1"/>
  <c r="Q210" i="1"/>
  <c r="R211" i="1"/>
  <c r="Q211" i="1"/>
  <c r="R208" i="1"/>
  <c r="Q208" i="1"/>
  <c r="R206" i="1"/>
  <c r="Q206" i="1"/>
  <c r="R205" i="1"/>
  <c r="Q205" i="1"/>
  <c r="R199" i="1"/>
  <c r="Q199" i="1"/>
  <c r="R200" i="1"/>
  <c r="Q200" i="1"/>
  <c r="R201" i="1"/>
  <c r="Q201" i="1"/>
  <c r="R198" i="1"/>
  <c r="Q198" i="1"/>
  <c r="R191" i="1"/>
  <c r="Q191" i="1"/>
  <c r="R192" i="1"/>
  <c r="Q192" i="1"/>
  <c r="R193" i="1"/>
  <c r="Q193" i="1"/>
  <c r="R194" i="1"/>
  <c r="Q194" i="1"/>
  <c r="R195" i="1"/>
  <c r="Q195" i="1"/>
  <c r="R196" i="1"/>
  <c r="Q196" i="1"/>
  <c r="R190" i="1"/>
  <c r="Q190" i="1"/>
  <c r="R184" i="1"/>
  <c r="Q184" i="1"/>
  <c r="R185" i="1"/>
  <c r="Q185" i="1"/>
  <c r="R186" i="1"/>
  <c r="Q186" i="1"/>
  <c r="R183" i="1"/>
  <c r="Q183" i="1"/>
  <c r="R172" i="1"/>
  <c r="Q172" i="1"/>
  <c r="R173" i="1"/>
  <c r="Q173" i="1"/>
  <c r="R174" i="1"/>
  <c r="Q174" i="1"/>
  <c r="R175" i="1"/>
  <c r="Q175" i="1"/>
  <c r="R176" i="1"/>
  <c r="Q176" i="1"/>
  <c r="R177" i="1"/>
  <c r="Q177" i="1"/>
  <c r="R178" i="1"/>
  <c r="Q178" i="1"/>
  <c r="R179" i="1"/>
  <c r="Q179" i="1"/>
  <c r="R180" i="1"/>
  <c r="Q180" i="1"/>
  <c r="R181" i="1"/>
  <c r="Q181" i="1"/>
  <c r="R171" i="1"/>
  <c r="Q171" i="1"/>
  <c r="R167" i="1"/>
  <c r="Q167" i="1"/>
  <c r="R168" i="1"/>
  <c r="Q168" i="1"/>
  <c r="R169" i="1"/>
  <c r="Q169" i="1"/>
  <c r="R166" i="1"/>
  <c r="Q166" i="1"/>
  <c r="R163" i="1"/>
  <c r="Q163" i="1"/>
  <c r="R160" i="1"/>
  <c r="Q160" i="1"/>
  <c r="R161" i="1"/>
  <c r="Q161" i="1"/>
  <c r="R159" i="1"/>
  <c r="Q159" i="1"/>
  <c r="R154" i="1"/>
  <c r="Q154" i="1"/>
  <c r="R155" i="1"/>
  <c r="Q155" i="1"/>
  <c r="R156" i="1"/>
  <c r="Q156" i="1"/>
  <c r="R157" i="1"/>
  <c r="Q157" i="1"/>
  <c r="R153" i="1"/>
  <c r="Q153" i="1"/>
  <c r="R147" i="1"/>
  <c r="Q147" i="1"/>
  <c r="R148" i="1"/>
  <c r="Q148" i="1"/>
  <c r="R149" i="1"/>
  <c r="Q149" i="1"/>
  <c r="R150" i="1"/>
  <c r="Q150" i="1"/>
  <c r="R146" i="1"/>
  <c r="Q146" i="1"/>
  <c r="R141" i="1"/>
  <c r="Q141" i="1"/>
  <c r="R142" i="1"/>
  <c r="Q142" i="1"/>
  <c r="R143" i="1"/>
  <c r="Q143" i="1"/>
  <c r="R144" i="1"/>
  <c r="Q144" i="1"/>
  <c r="R140" i="1"/>
  <c r="Q140" i="1"/>
  <c r="R129" i="1"/>
  <c r="Q129" i="1"/>
  <c r="R130" i="1"/>
  <c r="Q130" i="1"/>
  <c r="R131" i="1"/>
  <c r="Q131" i="1"/>
  <c r="R132" i="1"/>
  <c r="Q132" i="1"/>
  <c r="R133" i="1"/>
  <c r="Q133" i="1"/>
  <c r="R134" i="1"/>
  <c r="Q134" i="1"/>
  <c r="R135" i="1"/>
  <c r="Q135" i="1"/>
  <c r="R136" i="1"/>
  <c r="Q136" i="1"/>
  <c r="R137" i="1"/>
  <c r="Q137" i="1"/>
  <c r="R138" i="1"/>
  <c r="Q138" i="1"/>
  <c r="R128" i="1"/>
  <c r="Q128" i="1"/>
  <c r="R126" i="1"/>
  <c r="Q126" i="1"/>
  <c r="R121" i="1"/>
  <c r="Q121" i="1"/>
  <c r="R120" i="1"/>
  <c r="Q120" i="1"/>
  <c r="R118" i="1"/>
  <c r="Q118" i="1"/>
  <c r="R117" i="1"/>
  <c r="Q117" i="1"/>
  <c r="R116" i="1"/>
  <c r="Q116" i="1"/>
  <c r="R113" i="1"/>
  <c r="Q113" i="1"/>
  <c r="R111" i="1"/>
  <c r="Q111" i="1"/>
  <c r="R110" i="1"/>
  <c r="Q110" i="1"/>
  <c r="R109" i="1"/>
  <c r="Q109" i="1"/>
  <c r="R108" i="1"/>
  <c r="Q108" i="1"/>
  <c r="R105" i="1"/>
  <c r="Q105" i="1"/>
  <c r="R104" i="1"/>
  <c r="Q104" i="1"/>
  <c r="R101" i="1"/>
  <c r="Q101" i="1"/>
  <c r="R100" i="1"/>
  <c r="Q100" i="1"/>
  <c r="R96" i="1"/>
  <c r="Q96" i="1"/>
  <c r="R94" i="1"/>
  <c r="Q94" i="1"/>
  <c r="R93" i="1"/>
  <c r="Q93" i="1"/>
  <c r="R92" i="1"/>
  <c r="Q92" i="1"/>
  <c r="R90" i="1"/>
  <c r="Q90" i="1"/>
  <c r="R89" i="1"/>
  <c r="Q89" i="1"/>
  <c r="R88" i="1"/>
  <c r="Q88" i="1"/>
  <c r="R87" i="1"/>
  <c r="Q87" i="1"/>
  <c r="R85" i="1"/>
  <c r="Q85" i="1"/>
  <c r="R83" i="1"/>
  <c r="Q83" i="1"/>
  <c r="R82" i="1"/>
  <c r="Q82" i="1"/>
  <c r="R77" i="1"/>
  <c r="Q77" i="1"/>
  <c r="R78" i="1"/>
  <c r="Q78" i="1"/>
  <c r="R79" i="1"/>
  <c r="Q79" i="1"/>
  <c r="R80" i="1"/>
  <c r="Q80" i="1"/>
  <c r="R76" i="1"/>
  <c r="Q76" i="1"/>
  <c r="R72" i="1"/>
  <c r="Q72" i="1"/>
  <c r="R73" i="1"/>
  <c r="Q73" i="1"/>
  <c r="R74" i="1"/>
  <c r="Q74" i="1"/>
  <c r="R71" i="1"/>
  <c r="Q71" i="1"/>
  <c r="R67" i="1"/>
  <c r="Q67" i="1"/>
  <c r="R68" i="1"/>
  <c r="Q68" i="1"/>
  <c r="R69" i="1"/>
  <c r="Q69" i="1"/>
  <c r="R66" i="1"/>
  <c r="Q66" i="1"/>
  <c r="R64" i="1"/>
  <c r="Q64" i="1"/>
  <c r="R62" i="1"/>
  <c r="Q62" i="1"/>
  <c r="R61" i="1"/>
  <c r="Q61" i="1"/>
  <c r="R60" i="1"/>
  <c r="Q60" i="1"/>
  <c r="R58" i="1"/>
  <c r="Q58" i="1"/>
  <c r="R57" i="1"/>
  <c r="Q57" i="1"/>
  <c r="R56" i="1"/>
  <c r="Q56" i="1"/>
  <c r="R53" i="1"/>
  <c r="Q53" i="1"/>
  <c r="R52" i="1"/>
  <c r="Q52" i="1"/>
  <c r="R51" i="1"/>
  <c r="Q51" i="1"/>
  <c r="R49" i="1"/>
  <c r="Q49" i="1"/>
  <c r="R48" i="1"/>
  <c r="Q48" i="1"/>
  <c r="R46" i="1"/>
  <c r="Q46" i="1"/>
  <c r="R37" i="1"/>
  <c r="Q37" i="1"/>
  <c r="R38" i="1"/>
  <c r="Q38" i="1"/>
  <c r="R39" i="1"/>
  <c r="Q39" i="1"/>
  <c r="R40" i="1"/>
  <c r="Q40" i="1"/>
  <c r="R41" i="1"/>
  <c r="Q41" i="1"/>
  <c r="R42" i="1"/>
  <c r="Q42" i="1"/>
  <c r="R43" i="1"/>
  <c r="Q43" i="1"/>
  <c r="R44" i="1"/>
  <c r="Q44" i="1"/>
  <c r="R36" i="1"/>
  <c r="Q36" i="1"/>
  <c r="R33" i="1"/>
  <c r="Q33" i="1"/>
  <c r="R32" i="1"/>
  <c r="Q32" i="1"/>
  <c r="R29" i="1"/>
  <c r="Q29" i="1"/>
  <c r="R27" i="1"/>
  <c r="Q27" i="1"/>
  <c r="R25" i="1"/>
  <c r="Q25" i="1"/>
  <c r="R20" i="1"/>
  <c r="Q20" i="1"/>
  <c r="R21" i="1"/>
  <c r="Q21" i="1"/>
  <c r="R19" i="1"/>
  <c r="Q19" i="1"/>
  <c r="R12" i="1"/>
  <c r="Q12" i="1"/>
  <c r="R13" i="1"/>
  <c r="Q13" i="1"/>
  <c r="R14" i="1"/>
  <c r="Q14" i="1"/>
  <c r="R15" i="1"/>
  <c r="Q15" i="1"/>
  <c r="R16" i="1"/>
  <c r="Q16" i="1"/>
  <c r="R17" i="1"/>
  <c r="Q17" i="1"/>
  <c r="R11" i="1"/>
  <c r="Q11" i="1"/>
  <c r="R262" i="1"/>
  <c r="Q262" i="1"/>
  <c r="C6" i="2"/>
  <c r="C41" i="2" s="1"/>
  <c r="C37" i="2"/>
  <c r="C27" i="2"/>
  <c r="L12" i="2"/>
  <c r="M12" i="2"/>
  <c r="N12" i="2"/>
  <c r="O12" i="2"/>
  <c r="K12" i="2"/>
  <c r="D12" i="2"/>
  <c r="E12" i="2"/>
  <c r="F12" i="2"/>
  <c r="G12" i="2"/>
  <c r="C12" i="2"/>
  <c r="R26" i="1"/>
  <c r="R28" i="1"/>
  <c r="R45" i="1"/>
  <c r="R47" i="1"/>
  <c r="R50" i="1"/>
  <c r="R54" i="1"/>
  <c r="R55" i="1"/>
  <c r="R59" i="1"/>
  <c r="R63" i="1"/>
  <c r="R65" i="1"/>
  <c r="R70" i="1"/>
  <c r="R75" i="1"/>
  <c r="R81" i="1"/>
  <c r="R84" i="1"/>
  <c r="R91" i="1"/>
  <c r="R95" i="1"/>
  <c r="R99" i="1"/>
  <c r="R106" i="1"/>
  <c r="R112" i="1"/>
  <c r="R114" i="1"/>
  <c r="R115" i="1"/>
  <c r="R119" i="1"/>
  <c r="R122" i="1"/>
  <c r="R123" i="1"/>
  <c r="R124" i="1"/>
  <c r="R125" i="1"/>
  <c r="R152" i="1"/>
  <c r="R164" i="1"/>
  <c r="R182" i="1"/>
  <c r="R189" i="1"/>
  <c r="R202" i="1"/>
  <c r="R204" i="1"/>
  <c r="R207" i="1"/>
  <c r="R212" i="1"/>
  <c r="R215" i="1"/>
  <c r="R226" i="1"/>
  <c r="R227" i="1"/>
  <c r="R231" i="1"/>
  <c r="R247" i="1"/>
  <c r="R248" i="1"/>
  <c r="C42" i="2"/>
  <c r="D42" i="2"/>
  <c r="Q54" i="1"/>
  <c r="Q55" i="1"/>
  <c r="Q59" i="1"/>
  <c r="Q63" i="1"/>
  <c r="Q65" i="1"/>
  <c r="Q70" i="1"/>
  <c r="Q75" i="1"/>
  <c r="Q81" i="1"/>
  <c r="Q84" i="1"/>
  <c r="Q91" i="1"/>
  <c r="Q95" i="1"/>
  <c r="Q99" i="1"/>
  <c r="Q106" i="1"/>
  <c r="Q112" i="1"/>
  <c r="Q114" i="1"/>
  <c r="Q115" i="1"/>
  <c r="Q119" i="1"/>
  <c r="Q122" i="1"/>
  <c r="Q123" i="1"/>
  <c r="Q124" i="1"/>
  <c r="Q125" i="1"/>
  <c r="Q152" i="1"/>
  <c r="Q164" i="1"/>
  <c r="Q182" i="1"/>
  <c r="Q189" i="1"/>
  <c r="Q202" i="1"/>
  <c r="Q204" i="1"/>
  <c r="Q207" i="1"/>
  <c r="Q212" i="1"/>
  <c r="Q214" i="1"/>
  <c r="Q215" i="1"/>
  <c r="Q226" i="1"/>
  <c r="Q227" i="1"/>
  <c r="Q231" i="1"/>
  <c r="Q247" i="1"/>
  <c r="Q248" i="1"/>
  <c r="Q45" i="1"/>
  <c r="Q47" i="1"/>
  <c r="Q50" i="1"/>
  <c r="Q26" i="1"/>
  <c r="Q28" i="1"/>
  <c r="R579" i="1"/>
  <c r="K6" i="2"/>
  <c r="K41" i="2" s="1"/>
  <c r="L6" i="2"/>
  <c r="L41" i="2" s="1"/>
  <c r="L43" i="2" s="1"/>
  <c r="M6" i="2"/>
  <c r="M41" i="2" s="1"/>
  <c r="O6" i="2"/>
  <c r="O41" i="2" s="1"/>
  <c r="N42" i="2"/>
  <c r="M42" i="2"/>
  <c r="K42" i="2"/>
  <c r="O28" i="2"/>
  <c r="N28" i="2"/>
  <c r="M28" i="2"/>
  <c r="L28" i="2"/>
  <c r="K28" i="2"/>
  <c r="G30" i="2"/>
  <c r="F28" i="2"/>
  <c r="D28" i="2"/>
  <c r="C28" i="2"/>
  <c r="C29" i="2" s="1"/>
  <c r="C30" i="2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C346" i="4"/>
  <c r="B346" i="4"/>
  <c r="A608" i="4"/>
  <c r="C608" i="4"/>
  <c r="B608" i="4"/>
  <c r="A607" i="4"/>
  <c r="C607" i="4"/>
  <c r="B607" i="4"/>
  <c r="A606" i="4"/>
  <c r="C606" i="4"/>
  <c r="B606" i="4"/>
  <c r="A605" i="4"/>
  <c r="C605" i="4"/>
  <c r="B605" i="4"/>
  <c r="A604" i="4"/>
  <c r="C604" i="4"/>
  <c r="B604" i="4"/>
  <c r="A603" i="4"/>
  <c r="C603" i="4"/>
  <c r="B603" i="4"/>
  <c r="A602" i="4"/>
  <c r="C602" i="4"/>
  <c r="B602" i="4"/>
  <c r="A601" i="4"/>
  <c r="C601" i="4"/>
  <c r="B601" i="4"/>
  <c r="A600" i="4"/>
  <c r="C600" i="4"/>
  <c r="B600" i="4"/>
  <c r="A599" i="4"/>
  <c r="C599" i="4"/>
  <c r="B599" i="4"/>
  <c r="A598" i="4"/>
  <c r="C598" i="4"/>
  <c r="B598" i="4"/>
  <c r="A597" i="4"/>
  <c r="C597" i="4"/>
  <c r="B597" i="4"/>
  <c r="A596" i="4"/>
  <c r="C596" i="4"/>
  <c r="B596" i="4"/>
  <c r="A595" i="4"/>
  <c r="C595" i="4"/>
  <c r="B595" i="4"/>
  <c r="A594" i="4"/>
  <c r="C594" i="4"/>
  <c r="B594" i="4"/>
  <c r="A593" i="4"/>
  <c r="C593" i="4"/>
  <c r="B593" i="4"/>
  <c r="A592" i="4"/>
  <c r="C592" i="4"/>
  <c r="B592" i="4"/>
  <c r="A591" i="4"/>
  <c r="C591" i="4"/>
  <c r="B591" i="4"/>
  <c r="A590" i="4"/>
  <c r="C590" i="4"/>
  <c r="B590" i="4"/>
  <c r="A589" i="4"/>
  <c r="C589" i="4"/>
  <c r="B589" i="4"/>
  <c r="A588" i="4"/>
  <c r="C588" i="4"/>
  <c r="B588" i="4"/>
  <c r="A587" i="4"/>
  <c r="C587" i="4"/>
  <c r="B587" i="4"/>
  <c r="A586" i="4"/>
  <c r="C586" i="4"/>
  <c r="B586" i="4"/>
  <c r="A585" i="4"/>
  <c r="C585" i="4"/>
  <c r="B585" i="4"/>
  <c r="A584" i="4"/>
  <c r="C584" i="4"/>
  <c r="B584" i="4"/>
  <c r="A583" i="4"/>
  <c r="C583" i="4"/>
  <c r="B583" i="4"/>
  <c r="A582" i="4"/>
  <c r="C582" i="4"/>
  <c r="B582" i="4"/>
  <c r="A581" i="4"/>
  <c r="C581" i="4"/>
  <c r="B581" i="4"/>
  <c r="A580" i="4"/>
  <c r="C580" i="4"/>
  <c r="B580" i="4"/>
  <c r="A579" i="4"/>
  <c r="C579" i="4"/>
  <c r="B579" i="4"/>
  <c r="A578" i="4"/>
  <c r="C578" i="4"/>
  <c r="B578" i="4"/>
  <c r="A577" i="4"/>
  <c r="C577" i="4"/>
  <c r="B577" i="4"/>
  <c r="A576" i="4"/>
  <c r="C576" i="4"/>
  <c r="B576" i="4"/>
  <c r="A575" i="4"/>
  <c r="C575" i="4"/>
  <c r="B575" i="4"/>
  <c r="A574" i="4"/>
  <c r="C574" i="4"/>
  <c r="B574" i="4"/>
  <c r="A573" i="4"/>
  <c r="C573" i="4"/>
  <c r="B573" i="4"/>
  <c r="A572" i="4"/>
  <c r="C572" i="4"/>
  <c r="B572" i="4"/>
  <c r="A571" i="4"/>
  <c r="C571" i="4"/>
  <c r="B571" i="4"/>
  <c r="A570" i="4"/>
  <c r="C570" i="4"/>
  <c r="B570" i="4"/>
  <c r="A569" i="4"/>
  <c r="C569" i="4"/>
  <c r="B569" i="4"/>
  <c r="A567" i="4"/>
  <c r="C567" i="4"/>
  <c r="B567" i="4"/>
  <c r="A566" i="4"/>
  <c r="C566" i="4"/>
  <c r="B566" i="4"/>
  <c r="A565" i="4"/>
  <c r="C565" i="4"/>
  <c r="B565" i="4"/>
  <c r="A564" i="4"/>
  <c r="C564" i="4"/>
  <c r="B564" i="4"/>
  <c r="A563" i="4"/>
  <c r="C563" i="4"/>
  <c r="B563" i="4"/>
  <c r="A562" i="4"/>
  <c r="C562" i="4"/>
  <c r="B562" i="4"/>
  <c r="A561" i="4"/>
  <c r="C561" i="4"/>
  <c r="B561" i="4"/>
  <c r="A560" i="4"/>
  <c r="C560" i="4"/>
  <c r="B560" i="4"/>
  <c r="A558" i="4"/>
  <c r="C558" i="4"/>
  <c r="B558" i="4"/>
  <c r="A557" i="4"/>
  <c r="C557" i="4"/>
  <c r="B557" i="4"/>
  <c r="A556" i="4"/>
  <c r="C556" i="4"/>
  <c r="B556" i="4"/>
  <c r="A555" i="4"/>
  <c r="C555" i="4"/>
  <c r="B555" i="4"/>
  <c r="A554" i="4"/>
  <c r="C554" i="4"/>
  <c r="B554" i="4"/>
  <c r="A553" i="4"/>
  <c r="C553" i="4"/>
  <c r="B553" i="4"/>
  <c r="A552" i="4"/>
  <c r="C552" i="4"/>
  <c r="B552" i="4"/>
  <c r="A551" i="4"/>
  <c r="C551" i="4"/>
  <c r="B551" i="4"/>
  <c r="A550" i="4"/>
  <c r="C550" i="4"/>
  <c r="B550" i="4"/>
  <c r="A549" i="4"/>
  <c r="C549" i="4"/>
  <c r="B549" i="4"/>
  <c r="A548" i="4"/>
  <c r="C548" i="4"/>
  <c r="B548" i="4"/>
  <c r="A547" i="4"/>
  <c r="C547" i="4"/>
  <c r="B547" i="4"/>
  <c r="A546" i="4"/>
  <c r="C546" i="4"/>
  <c r="B546" i="4"/>
  <c r="A545" i="4"/>
  <c r="C545" i="4"/>
  <c r="B545" i="4"/>
  <c r="A544" i="4"/>
  <c r="C544" i="4"/>
  <c r="B544" i="4"/>
  <c r="A543" i="4"/>
  <c r="C543" i="4"/>
  <c r="B543" i="4"/>
  <c r="A542" i="4"/>
  <c r="C542" i="4"/>
  <c r="B542" i="4"/>
  <c r="A541" i="4"/>
  <c r="C541" i="4"/>
  <c r="B541" i="4"/>
  <c r="A540" i="4"/>
  <c r="C540" i="4"/>
  <c r="B540" i="4"/>
  <c r="A539" i="4"/>
  <c r="C539" i="4"/>
  <c r="B539" i="4"/>
  <c r="A538" i="4"/>
  <c r="C538" i="4"/>
  <c r="B538" i="4"/>
  <c r="A537" i="4"/>
  <c r="C537" i="4"/>
  <c r="B537" i="4"/>
  <c r="A536" i="4"/>
  <c r="C536" i="4"/>
  <c r="B536" i="4"/>
  <c r="A535" i="4"/>
  <c r="C535" i="4"/>
  <c r="B535" i="4"/>
  <c r="A534" i="4"/>
  <c r="C534" i="4"/>
  <c r="B534" i="4"/>
  <c r="A533" i="4"/>
  <c r="C533" i="4"/>
  <c r="B533" i="4"/>
  <c r="A532" i="4"/>
  <c r="C532" i="4"/>
  <c r="B532" i="4"/>
  <c r="A531" i="4"/>
  <c r="C531" i="4"/>
  <c r="B531" i="4"/>
  <c r="A530" i="4"/>
  <c r="C530" i="4"/>
  <c r="B530" i="4"/>
  <c r="A529" i="4"/>
  <c r="C529" i="4"/>
  <c r="B529" i="4"/>
  <c r="A528" i="4"/>
  <c r="C528" i="4"/>
  <c r="B528" i="4"/>
  <c r="A527" i="4"/>
  <c r="C527" i="4"/>
  <c r="B527" i="4"/>
  <c r="A526" i="4"/>
  <c r="C526" i="4"/>
  <c r="B526" i="4"/>
  <c r="A525" i="4"/>
  <c r="C525" i="4"/>
  <c r="B525" i="4"/>
  <c r="A524" i="4"/>
  <c r="C524" i="4"/>
  <c r="B524" i="4"/>
  <c r="A523" i="4"/>
  <c r="C523" i="4"/>
  <c r="B523" i="4"/>
  <c r="A522" i="4"/>
  <c r="C522" i="4"/>
  <c r="B522" i="4"/>
  <c r="A521" i="4"/>
  <c r="C521" i="4"/>
  <c r="B521" i="4"/>
  <c r="A520" i="4"/>
  <c r="C520" i="4"/>
  <c r="B520" i="4"/>
  <c r="A519" i="4"/>
  <c r="C519" i="4"/>
  <c r="B519" i="4"/>
  <c r="A518" i="4"/>
  <c r="C518" i="4"/>
  <c r="B518" i="4"/>
  <c r="A517" i="4"/>
  <c r="C517" i="4"/>
  <c r="B517" i="4"/>
  <c r="A516" i="4"/>
  <c r="C516" i="4"/>
  <c r="B516" i="4"/>
  <c r="A515" i="4"/>
  <c r="C515" i="4"/>
  <c r="B515" i="4"/>
  <c r="A514" i="4"/>
  <c r="C514" i="4"/>
  <c r="B514" i="4"/>
  <c r="A513" i="4"/>
  <c r="C513" i="4"/>
  <c r="B513" i="4"/>
  <c r="A512" i="4"/>
  <c r="C512" i="4"/>
  <c r="B512" i="4"/>
  <c r="A511" i="4"/>
  <c r="C511" i="4"/>
  <c r="B511" i="4"/>
  <c r="A510" i="4"/>
  <c r="C510" i="4"/>
  <c r="B510" i="4"/>
  <c r="A509" i="4"/>
  <c r="C509" i="4"/>
  <c r="B509" i="4"/>
  <c r="A508" i="4"/>
  <c r="C508" i="4"/>
  <c r="B508" i="4"/>
  <c r="A507" i="4"/>
  <c r="C507" i="4"/>
  <c r="B507" i="4"/>
  <c r="A506" i="4"/>
  <c r="C506" i="4"/>
  <c r="B506" i="4"/>
  <c r="A505" i="4"/>
  <c r="C505" i="4"/>
  <c r="B505" i="4"/>
  <c r="A504" i="4"/>
  <c r="C504" i="4"/>
  <c r="B504" i="4"/>
  <c r="A503" i="4"/>
  <c r="C503" i="4"/>
  <c r="B503" i="4"/>
  <c r="A502" i="4"/>
  <c r="C502" i="4"/>
  <c r="B502" i="4"/>
  <c r="A501" i="4"/>
  <c r="C501" i="4"/>
  <c r="B501" i="4"/>
  <c r="A500" i="4"/>
  <c r="C500" i="4"/>
  <c r="B500" i="4"/>
  <c r="A499" i="4"/>
  <c r="C499" i="4"/>
  <c r="B499" i="4"/>
  <c r="A498" i="4"/>
  <c r="C498" i="4"/>
  <c r="B498" i="4"/>
  <c r="A497" i="4"/>
  <c r="C497" i="4"/>
  <c r="B497" i="4"/>
  <c r="A496" i="4"/>
  <c r="C496" i="4"/>
  <c r="B496" i="4"/>
  <c r="A495" i="4"/>
  <c r="C495" i="4"/>
  <c r="B495" i="4"/>
  <c r="A494" i="4"/>
  <c r="C494" i="4"/>
  <c r="B494" i="4"/>
  <c r="A493" i="4"/>
  <c r="C493" i="4"/>
  <c r="B493" i="4"/>
  <c r="A492" i="4"/>
  <c r="C492" i="4"/>
  <c r="B492" i="4"/>
  <c r="A491" i="4"/>
  <c r="C491" i="4"/>
  <c r="B491" i="4"/>
  <c r="A490" i="4"/>
  <c r="C490" i="4"/>
  <c r="B490" i="4"/>
  <c r="A489" i="4"/>
  <c r="C489" i="4"/>
  <c r="B489" i="4"/>
  <c r="A488" i="4"/>
  <c r="C488" i="4"/>
  <c r="B488" i="4"/>
  <c r="A487" i="4"/>
  <c r="C487" i="4"/>
  <c r="B487" i="4"/>
  <c r="A486" i="4"/>
  <c r="C486" i="4"/>
  <c r="B486" i="4"/>
  <c r="A485" i="4"/>
  <c r="C485" i="4"/>
  <c r="B485" i="4"/>
  <c r="A484" i="4"/>
  <c r="C484" i="4"/>
  <c r="B484" i="4"/>
  <c r="A483" i="4"/>
  <c r="C483" i="4"/>
  <c r="B483" i="4"/>
  <c r="A482" i="4"/>
  <c r="C482" i="4"/>
  <c r="B482" i="4"/>
  <c r="A481" i="4"/>
  <c r="C481" i="4"/>
  <c r="B481" i="4"/>
  <c r="A480" i="4"/>
  <c r="C480" i="4"/>
  <c r="B480" i="4"/>
  <c r="A479" i="4"/>
  <c r="C479" i="4"/>
  <c r="B479" i="4"/>
  <c r="A478" i="4"/>
  <c r="C478" i="4"/>
  <c r="B478" i="4"/>
  <c r="A477" i="4"/>
  <c r="C477" i="4"/>
  <c r="B477" i="4"/>
  <c r="A476" i="4"/>
  <c r="C476" i="4"/>
  <c r="B476" i="4"/>
  <c r="A475" i="4"/>
  <c r="C475" i="4"/>
  <c r="B475" i="4"/>
  <c r="A474" i="4"/>
  <c r="C474" i="4"/>
  <c r="B474" i="4"/>
  <c r="A473" i="4"/>
  <c r="C473" i="4"/>
  <c r="B473" i="4"/>
  <c r="A472" i="4"/>
  <c r="C472" i="4"/>
  <c r="B472" i="4"/>
  <c r="A471" i="4"/>
  <c r="C471" i="4"/>
  <c r="B471" i="4"/>
  <c r="A470" i="4"/>
  <c r="C470" i="4"/>
  <c r="B470" i="4"/>
  <c r="A469" i="4"/>
  <c r="C469" i="4"/>
  <c r="B469" i="4"/>
  <c r="A468" i="4"/>
  <c r="C468" i="4"/>
  <c r="B468" i="4"/>
  <c r="A467" i="4"/>
  <c r="C467" i="4"/>
  <c r="B467" i="4"/>
  <c r="A466" i="4"/>
  <c r="C466" i="4"/>
  <c r="B466" i="4"/>
  <c r="A465" i="4"/>
  <c r="C465" i="4"/>
  <c r="B465" i="4"/>
  <c r="A464" i="4"/>
  <c r="C464" i="4"/>
  <c r="B464" i="4"/>
  <c r="A463" i="4"/>
  <c r="C463" i="4"/>
  <c r="B463" i="4"/>
  <c r="A462" i="4"/>
  <c r="C462" i="4"/>
  <c r="B462" i="4"/>
  <c r="A461" i="4"/>
  <c r="C461" i="4"/>
  <c r="B461" i="4"/>
  <c r="A460" i="4"/>
  <c r="C460" i="4"/>
  <c r="B460" i="4"/>
  <c r="A459" i="4"/>
  <c r="C459" i="4"/>
  <c r="B459" i="4"/>
  <c r="A458" i="4"/>
  <c r="C458" i="4"/>
  <c r="B458" i="4"/>
  <c r="A457" i="4"/>
  <c r="C457" i="4"/>
  <c r="B457" i="4"/>
  <c r="A456" i="4"/>
  <c r="C456" i="4"/>
  <c r="B456" i="4"/>
  <c r="A455" i="4"/>
  <c r="C455" i="4"/>
  <c r="B455" i="4"/>
  <c r="A454" i="4"/>
  <c r="C454" i="4"/>
  <c r="B454" i="4"/>
  <c r="A453" i="4"/>
  <c r="C453" i="4"/>
  <c r="B453" i="4"/>
  <c r="A452" i="4"/>
  <c r="C452" i="4"/>
  <c r="B452" i="4"/>
  <c r="A451" i="4"/>
  <c r="C451" i="4"/>
  <c r="B451" i="4"/>
  <c r="A450" i="4"/>
  <c r="C450" i="4"/>
  <c r="B450" i="4"/>
  <c r="A449" i="4"/>
  <c r="C449" i="4"/>
  <c r="B449" i="4"/>
  <c r="A448" i="4"/>
  <c r="C448" i="4"/>
  <c r="B448" i="4"/>
  <c r="A447" i="4"/>
  <c r="C447" i="4"/>
  <c r="B447" i="4"/>
  <c r="A446" i="4"/>
  <c r="C446" i="4"/>
  <c r="B446" i="4"/>
  <c r="A445" i="4"/>
  <c r="C445" i="4"/>
  <c r="B445" i="4"/>
  <c r="A444" i="4"/>
  <c r="C444" i="4"/>
  <c r="B444" i="4"/>
  <c r="A443" i="4"/>
  <c r="C443" i="4"/>
  <c r="B443" i="4"/>
  <c r="A442" i="4"/>
  <c r="C442" i="4"/>
  <c r="B442" i="4"/>
  <c r="A441" i="4"/>
  <c r="C441" i="4"/>
  <c r="B441" i="4"/>
  <c r="A440" i="4"/>
  <c r="C440" i="4"/>
  <c r="B440" i="4"/>
  <c r="A439" i="4"/>
  <c r="C439" i="4"/>
  <c r="B439" i="4"/>
  <c r="A438" i="4"/>
  <c r="C438" i="4"/>
  <c r="B438" i="4"/>
  <c r="A437" i="4"/>
  <c r="C437" i="4"/>
  <c r="B437" i="4"/>
  <c r="A436" i="4"/>
  <c r="C436" i="4"/>
  <c r="B436" i="4"/>
  <c r="A435" i="4"/>
  <c r="C435" i="4"/>
  <c r="B435" i="4"/>
  <c r="A434" i="4"/>
  <c r="C434" i="4"/>
  <c r="B434" i="4"/>
  <c r="A433" i="4"/>
  <c r="C433" i="4"/>
  <c r="B433" i="4"/>
  <c r="A432" i="4"/>
  <c r="C432" i="4"/>
  <c r="B432" i="4"/>
  <c r="A431" i="4"/>
  <c r="C431" i="4"/>
  <c r="B431" i="4"/>
  <c r="A430" i="4"/>
  <c r="C430" i="4"/>
  <c r="B430" i="4"/>
  <c r="A429" i="4"/>
  <c r="C429" i="4"/>
  <c r="B429" i="4"/>
  <c r="A428" i="4"/>
  <c r="C428" i="4"/>
  <c r="B428" i="4"/>
  <c r="A427" i="4"/>
  <c r="C427" i="4"/>
  <c r="B427" i="4"/>
  <c r="A426" i="4"/>
  <c r="C426" i="4"/>
  <c r="B426" i="4"/>
  <c r="A425" i="4"/>
  <c r="C425" i="4"/>
  <c r="B425" i="4"/>
  <c r="A424" i="4"/>
  <c r="C424" i="4"/>
  <c r="B424" i="4"/>
  <c r="A423" i="4"/>
  <c r="C423" i="4"/>
  <c r="B423" i="4"/>
  <c r="A422" i="4"/>
  <c r="C422" i="4"/>
  <c r="B422" i="4"/>
  <c r="A421" i="4"/>
  <c r="C421" i="4"/>
  <c r="B421" i="4"/>
  <c r="A420" i="4"/>
  <c r="C420" i="4"/>
  <c r="B420" i="4"/>
  <c r="A419" i="4"/>
  <c r="C419" i="4"/>
  <c r="B419" i="4"/>
  <c r="A418" i="4"/>
  <c r="C418" i="4"/>
  <c r="B418" i="4"/>
  <c r="A417" i="4"/>
  <c r="C417" i="4"/>
  <c r="B417" i="4"/>
  <c r="A416" i="4"/>
  <c r="C416" i="4"/>
  <c r="B416" i="4"/>
  <c r="A415" i="4"/>
  <c r="C415" i="4"/>
  <c r="B415" i="4"/>
  <c r="A414" i="4"/>
  <c r="C414" i="4"/>
  <c r="B414" i="4"/>
  <c r="A413" i="4"/>
  <c r="C413" i="4"/>
  <c r="B413" i="4"/>
  <c r="A412" i="4"/>
  <c r="C412" i="4"/>
  <c r="B412" i="4"/>
  <c r="A411" i="4"/>
  <c r="C411" i="4"/>
  <c r="B411" i="4"/>
  <c r="A410" i="4"/>
  <c r="C410" i="4"/>
  <c r="B410" i="4"/>
  <c r="A409" i="4"/>
  <c r="C409" i="4"/>
  <c r="B409" i="4"/>
  <c r="A408" i="4"/>
  <c r="C408" i="4"/>
  <c r="B408" i="4"/>
  <c r="A407" i="4"/>
  <c r="C407" i="4"/>
  <c r="B407" i="4"/>
  <c r="A406" i="4"/>
  <c r="C406" i="4"/>
  <c r="B406" i="4"/>
  <c r="A405" i="4"/>
  <c r="C405" i="4"/>
  <c r="B405" i="4"/>
  <c r="A404" i="4"/>
  <c r="C404" i="4"/>
  <c r="B404" i="4"/>
  <c r="A403" i="4"/>
  <c r="C403" i="4"/>
  <c r="B403" i="4"/>
  <c r="A402" i="4"/>
  <c r="C402" i="4"/>
  <c r="B402" i="4"/>
  <c r="A401" i="4"/>
  <c r="C401" i="4"/>
  <c r="B401" i="4"/>
  <c r="A400" i="4"/>
  <c r="C400" i="4"/>
  <c r="B400" i="4"/>
  <c r="A399" i="4"/>
  <c r="C399" i="4"/>
  <c r="B399" i="4"/>
  <c r="A398" i="4"/>
  <c r="C398" i="4"/>
  <c r="B398" i="4"/>
  <c r="A397" i="4"/>
  <c r="C397" i="4"/>
  <c r="B397" i="4"/>
  <c r="A396" i="4"/>
  <c r="C396" i="4"/>
  <c r="B396" i="4"/>
  <c r="A395" i="4"/>
  <c r="C395" i="4"/>
  <c r="B395" i="4"/>
  <c r="A394" i="4"/>
  <c r="C394" i="4"/>
  <c r="B394" i="4"/>
  <c r="A393" i="4"/>
  <c r="C393" i="4"/>
  <c r="B393" i="4"/>
  <c r="A392" i="4"/>
  <c r="C392" i="4"/>
  <c r="B392" i="4"/>
  <c r="A391" i="4"/>
  <c r="C391" i="4"/>
  <c r="B391" i="4"/>
  <c r="A390" i="4"/>
  <c r="C390" i="4"/>
  <c r="B390" i="4"/>
  <c r="A389" i="4"/>
  <c r="C389" i="4"/>
  <c r="B389" i="4"/>
  <c r="A388" i="4"/>
  <c r="C388" i="4"/>
  <c r="B388" i="4"/>
  <c r="A387" i="4"/>
  <c r="C387" i="4"/>
  <c r="B387" i="4"/>
  <c r="A386" i="4"/>
  <c r="C386" i="4"/>
  <c r="B386" i="4"/>
  <c r="A385" i="4"/>
  <c r="C385" i="4"/>
  <c r="B385" i="4"/>
  <c r="A384" i="4"/>
  <c r="C384" i="4"/>
  <c r="B384" i="4"/>
  <c r="A383" i="4"/>
  <c r="C383" i="4"/>
  <c r="B383" i="4"/>
  <c r="A382" i="4"/>
  <c r="C382" i="4"/>
  <c r="B382" i="4"/>
  <c r="A381" i="4"/>
  <c r="C381" i="4"/>
  <c r="B381" i="4"/>
  <c r="A380" i="4"/>
  <c r="C380" i="4"/>
  <c r="B380" i="4"/>
  <c r="A379" i="4"/>
  <c r="C379" i="4"/>
  <c r="B379" i="4"/>
  <c r="A378" i="4"/>
  <c r="C378" i="4"/>
  <c r="B378" i="4"/>
  <c r="A377" i="4"/>
  <c r="C377" i="4"/>
  <c r="B377" i="4"/>
  <c r="A376" i="4"/>
  <c r="C376" i="4"/>
  <c r="B376" i="4"/>
  <c r="A375" i="4"/>
  <c r="C375" i="4"/>
  <c r="B375" i="4"/>
  <c r="A374" i="4"/>
  <c r="C374" i="4"/>
  <c r="B374" i="4"/>
  <c r="A373" i="4"/>
  <c r="C373" i="4"/>
  <c r="B373" i="4"/>
  <c r="A372" i="4"/>
  <c r="C372" i="4"/>
  <c r="B372" i="4"/>
  <c r="A371" i="4"/>
  <c r="C371" i="4"/>
  <c r="B371" i="4"/>
  <c r="A370" i="4"/>
  <c r="C370" i="4"/>
  <c r="B370" i="4"/>
  <c r="A369" i="4"/>
  <c r="C369" i="4"/>
  <c r="B369" i="4"/>
  <c r="A368" i="4"/>
  <c r="C368" i="4"/>
  <c r="B368" i="4"/>
  <c r="A367" i="4"/>
  <c r="C367" i="4"/>
  <c r="B367" i="4"/>
  <c r="A366" i="4"/>
  <c r="C366" i="4"/>
  <c r="B366" i="4"/>
  <c r="A365" i="4"/>
  <c r="C365" i="4"/>
  <c r="B365" i="4"/>
  <c r="A364" i="4"/>
  <c r="C364" i="4"/>
  <c r="B364" i="4"/>
  <c r="A363" i="4"/>
  <c r="C363" i="4"/>
  <c r="B363" i="4"/>
  <c r="A362" i="4"/>
  <c r="C362" i="4"/>
  <c r="B362" i="4"/>
  <c r="A361" i="4"/>
  <c r="C361" i="4"/>
  <c r="B361" i="4"/>
  <c r="A360" i="4"/>
  <c r="C360" i="4"/>
  <c r="B360" i="4"/>
  <c r="A359" i="4"/>
  <c r="C359" i="4"/>
  <c r="B359" i="4"/>
  <c r="A358" i="4"/>
  <c r="C358" i="4"/>
  <c r="B358" i="4"/>
  <c r="A357" i="4"/>
  <c r="C357" i="4"/>
  <c r="B357" i="4"/>
  <c r="A356" i="4"/>
  <c r="C356" i="4"/>
  <c r="B356" i="4"/>
  <c r="A355" i="4"/>
  <c r="C355" i="4"/>
  <c r="B355" i="4"/>
  <c r="A354" i="4"/>
  <c r="C354" i="4"/>
  <c r="B354" i="4"/>
  <c r="A353" i="4"/>
  <c r="C353" i="4"/>
  <c r="B353" i="4"/>
  <c r="A352" i="4"/>
  <c r="C352" i="4"/>
  <c r="B352" i="4"/>
  <c r="A351" i="4"/>
  <c r="C351" i="4"/>
  <c r="B351" i="4"/>
  <c r="A350" i="4"/>
  <c r="C350" i="4"/>
  <c r="B350" i="4"/>
  <c r="A349" i="4"/>
  <c r="C349" i="4"/>
  <c r="B349" i="4"/>
  <c r="A348" i="4"/>
  <c r="C348" i="4"/>
  <c r="B348" i="4"/>
  <c r="A347" i="4"/>
  <c r="C347" i="4"/>
  <c r="B347" i="4"/>
  <c r="A345" i="4"/>
  <c r="C345" i="4"/>
  <c r="B345" i="4"/>
  <c r="A344" i="4"/>
  <c r="C344" i="4"/>
  <c r="B344" i="4"/>
  <c r="A343" i="4"/>
  <c r="C343" i="4"/>
  <c r="B343" i="4"/>
  <c r="A342" i="4"/>
  <c r="C342" i="4"/>
  <c r="B342" i="4"/>
  <c r="A341" i="4"/>
  <c r="C341" i="4"/>
  <c r="B341" i="4"/>
  <c r="A340" i="4"/>
  <c r="C340" i="4"/>
  <c r="B340" i="4"/>
  <c r="A339" i="4"/>
  <c r="C339" i="4"/>
  <c r="B339" i="4"/>
  <c r="A338" i="4"/>
  <c r="C338" i="4"/>
  <c r="B338" i="4"/>
  <c r="A337" i="4"/>
  <c r="C337" i="4"/>
  <c r="B337" i="4"/>
  <c r="A336" i="4"/>
  <c r="C336" i="4"/>
  <c r="B336" i="4"/>
  <c r="A335" i="4"/>
  <c r="C335" i="4"/>
  <c r="B335" i="4"/>
  <c r="A334" i="4"/>
  <c r="C334" i="4"/>
  <c r="B334" i="4"/>
  <c r="A333" i="4"/>
  <c r="C333" i="4"/>
  <c r="B333" i="4"/>
  <c r="A332" i="4"/>
  <c r="C332" i="4"/>
  <c r="B332" i="4"/>
  <c r="A331" i="4"/>
  <c r="C331" i="4"/>
  <c r="B331" i="4"/>
  <c r="A330" i="4"/>
  <c r="C330" i="4"/>
  <c r="B330" i="4"/>
  <c r="A329" i="4"/>
  <c r="C329" i="4"/>
  <c r="B329" i="4"/>
  <c r="A328" i="4"/>
  <c r="C328" i="4"/>
  <c r="B328" i="4"/>
  <c r="A327" i="4"/>
  <c r="C327" i="4"/>
  <c r="B327" i="4"/>
  <c r="A326" i="4"/>
  <c r="C326" i="4"/>
  <c r="B326" i="4"/>
  <c r="A325" i="4"/>
  <c r="C325" i="4"/>
  <c r="B325" i="4"/>
  <c r="A324" i="4"/>
  <c r="C324" i="4"/>
  <c r="B324" i="4"/>
  <c r="A323" i="4"/>
  <c r="C323" i="4"/>
  <c r="B323" i="4"/>
  <c r="A322" i="4"/>
  <c r="C322" i="4"/>
  <c r="B322" i="4"/>
  <c r="A321" i="4"/>
  <c r="C321" i="4"/>
  <c r="B321" i="4"/>
  <c r="A320" i="4"/>
  <c r="C320" i="4"/>
  <c r="B320" i="4"/>
  <c r="A319" i="4"/>
  <c r="C319" i="4"/>
  <c r="B319" i="4"/>
  <c r="A318" i="4"/>
  <c r="C318" i="4"/>
  <c r="B318" i="4"/>
  <c r="A317" i="4"/>
  <c r="C317" i="4"/>
  <c r="B317" i="4"/>
  <c r="A316" i="4"/>
  <c r="C316" i="4"/>
  <c r="B316" i="4"/>
  <c r="A315" i="4"/>
  <c r="C315" i="4"/>
  <c r="B315" i="4"/>
  <c r="A314" i="4"/>
  <c r="C314" i="4"/>
  <c r="B314" i="4"/>
  <c r="A313" i="4"/>
  <c r="C313" i="4"/>
  <c r="B313" i="4"/>
  <c r="A312" i="4"/>
  <c r="C312" i="4"/>
  <c r="B312" i="4"/>
  <c r="A311" i="4"/>
  <c r="C311" i="4"/>
  <c r="B311" i="4"/>
  <c r="A310" i="4"/>
  <c r="C310" i="4"/>
  <c r="B310" i="4"/>
  <c r="A309" i="4"/>
  <c r="C309" i="4"/>
  <c r="B309" i="4"/>
  <c r="C301" i="4"/>
  <c r="B301" i="4"/>
  <c r="A300" i="4"/>
  <c r="C300" i="4"/>
  <c r="B300" i="4"/>
  <c r="A299" i="4"/>
  <c r="C299" i="4"/>
  <c r="B299" i="4"/>
  <c r="A298" i="4"/>
  <c r="C298" i="4"/>
  <c r="B298" i="4"/>
  <c r="A297" i="4"/>
  <c r="C297" i="4"/>
  <c r="B297" i="4"/>
  <c r="A295" i="4"/>
  <c r="C295" i="4"/>
  <c r="B295" i="4"/>
  <c r="A294" i="4"/>
  <c r="C294" i="4"/>
  <c r="B294" i="4"/>
  <c r="A293" i="4"/>
  <c r="C293" i="4"/>
  <c r="B293" i="4"/>
  <c r="A292" i="4"/>
  <c r="C292" i="4"/>
  <c r="B292" i="4"/>
  <c r="A291" i="4"/>
  <c r="C291" i="4"/>
  <c r="B291" i="4"/>
  <c r="A290" i="4"/>
  <c r="C290" i="4"/>
  <c r="B290" i="4"/>
  <c r="A289" i="4"/>
  <c r="C289" i="4"/>
  <c r="B289" i="4"/>
  <c r="A288" i="4"/>
  <c r="C288" i="4"/>
  <c r="B288" i="4"/>
  <c r="A287" i="4"/>
  <c r="C287" i="4"/>
  <c r="B287" i="4"/>
  <c r="A286" i="4"/>
  <c r="C286" i="4"/>
  <c r="B286" i="4"/>
  <c r="A285" i="4"/>
  <c r="C285" i="4"/>
  <c r="B285" i="4"/>
  <c r="A284" i="4"/>
  <c r="C284" i="4"/>
  <c r="B284" i="4"/>
  <c r="A283" i="4"/>
  <c r="C283" i="4"/>
  <c r="B283" i="4"/>
  <c r="A282" i="4"/>
  <c r="C282" i="4"/>
  <c r="B282" i="4"/>
  <c r="A281" i="4"/>
  <c r="C281" i="4"/>
  <c r="B281" i="4"/>
  <c r="A280" i="4"/>
  <c r="C280" i="4"/>
  <c r="B280" i="4"/>
  <c r="A279" i="4"/>
  <c r="C279" i="4"/>
  <c r="B279" i="4"/>
  <c r="A278" i="4"/>
  <c r="C278" i="4"/>
  <c r="B278" i="4"/>
  <c r="A277" i="4"/>
  <c r="C277" i="4"/>
  <c r="B277" i="4"/>
  <c r="A276" i="4"/>
  <c r="C276" i="4"/>
  <c r="B276" i="4"/>
  <c r="A275" i="4"/>
  <c r="C275" i="4"/>
  <c r="B275" i="4"/>
  <c r="A274" i="4"/>
  <c r="C274" i="4"/>
  <c r="B274" i="4"/>
  <c r="A273" i="4"/>
  <c r="C273" i="4"/>
  <c r="B273" i="4"/>
  <c r="A272" i="4"/>
  <c r="C272" i="4"/>
  <c r="B272" i="4"/>
  <c r="A271" i="4"/>
  <c r="C271" i="4"/>
  <c r="B271" i="4"/>
  <c r="A270" i="4"/>
  <c r="C270" i="4"/>
  <c r="B270" i="4"/>
  <c r="A269" i="4"/>
  <c r="C269" i="4"/>
  <c r="B269" i="4"/>
  <c r="A268" i="4"/>
  <c r="C268" i="4"/>
  <c r="B268" i="4"/>
  <c r="A267" i="4"/>
  <c r="C267" i="4"/>
  <c r="B267" i="4"/>
  <c r="A266" i="4"/>
  <c r="C266" i="4"/>
  <c r="B266" i="4"/>
  <c r="A265" i="4"/>
  <c r="C265" i="4"/>
  <c r="B265" i="4"/>
  <c r="A264" i="4"/>
  <c r="C264" i="4"/>
  <c r="B264" i="4"/>
  <c r="A263" i="4"/>
  <c r="C263" i="4"/>
  <c r="B263" i="4"/>
  <c r="A262" i="4"/>
  <c r="C262" i="4"/>
  <c r="B262" i="4"/>
  <c r="A261" i="4"/>
  <c r="C261" i="4"/>
  <c r="B261" i="4"/>
  <c r="A260" i="4"/>
  <c r="C260" i="4"/>
  <c r="B260" i="4"/>
  <c r="A259" i="4"/>
  <c r="C259" i="4"/>
  <c r="B259" i="4"/>
  <c r="A258" i="4"/>
  <c r="C258" i="4"/>
  <c r="B258" i="4"/>
  <c r="A257" i="4"/>
  <c r="C257" i="4"/>
  <c r="B257" i="4"/>
  <c r="A256" i="4"/>
  <c r="C256" i="4"/>
  <c r="B256" i="4"/>
  <c r="A255" i="4"/>
  <c r="C255" i="4"/>
  <c r="B255" i="4"/>
  <c r="A254" i="4"/>
  <c r="C254" i="4"/>
  <c r="B254" i="4"/>
  <c r="A253" i="4"/>
  <c r="C253" i="4"/>
  <c r="B253" i="4"/>
  <c r="A252" i="4"/>
  <c r="C252" i="4"/>
  <c r="B252" i="4"/>
  <c r="A251" i="4"/>
  <c r="C251" i="4"/>
  <c r="B251" i="4"/>
  <c r="A246" i="4"/>
  <c r="C246" i="4"/>
  <c r="B246" i="4"/>
  <c r="A245" i="4"/>
  <c r="C245" i="4"/>
  <c r="B245" i="4"/>
  <c r="A244" i="4"/>
  <c r="C244" i="4"/>
  <c r="B244" i="4"/>
  <c r="A243" i="4"/>
  <c r="C243" i="4"/>
  <c r="B243" i="4"/>
  <c r="A242" i="4"/>
  <c r="C242" i="4"/>
  <c r="B242" i="4"/>
  <c r="A241" i="4"/>
  <c r="C241" i="4"/>
  <c r="B241" i="4"/>
  <c r="A240" i="4"/>
  <c r="C240" i="4"/>
  <c r="B240" i="4"/>
  <c r="C239" i="4"/>
  <c r="B239" i="4"/>
  <c r="C238" i="4"/>
  <c r="B238" i="4"/>
  <c r="C237" i="4"/>
  <c r="B237" i="4"/>
  <c r="C236" i="4"/>
  <c r="B236" i="4"/>
  <c r="C235" i="4"/>
  <c r="B235" i="4"/>
  <c r="C234" i="4"/>
  <c r="B234" i="4"/>
  <c r="C233" i="4"/>
  <c r="B233" i="4"/>
  <c r="C232" i="4"/>
  <c r="B232" i="4"/>
  <c r="C231" i="4"/>
  <c r="B231" i="4"/>
  <c r="C230" i="4"/>
  <c r="B230" i="4"/>
  <c r="C229" i="4"/>
  <c r="B229" i="4"/>
  <c r="C228" i="4"/>
  <c r="B228" i="4"/>
  <c r="C227" i="4"/>
  <c r="B227" i="4"/>
  <c r="C226" i="4"/>
  <c r="B226" i="4"/>
  <c r="C225" i="4"/>
  <c r="B225" i="4"/>
  <c r="C224" i="4"/>
  <c r="B224" i="4"/>
  <c r="C223" i="4"/>
  <c r="B223" i="4"/>
  <c r="C222" i="4"/>
  <c r="B222" i="4"/>
  <c r="C221" i="4"/>
  <c r="B221" i="4"/>
  <c r="C220" i="4"/>
  <c r="B220" i="4"/>
  <c r="C219" i="4"/>
  <c r="B219" i="4"/>
  <c r="C218" i="4"/>
  <c r="B218" i="4"/>
  <c r="C217" i="4"/>
  <c r="B217" i="4"/>
  <c r="C215" i="4"/>
  <c r="B215" i="4"/>
  <c r="C214" i="4"/>
  <c r="B214" i="4"/>
  <c r="C213" i="4"/>
  <c r="B213" i="4"/>
  <c r="C212" i="4"/>
  <c r="B212" i="4"/>
  <c r="C211" i="4"/>
  <c r="B211" i="4"/>
  <c r="C210" i="4"/>
  <c r="B210" i="4"/>
  <c r="C209" i="4"/>
  <c r="B209" i="4"/>
  <c r="C208" i="4"/>
  <c r="B208" i="4"/>
  <c r="C207" i="4"/>
  <c r="B207" i="4"/>
  <c r="C206" i="4"/>
  <c r="B206" i="4"/>
  <c r="C205" i="4"/>
  <c r="B205" i="4"/>
  <c r="C204" i="4"/>
  <c r="B204" i="4"/>
  <c r="C203" i="4"/>
  <c r="B203" i="4"/>
  <c r="C202" i="4"/>
  <c r="B202" i="4"/>
  <c r="C201" i="4"/>
  <c r="B201" i="4"/>
  <c r="C200" i="4"/>
  <c r="B200" i="4"/>
  <c r="C199" i="4"/>
  <c r="B199" i="4"/>
  <c r="C198" i="4"/>
  <c r="B198" i="4"/>
  <c r="C197" i="4"/>
  <c r="B197" i="4"/>
  <c r="C196" i="4"/>
  <c r="B196" i="4"/>
  <c r="C195" i="4"/>
  <c r="B195" i="4"/>
  <c r="C194" i="4"/>
  <c r="B194" i="4"/>
  <c r="C193" i="4"/>
  <c r="B193" i="4"/>
  <c r="C192" i="4"/>
  <c r="B192" i="4"/>
  <c r="C191" i="4"/>
  <c r="B191" i="4"/>
  <c r="C190" i="4"/>
  <c r="B190" i="4"/>
  <c r="C189" i="4"/>
  <c r="B189" i="4"/>
  <c r="C188" i="4"/>
  <c r="B188" i="4"/>
  <c r="C187" i="4"/>
  <c r="B187" i="4"/>
  <c r="C186" i="4"/>
  <c r="B186" i="4"/>
  <c r="C185" i="4"/>
  <c r="B185" i="4"/>
  <c r="C184" i="4"/>
  <c r="B184" i="4"/>
  <c r="C183" i="4"/>
  <c r="B183" i="4"/>
  <c r="C182" i="4"/>
  <c r="B182" i="4"/>
  <c r="C181" i="4"/>
  <c r="B181" i="4"/>
  <c r="C180" i="4"/>
  <c r="B180" i="4"/>
  <c r="C179" i="4"/>
  <c r="B179" i="4"/>
  <c r="C178" i="4"/>
  <c r="B178" i="4"/>
  <c r="C177" i="4"/>
  <c r="B177" i="4"/>
  <c r="C176" i="4"/>
  <c r="B176" i="4"/>
  <c r="C175" i="4"/>
  <c r="B175" i="4"/>
  <c r="C174" i="4"/>
  <c r="B174" i="4"/>
  <c r="C173" i="4"/>
  <c r="B173" i="4"/>
  <c r="C172" i="4"/>
  <c r="B172" i="4"/>
  <c r="C171" i="4"/>
  <c r="B171" i="4"/>
  <c r="C170" i="4"/>
  <c r="B170" i="4"/>
  <c r="C169" i="4"/>
  <c r="B169" i="4"/>
  <c r="C168" i="4"/>
  <c r="B168" i="4"/>
  <c r="C167" i="4"/>
  <c r="B167" i="4"/>
  <c r="C166" i="4"/>
  <c r="B166" i="4"/>
  <c r="C165" i="4"/>
  <c r="B165" i="4"/>
  <c r="C164" i="4"/>
  <c r="B164" i="4"/>
  <c r="C163" i="4"/>
  <c r="B163" i="4"/>
  <c r="C162" i="4"/>
  <c r="B162" i="4"/>
  <c r="C161" i="4"/>
  <c r="B161" i="4"/>
  <c r="C160" i="4"/>
  <c r="B160" i="4"/>
  <c r="C159" i="4"/>
  <c r="B159" i="4"/>
  <c r="C158" i="4"/>
  <c r="B158" i="4"/>
  <c r="C157" i="4"/>
  <c r="B157" i="4"/>
  <c r="C156" i="4"/>
  <c r="B156" i="4"/>
  <c r="C155" i="4"/>
  <c r="B155" i="4"/>
  <c r="C154" i="4"/>
  <c r="B154" i="4"/>
  <c r="C153" i="4"/>
  <c r="B153" i="4"/>
  <c r="C152" i="4"/>
  <c r="B152" i="4"/>
  <c r="C151" i="4"/>
  <c r="B151" i="4"/>
  <c r="C150" i="4"/>
  <c r="B150" i="4"/>
  <c r="C149" i="4"/>
  <c r="B149" i="4"/>
  <c r="C148" i="4"/>
  <c r="B148" i="4"/>
  <c r="C147" i="4"/>
  <c r="B147" i="4"/>
  <c r="C146" i="4"/>
  <c r="B146" i="4"/>
  <c r="C145" i="4"/>
  <c r="B145" i="4"/>
  <c r="C144" i="4"/>
  <c r="B144" i="4"/>
  <c r="C143" i="4"/>
  <c r="B143" i="4"/>
  <c r="C142" i="4"/>
  <c r="B142" i="4"/>
  <c r="C141" i="4"/>
  <c r="B141" i="4"/>
  <c r="C140" i="4"/>
  <c r="B140" i="4"/>
  <c r="C139" i="4"/>
  <c r="B139" i="4"/>
  <c r="C138" i="4"/>
  <c r="B138" i="4"/>
  <c r="C137" i="4"/>
  <c r="B137" i="4"/>
  <c r="C136" i="4"/>
  <c r="B136" i="4"/>
  <c r="C135" i="4"/>
  <c r="B135" i="4"/>
  <c r="C134" i="4"/>
  <c r="B134" i="4"/>
  <c r="C133" i="4"/>
  <c r="B133" i="4"/>
  <c r="C132" i="4"/>
  <c r="B132" i="4"/>
  <c r="C131" i="4"/>
  <c r="B131" i="4"/>
  <c r="C130" i="4"/>
  <c r="B130" i="4"/>
  <c r="C129" i="4"/>
  <c r="B129" i="4"/>
  <c r="C128" i="4"/>
  <c r="B128" i="4"/>
  <c r="C127" i="4"/>
  <c r="B127" i="4"/>
  <c r="C126" i="4"/>
  <c r="B126" i="4"/>
  <c r="C125" i="4"/>
  <c r="B125" i="4"/>
  <c r="C124" i="4"/>
  <c r="B124" i="4"/>
  <c r="C123" i="4"/>
  <c r="B123" i="4"/>
  <c r="C122" i="4"/>
  <c r="B122" i="4"/>
  <c r="C121" i="4"/>
  <c r="B121" i="4"/>
  <c r="C120" i="4"/>
  <c r="B120" i="4"/>
  <c r="C119" i="4"/>
  <c r="B119" i="4"/>
  <c r="C118" i="4"/>
  <c r="B118" i="4"/>
  <c r="C117" i="4"/>
  <c r="B117" i="4"/>
  <c r="C116" i="4"/>
  <c r="B116" i="4"/>
  <c r="C115" i="4"/>
  <c r="B115" i="4"/>
  <c r="C114" i="4"/>
  <c r="B114" i="4"/>
  <c r="C113" i="4"/>
  <c r="B113" i="4"/>
  <c r="C112" i="4"/>
  <c r="B112" i="4"/>
  <c r="C111" i="4"/>
  <c r="B111" i="4"/>
  <c r="C110" i="4"/>
  <c r="B110" i="4"/>
  <c r="C109" i="4"/>
  <c r="B109" i="4"/>
  <c r="C108" i="4"/>
  <c r="B108" i="4"/>
  <c r="C107" i="4"/>
  <c r="B107" i="4"/>
  <c r="C106" i="4"/>
  <c r="B106" i="4"/>
  <c r="C105" i="4"/>
  <c r="B105" i="4"/>
  <c r="C104" i="4"/>
  <c r="B104" i="4"/>
  <c r="C103" i="4"/>
  <c r="B103" i="4"/>
  <c r="C102" i="4"/>
  <c r="B102" i="4"/>
  <c r="C101" i="4"/>
  <c r="B101" i="4"/>
  <c r="C100" i="4"/>
  <c r="B100" i="4"/>
  <c r="C99" i="4"/>
  <c r="B99" i="4"/>
  <c r="C98" i="4"/>
  <c r="B98" i="4"/>
  <c r="C97" i="4"/>
  <c r="B97" i="4"/>
  <c r="C96" i="4"/>
  <c r="B96" i="4"/>
  <c r="C95" i="4"/>
  <c r="B95" i="4"/>
  <c r="C94" i="4"/>
  <c r="B94" i="4"/>
  <c r="C93" i="4"/>
  <c r="B93" i="4"/>
  <c r="C92" i="4"/>
  <c r="B92" i="4"/>
  <c r="C91" i="4"/>
  <c r="B91" i="4"/>
  <c r="C90" i="4"/>
  <c r="B90" i="4"/>
  <c r="C89" i="4"/>
  <c r="B89" i="4"/>
  <c r="C88" i="4"/>
  <c r="B88" i="4"/>
  <c r="C87" i="4"/>
  <c r="B87" i="4"/>
  <c r="C86" i="4"/>
  <c r="B86" i="4"/>
  <c r="C85" i="4"/>
  <c r="B85" i="4"/>
  <c r="C84" i="4"/>
  <c r="B84" i="4"/>
  <c r="C83" i="4"/>
  <c r="B83" i="4"/>
  <c r="C82" i="4"/>
  <c r="B82" i="4"/>
  <c r="C81" i="4"/>
  <c r="B81" i="4"/>
  <c r="C80" i="4"/>
  <c r="B80" i="4"/>
  <c r="C79" i="4"/>
  <c r="B79" i="4"/>
  <c r="C78" i="4"/>
  <c r="B78" i="4"/>
  <c r="C77" i="4"/>
  <c r="B77" i="4"/>
  <c r="C76" i="4"/>
  <c r="B76" i="4"/>
  <c r="C75" i="4"/>
  <c r="B75" i="4"/>
  <c r="C74" i="4"/>
  <c r="B74" i="4"/>
  <c r="C73" i="4"/>
  <c r="B73" i="4"/>
  <c r="C72" i="4"/>
  <c r="B72" i="4"/>
  <c r="C71" i="4"/>
  <c r="B71" i="4"/>
  <c r="C70" i="4"/>
  <c r="B70" i="4"/>
  <c r="C69" i="4"/>
  <c r="B69" i="4"/>
  <c r="C68" i="4"/>
  <c r="B68" i="4"/>
  <c r="C67" i="4"/>
  <c r="B67" i="4"/>
  <c r="C66" i="4"/>
  <c r="B66" i="4"/>
  <c r="C65" i="4"/>
  <c r="B65" i="4"/>
  <c r="C64" i="4"/>
  <c r="B64" i="4"/>
  <c r="C63" i="4"/>
  <c r="B63" i="4"/>
  <c r="C62" i="4"/>
  <c r="B62" i="4"/>
  <c r="C61" i="4"/>
  <c r="B61" i="4"/>
  <c r="C60" i="4"/>
  <c r="B60" i="4"/>
  <c r="C59" i="4"/>
  <c r="B59" i="4"/>
  <c r="C58" i="4"/>
  <c r="B58" i="4"/>
  <c r="C57" i="4"/>
  <c r="B57" i="4"/>
  <c r="C56" i="4"/>
  <c r="B56" i="4"/>
  <c r="C55" i="4"/>
  <c r="B55" i="4"/>
  <c r="C54" i="4"/>
  <c r="B54" i="4"/>
  <c r="C53" i="4"/>
  <c r="B53" i="4"/>
  <c r="C52" i="4"/>
  <c r="B52" i="4"/>
  <c r="C51" i="4"/>
  <c r="B51" i="4"/>
  <c r="C50" i="4"/>
  <c r="B50" i="4"/>
  <c r="C49" i="4"/>
  <c r="B49" i="4"/>
  <c r="C48" i="4"/>
  <c r="B48" i="4"/>
  <c r="C47" i="4"/>
  <c r="B47" i="4"/>
  <c r="C46" i="4"/>
  <c r="B46" i="4"/>
  <c r="C45" i="4"/>
  <c r="B45" i="4"/>
  <c r="C44" i="4"/>
  <c r="B44" i="4"/>
  <c r="C43" i="4"/>
  <c r="B43" i="4"/>
  <c r="C42" i="4"/>
  <c r="B42" i="4"/>
  <c r="C41" i="4"/>
  <c r="B41" i="4"/>
  <c r="C40" i="4"/>
  <c r="B40" i="4"/>
  <c r="C39" i="4"/>
  <c r="B39" i="4"/>
  <c r="C38" i="4"/>
  <c r="B38" i="4"/>
  <c r="C37" i="4"/>
  <c r="B37" i="4"/>
  <c r="C36" i="4"/>
  <c r="B36" i="4"/>
  <c r="C35" i="4"/>
  <c r="B35" i="4"/>
  <c r="C34" i="4"/>
  <c r="B34" i="4"/>
  <c r="C33" i="4"/>
  <c r="B33" i="4"/>
  <c r="C32" i="4"/>
  <c r="B32" i="4"/>
  <c r="C31" i="4"/>
  <c r="B31" i="4"/>
  <c r="C30" i="4"/>
  <c r="B30" i="4"/>
  <c r="C29" i="4"/>
  <c r="B29" i="4"/>
  <c r="C28" i="4"/>
  <c r="B28" i="4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B10" i="4"/>
  <c r="C9" i="4"/>
  <c r="B9" i="4"/>
  <c r="C8" i="4"/>
  <c r="B8" i="4"/>
  <c r="C7" i="4"/>
  <c r="B7" i="4"/>
  <c r="C6" i="4"/>
  <c r="B6" i="4"/>
  <c r="C5" i="4"/>
  <c r="B5" i="4"/>
  <c r="C4" i="4"/>
  <c r="B4" i="4"/>
  <c r="C3" i="4"/>
  <c r="B3" i="4"/>
  <c r="B2" i="4"/>
  <c r="H1" i="4"/>
  <c r="G1" i="4"/>
  <c r="F1" i="4"/>
  <c r="E1" i="4"/>
  <c r="D1" i="4"/>
  <c r="A1" i="4"/>
  <c r="C1" i="4"/>
  <c r="B1" i="4"/>
  <c r="Q283" i="1"/>
  <c r="R283" i="1"/>
  <c r="Q286" i="1"/>
  <c r="R286" i="1"/>
  <c r="Q290" i="1"/>
  <c r="R290" i="1"/>
  <c r="Q337" i="1"/>
  <c r="R337" i="1"/>
  <c r="Q590" i="1"/>
  <c r="R590" i="1"/>
  <c r="Q595" i="1"/>
  <c r="R595" i="1"/>
  <c r="Q616" i="1"/>
  <c r="R616" i="1"/>
  <c r="Q587" i="1"/>
  <c r="R587" i="1"/>
  <c r="Q379" i="1"/>
  <c r="R379" i="1"/>
  <c r="Q336" i="1"/>
  <c r="R336" i="1"/>
  <c r="Q333" i="1"/>
  <c r="R333" i="1"/>
  <c r="Q331" i="1"/>
  <c r="R331" i="1"/>
  <c r="Q395" i="1"/>
  <c r="R395" i="1"/>
  <c r="Q456" i="1"/>
  <c r="R456" i="1"/>
  <c r="Q459" i="1"/>
  <c r="R459" i="1"/>
  <c r="Q465" i="1"/>
  <c r="R465" i="1"/>
  <c r="Q457" i="1"/>
  <c r="R457" i="1"/>
  <c r="Q460" i="1"/>
  <c r="R460" i="1"/>
  <c r="Q451" i="1"/>
  <c r="R451" i="1"/>
  <c r="Q453" i="1"/>
  <c r="R453" i="1"/>
  <c r="Q467" i="1"/>
  <c r="R467" i="1"/>
  <c r="Q461" i="1"/>
  <c r="R461" i="1"/>
  <c r="Q263" i="1"/>
  <c r="R263" i="1"/>
  <c r="Q284" i="1"/>
  <c r="R284" i="1"/>
  <c r="Q285" i="1"/>
  <c r="R285" i="1"/>
  <c r="Q288" i="1"/>
  <c r="R288" i="1"/>
  <c r="Q335" i="1"/>
  <c r="R335" i="1"/>
  <c r="Q334" i="1"/>
  <c r="R334" i="1"/>
  <c r="Q332" i="1"/>
  <c r="R332" i="1"/>
  <c r="Q586" i="1"/>
  <c r="R586" i="1"/>
  <c r="Q585" i="1"/>
  <c r="R585" i="1"/>
  <c r="Q596" i="1"/>
  <c r="R596" i="1"/>
  <c r="Q340" i="1"/>
  <c r="R340" i="1"/>
  <c r="Q339" i="1"/>
  <c r="R339" i="1"/>
  <c r="Q341" i="1"/>
  <c r="R341" i="1"/>
  <c r="Q353" i="1"/>
  <c r="R353" i="1"/>
  <c r="Q348" i="1"/>
  <c r="R348" i="1"/>
  <c r="Q354" i="1"/>
  <c r="R354" i="1"/>
  <c r="Q449" i="1"/>
  <c r="R449" i="1"/>
  <c r="Q450" i="1"/>
  <c r="R450" i="1"/>
  <c r="Q250" i="1"/>
  <c r="R250" i="1"/>
  <c r="Q249" i="1"/>
  <c r="R249" i="1"/>
  <c r="Q463" i="1"/>
  <c r="R463" i="1"/>
  <c r="Q466" i="1"/>
  <c r="R466" i="1"/>
  <c r="Q455" i="1"/>
  <c r="R455" i="1"/>
  <c r="Q452" i="1"/>
  <c r="R452" i="1"/>
  <c r="Q462" i="1"/>
  <c r="R462" i="1"/>
  <c r="Q464" i="1"/>
  <c r="R464" i="1"/>
  <c r="Q458" i="1"/>
  <c r="R458" i="1"/>
  <c r="Q469" i="1"/>
  <c r="R469" i="1"/>
  <c r="Q468" i="1"/>
  <c r="R468" i="1"/>
  <c r="Q454" i="1"/>
  <c r="R454" i="1"/>
  <c r="Q530" i="1"/>
  <c r="R530" i="1"/>
  <c r="Q486" i="1"/>
  <c r="R486" i="1"/>
  <c r="Q544" i="1"/>
  <c r="R544" i="1"/>
  <c r="Q545" i="1"/>
  <c r="R545" i="1"/>
  <c r="Q537" i="1"/>
  <c r="R537" i="1"/>
  <c r="Q535" i="1"/>
  <c r="R535" i="1"/>
  <c r="Q499" i="1"/>
  <c r="R499" i="1"/>
  <c r="Q491" i="1"/>
  <c r="R491" i="1"/>
  <c r="Q496" i="1"/>
  <c r="R496" i="1"/>
  <c r="Q507" i="1"/>
  <c r="R507" i="1"/>
  <c r="Q509" i="1"/>
  <c r="R509" i="1"/>
  <c r="Q517" i="1"/>
  <c r="R517" i="1"/>
  <c r="Q525" i="1"/>
  <c r="R525" i="1"/>
  <c r="Q522" i="1"/>
  <c r="R522" i="1"/>
  <c r="Q479" i="1"/>
  <c r="R479" i="1"/>
  <c r="Q521" i="1"/>
  <c r="R521" i="1"/>
  <c r="Q557" i="1"/>
  <c r="R557" i="1"/>
  <c r="Q561" i="1"/>
  <c r="R561" i="1"/>
  <c r="Q555" i="1"/>
  <c r="R555" i="1"/>
  <c r="Q562" i="1"/>
  <c r="R562" i="1"/>
  <c r="Q547" i="1"/>
  <c r="R547" i="1"/>
  <c r="Q542" i="1"/>
  <c r="R542" i="1"/>
  <c r="Q573" i="1"/>
  <c r="R573" i="1"/>
  <c r="Q520" i="1"/>
  <c r="R520" i="1"/>
  <c r="Q552" i="1"/>
  <c r="R552" i="1"/>
  <c r="Q575" i="1"/>
  <c r="R575" i="1"/>
  <c r="Q564" i="1"/>
  <c r="R564" i="1"/>
  <c r="Q519" i="1"/>
  <c r="R519" i="1"/>
  <c r="Q532" i="1"/>
  <c r="R532" i="1"/>
  <c r="Q510" i="1"/>
  <c r="R510" i="1"/>
  <c r="Q474" i="1"/>
  <c r="R474" i="1"/>
  <c r="Q497" i="1"/>
  <c r="R497" i="1"/>
  <c r="Q524" i="1"/>
  <c r="R524" i="1"/>
  <c r="Q523" i="1"/>
  <c r="R523" i="1"/>
  <c r="Q515" i="1"/>
  <c r="R515" i="1"/>
  <c r="Q513" i="1"/>
  <c r="S513" i="1" s="1"/>
  <c r="R513" i="1"/>
  <c r="Q550" i="1"/>
  <c r="R550" i="1"/>
  <c r="Q539" i="1"/>
  <c r="R539" i="1"/>
  <c r="Q527" i="1"/>
  <c r="R527" i="1"/>
  <c r="R568" i="1"/>
  <c r="Q516" i="1"/>
  <c r="R516" i="1"/>
  <c r="Q572" i="1"/>
  <c r="R572" i="1"/>
  <c r="Q488" i="1"/>
  <c r="R488" i="1"/>
  <c r="Q493" i="1"/>
  <c r="R493" i="1"/>
  <c r="Q549" i="1"/>
  <c r="R549" i="1"/>
  <c r="Q540" i="1"/>
  <c r="R540" i="1"/>
  <c r="Q551" i="1"/>
  <c r="R551" i="1"/>
  <c r="Q560" i="1"/>
  <c r="R560" i="1"/>
  <c r="Q473" i="1"/>
  <c r="R473" i="1"/>
  <c r="Q533" i="1"/>
  <c r="R533" i="1"/>
  <c r="Q484" i="1"/>
  <c r="R484" i="1"/>
  <c r="Q483" i="1"/>
  <c r="R483" i="1"/>
  <c r="Q470" i="1"/>
  <c r="R470" i="1"/>
  <c r="Q570" i="1"/>
  <c r="R570" i="1"/>
  <c r="Q553" i="1"/>
  <c r="R553" i="1"/>
  <c r="Q554" i="1"/>
  <c r="R554" i="1"/>
  <c r="Q518" i="1"/>
  <c r="R518" i="1"/>
  <c r="Q498" i="1"/>
  <c r="R498" i="1"/>
  <c r="Q503" i="1"/>
  <c r="R503" i="1"/>
  <c r="Q529" i="1"/>
  <c r="R529" i="1"/>
  <c r="Q485" i="1"/>
  <c r="R485" i="1"/>
  <c r="Q477" i="1"/>
  <c r="R477" i="1"/>
  <c r="Q481" i="1"/>
  <c r="R481" i="1"/>
  <c r="Q574" i="1"/>
  <c r="R574" i="1"/>
  <c r="Q534" i="1"/>
  <c r="R534" i="1"/>
  <c r="Q528" i="1"/>
  <c r="R528" i="1"/>
  <c r="Q566" i="1"/>
  <c r="R566" i="1"/>
  <c r="Q478" i="1"/>
  <c r="R478" i="1"/>
  <c r="Q492" i="1"/>
  <c r="R492" i="1"/>
  <c r="Q504" i="1"/>
  <c r="R504" i="1"/>
  <c r="Q556" i="1"/>
  <c r="R556" i="1"/>
  <c r="Q489" i="1"/>
  <c r="R489" i="1"/>
  <c r="Q571" i="1"/>
  <c r="R571" i="1"/>
  <c r="Q546" i="1"/>
  <c r="R546" i="1"/>
  <c r="Q577" i="1"/>
  <c r="R577" i="1"/>
  <c r="Q565" i="1"/>
  <c r="R565" i="1"/>
  <c r="Q569" i="1"/>
  <c r="R569" i="1"/>
  <c r="Q476" i="1"/>
  <c r="R476" i="1"/>
  <c r="Q508" i="1"/>
  <c r="R508" i="1"/>
  <c r="Q514" i="1"/>
  <c r="R514" i="1"/>
  <c r="Q480" i="1"/>
  <c r="R480" i="1"/>
  <c r="Q500" i="1"/>
  <c r="R500" i="1"/>
  <c r="Q559" i="1"/>
  <c r="R559" i="1"/>
  <c r="Q543" i="1"/>
  <c r="R543" i="1"/>
  <c r="Q548" i="1"/>
  <c r="R548" i="1"/>
  <c r="Q511" i="1"/>
  <c r="R511" i="1"/>
  <c r="Q495" i="1"/>
  <c r="R495" i="1"/>
  <c r="Q472" i="1"/>
  <c r="R472" i="1"/>
  <c r="Q482" i="1"/>
  <c r="R482" i="1"/>
  <c r="Q512" i="1"/>
  <c r="R512" i="1"/>
  <c r="Q558" i="1"/>
  <c r="R558" i="1"/>
  <c r="Q506" i="1"/>
  <c r="R506" i="1"/>
  <c r="Q494" i="1"/>
  <c r="R494" i="1"/>
  <c r="Q475" i="1"/>
  <c r="R475" i="1"/>
  <c r="Q501" i="1"/>
  <c r="R501" i="1"/>
  <c r="Q505" i="1"/>
  <c r="R505" i="1"/>
  <c r="Q526" i="1"/>
  <c r="R526" i="1"/>
  <c r="Q490" i="1"/>
  <c r="R490" i="1"/>
  <c r="Q538" i="1"/>
  <c r="R538" i="1"/>
  <c r="Q531" i="1"/>
  <c r="R531" i="1"/>
  <c r="Q536" i="1"/>
  <c r="R536" i="1"/>
  <c r="Q541" i="1"/>
  <c r="R541" i="1"/>
  <c r="Q502" i="1"/>
  <c r="R502" i="1"/>
  <c r="Q563" i="1"/>
  <c r="R563" i="1"/>
  <c r="Q487" i="1"/>
  <c r="R487" i="1"/>
  <c r="Q471" i="1"/>
  <c r="R471" i="1"/>
  <c r="Q329" i="1"/>
  <c r="R329" i="1"/>
  <c r="Q330" i="1"/>
  <c r="R330" i="1"/>
  <c r="Q252" i="1"/>
  <c r="R252" i="1"/>
  <c r="Q251" i="1"/>
  <c r="R251" i="1"/>
  <c r="Q362" i="1"/>
  <c r="R362" i="1"/>
  <c r="Q364" i="1"/>
  <c r="R364" i="1"/>
  <c r="Q361" i="1"/>
  <c r="R361" i="1"/>
  <c r="Q363" i="1"/>
  <c r="R363" i="1"/>
  <c r="Q261" i="1"/>
  <c r="R261" i="1"/>
  <c r="R260" i="1"/>
  <c r="Q403" i="1"/>
  <c r="R403" i="1"/>
  <c r="Q406" i="1"/>
  <c r="R406" i="1"/>
  <c r="Q404" i="1"/>
  <c r="S404" i="1" s="1"/>
  <c r="R404" i="1"/>
  <c r="Q405" i="1"/>
  <c r="R405" i="1"/>
  <c r="Q408" i="1"/>
  <c r="R408" i="1"/>
  <c r="Q407" i="1"/>
  <c r="R407" i="1"/>
  <c r="Q409" i="1"/>
  <c r="R409" i="1"/>
  <c r="Q410" i="1"/>
  <c r="R410" i="1"/>
  <c r="Q268" i="1"/>
  <c r="R268" i="1"/>
  <c r="Q267" i="1"/>
  <c r="R267" i="1"/>
  <c r="Q266" i="1"/>
  <c r="R266" i="1"/>
  <c r="Q264" i="1"/>
  <c r="R264" i="1"/>
  <c r="Q265" i="1"/>
  <c r="R265" i="1"/>
  <c r="Q279" i="1"/>
  <c r="R279" i="1"/>
  <c r="Q278" i="1"/>
  <c r="R278" i="1"/>
  <c r="Q272" i="1"/>
  <c r="R272" i="1"/>
  <c r="Q277" i="1"/>
  <c r="R277" i="1"/>
  <c r="Q270" i="1"/>
  <c r="R270" i="1"/>
  <c r="Q275" i="1"/>
  <c r="R275" i="1"/>
  <c r="Q276" i="1"/>
  <c r="R276" i="1"/>
  <c r="Q280" i="1"/>
  <c r="R280" i="1"/>
  <c r="Q269" i="1"/>
  <c r="R269" i="1"/>
  <c r="Q282" i="1"/>
  <c r="R282" i="1"/>
  <c r="Q271" i="1"/>
  <c r="R271" i="1"/>
  <c r="Q274" i="1"/>
  <c r="R274" i="1"/>
  <c r="Q281" i="1"/>
  <c r="R281" i="1"/>
  <c r="Q273" i="1"/>
  <c r="R273" i="1"/>
  <c r="Q289" i="1"/>
  <c r="R289" i="1"/>
  <c r="Q291" i="1"/>
  <c r="R291" i="1"/>
  <c r="Q292" i="1"/>
  <c r="R292" i="1"/>
  <c r="Q287" i="1"/>
  <c r="R287" i="1"/>
  <c r="Q293" i="1"/>
  <c r="R293" i="1"/>
  <c r="Q294" i="1"/>
  <c r="R294" i="1"/>
  <c r="Q344" i="1"/>
  <c r="R344" i="1"/>
  <c r="Q346" i="1"/>
  <c r="R346" i="1"/>
  <c r="Q343" i="1"/>
  <c r="R343" i="1"/>
  <c r="Q345" i="1"/>
  <c r="R345" i="1"/>
  <c r="Q614" i="1"/>
  <c r="R614" i="1"/>
  <c r="Q600" i="1"/>
  <c r="R600" i="1"/>
  <c r="Q605" i="1"/>
  <c r="R605" i="1"/>
  <c r="Q603" i="1"/>
  <c r="R603" i="1"/>
  <c r="Q601" i="1"/>
  <c r="R601" i="1"/>
  <c r="Q602" i="1"/>
  <c r="R602" i="1"/>
  <c r="Q612" i="1"/>
  <c r="R612" i="1"/>
  <c r="Q613" i="1"/>
  <c r="R613" i="1"/>
  <c r="Q604" i="1"/>
  <c r="R604" i="1"/>
  <c r="Q611" i="1"/>
  <c r="R611" i="1"/>
  <c r="Q608" i="1"/>
  <c r="R608" i="1"/>
  <c r="Q610" i="1"/>
  <c r="R610" i="1"/>
  <c r="Q606" i="1"/>
  <c r="R606" i="1"/>
  <c r="Q607" i="1"/>
  <c r="R607" i="1"/>
  <c r="Q609" i="1"/>
  <c r="R609" i="1"/>
  <c r="Q599" i="1"/>
  <c r="R599" i="1"/>
  <c r="Q580" i="1"/>
  <c r="R580" i="1"/>
  <c r="Q583" i="1"/>
  <c r="R583" i="1"/>
  <c r="Q578" i="1"/>
  <c r="R578" i="1"/>
  <c r="Q591" i="1"/>
  <c r="R591" i="1"/>
  <c r="Q579" i="1"/>
  <c r="Q582" i="1"/>
  <c r="R582" i="1"/>
  <c r="Q581" i="1"/>
  <c r="R581" i="1"/>
  <c r="Q588" i="1"/>
  <c r="R588" i="1"/>
  <c r="Q597" i="1"/>
  <c r="R597" i="1"/>
  <c r="Q592" i="1"/>
  <c r="R592" i="1"/>
  <c r="Q593" i="1"/>
  <c r="R593" i="1"/>
  <c r="Q589" i="1"/>
  <c r="R589" i="1"/>
  <c r="Q594" i="1"/>
  <c r="R594" i="1"/>
  <c r="Q598" i="1"/>
  <c r="R598" i="1"/>
  <c r="Q584" i="1"/>
  <c r="R584" i="1"/>
  <c r="Q302" i="1"/>
  <c r="R302" i="1"/>
  <c r="Q303" i="1"/>
  <c r="R303" i="1"/>
  <c r="Q306" i="1"/>
  <c r="R306" i="1"/>
  <c r="Q304" i="1"/>
  <c r="R304" i="1"/>
  <c r="Q301" i="1"/>
  <c r="R301" i="1"/>
  <c r="Q307" i="1"/>
  <c r="R307" i="1"/>
  <c r="Q308" i="1"/>
  <c r="R308" i="1"/>
  <c r="Q297" i="1"/>
  <c r="R297" i="1"/>
  <c r="Q300" i="1"/>
  <c r="R300" i="1"/>
  <c r="Q299" i="1"/>
  <c r="R299" i="1"/>
  <c r="Q298" i="1"/>
  <c r="R298" i="1"/>
  <c r="Q295" i="1"/>
  <c r="R295" i="1"/>
  <c r="Q296" i="1"/>
  <c r="R296" i="1"/>
  <c r="Q342" i="1"/>
  <c r="R342" i="1"/>
  <c r="Q338" i="1"/>
  <c r="R338" i="1"/>
  <c r="Q429" i="1"/>
  <c r="R429" i="1"/>
  <c r="Q447" i="1"/>
  <c r="R447" i="1"/>
  <c r="Q424" i="1"/>
  <c r="R424" i="1"/>
  <c r="Q421" i="1"/>
  <c r="R421" i="1"/>
  <c r="Q413" i="1"/>
  <c r="R413" i="1"/>
  <c r="Q414" i="1"/>
  <c r="R414" i="1"/>
  <c r="Q420" i="1"/>
  <c r="R420" i="1"/>
  <c r="Q416" i="1"/>
  <c r="R416" i="1"/>
  <c r="Q437" i="1"/>
  <c r="R437" i="1"/>
  <c r="Q434" i="1"/>
  <c r="R434" i="1"/>
  <c r="Q425" i="1"/>
  <c r="R425" i="1"/>
  <c r="Q430" i="1"/>
  <c r="R430" i="1"/>
  <c r="Q431" i="1"/>
  <c r="R431" i="1"/>
  <c r="Q440" i="1"/>
  <c r="R440" i="1"/>
  <c r="Q443" i="1"/>
  <c r="R443" i="1"/>
  <c r="Q448" i="1"/>
  <c r="R448" i="1"/>
  <c r="Q438" i="1"/>
  <c r="R438" i="1"/>
  <c r="Q436" i="1"/>
  <c r="R436" i="1"/>
  <c r="Q432" i="1"/>
  <c r="R432" i="1"/>
  <c r="Q423" i="1"/>
  <c r="R423" i="1"/>
  <c r="Q433" i="1"/>
  <c r="R433" i="1"/>
  <c r="Q446" i="1"/>
  <c r="R446" i="1"/>
  <c r="Q422" i="1"/>
  <c r="R422" i="1"/>
  <c r="Q415" i="1"/>
  <c r="R415" i="1"/>
  <c r="Q412" i="1"/>
  <c r="R412" i="1"/>
  <c r="Q435" i="1"/>
  <c r="R435" i="1"/>
  <c r="Q439" i="1"/>
  <c r="R439" i="1"/>
  <c r="Q445" i="1"/>
  <c r="R445" i="1"/>
  <c r="Q426" i="1"/>
  <c r="R426" i="1"/>
  <c r="Q418" i="1"/>
  <c r="R418" i="1"/>
  <c r="Q444" i="1"/>
  <c r="R444" i="1"/>
  <c r="Q427" i="1"/>
  <c r="R427" i="1"/>
  <c r="Q428" i="1"/>
  <c r="R428" i="1"/>
  <c r="Q442" i="1"/>
  <c r="R442" i="1"/>
  <c r="Q441" i="1"/>
  <c r="R441" i="1"/>
  <c r="Q411" i="1"/>
  <c r="R411" i="1"/>
  <c r="Q419" i="1"/>
  <c r="R419" i="1"/>
  <c r="Q417" i="1"/>
  <c r="R417" i="1"/>
  <c r="Q369" i="1"/>
  <c r="R369" i="1"/>
  <c r="Q371" i="1"/>
  <c r="R371" i="1"/>
  <c r="Q368" i="1"/>
  <c r="R368" i="1"/>
  <c r="Q367" i="1"/>
  <c r="R367" i="1"/>
  <c r="Q366" i="1"/>
  <c r="R366" i="1"/>
  <c r="Q370" i="1"/>
  <c r="R370" i="1"/>
  <c r="Q365" i="1"/>
  <c r="R365" i="1"/>
  <c r="Q373" i="1"/>
  <c r="R373" i="1"/>
  <c r="Q372" i="1"/>
  <c r="R372" i="1"/>
  <c r="Q615" i="1"/>
  <c r="R615" i="1"/>
  <c r="Q309" i="1"/>
  <c r="R309" i="1"/>
  <c r="Q310" i="1"/>
  <c r="R310" i="1"/>
  <c r="Q349" i="1"/>
  <c r="R349" i="1"/>
  <c r="Q350" i="1"/>
  <c r="R350" i="1"/>
  <c r="Q352" i="1"/>
  <c r="R352" i="1"/>
  <c r="Q347" i="1"/>
  <c r="R347" i="1"/>
  <c r="Q351" i="1"/>
  <c r="R351" i="1"/>
  <c r="Q617" i="1"/>
  <c r="R617" i="1"/>
  <c r="Q357" i="1"/>
  <c r="R357" i="1"/>
  <c r="Q356" i="1"/>
  <c r="R356" i="1"/>
  <c r="Q355" i="1"/>
  <c r="R355" i="1"/>
  <c r="Q358" i="1"/>
  <c r="R358" i="1"/>
  <c r="Q383" i="1"/>
  <c r="R383" i="1"/>
  <c r="Q391" i="1"/>
  <c r="R391" i="1"/>
  <c r="Q387" i="1"/>
  <c r="R387" i="1"/>
  <c r="Q401" i="1"/>
  <c r="R401" i="1"/>
  <c r="Q394" i="1"/>
  <c r="R394" i="1"/>
  <c r="Q390" i="1"/>
  <c r="R390" i="1"/>
  <c r="Q381" i="1"/>
  <c r="R381" i="1"/>
  <c r="Q397" i="1"/>
  <c r="R397" i="1"/>
  <c r="Q385" i="1"/>
  <c r="R385" i="1"/>
  <c r="Q399" i="1"/>
  <c r="R399" i="1"/>
  <c r="Q400" i="1"/>
  <c r="R400" i="1"/>
  <c r="Q398" i="1"/>
  <c r="R398" i="1"/>
  <c r="Q380" i="1"/>
  <c r="R380" i="1"/>
  <c r="Q388" i="1"/>
  <c r="R388" i="1"/>
  <c r="Q378" i="1"/>
  <c r="R378" i="1"/>
  <c r="Q377" i="1"/>
  <c r="R377" i="1"/>
  <c r="Q386" i="1"/>
  <c r="R386" i="1"/>
  <c r="Q384" i="1"/>
  <c r="R384" i="1"/>
  <c r="Q396" i="1"/>
  <c r="R396" i="1"/>
  <c r="Q389" i="1"/>
  <c r="R389" i="1"/>
  <c r="Q392" i="1"/>
  <c r="R392" i="1"/>
  <c r="Q374" i="1"/>
  <c r="R374" i="1"/>
  <c r="Q393" i="1"/>
  <c r="R393" i="1"/>
  <c r="Q376" i="1"/>
  <c r="R376" i="1"/>
  <c r="Q375" i="1"/>
  <c r="R375" i="1"/>
  <c r="Q402" i="1"/>
  <c r="R402" i="1"/>
  <c r="Q328" i="1"/>
  <c r="R328" i="1"/>
  <c r="Q327" i="1"/>
  <c r="R327" i="1"/>
  <c r="Q326" i="1"/>
  <c r="R326" i="1"/>
  <c r="Q325" i="1"/>
  <c r="R325" i="1"/>
  <c r="Q359" i="1"/>
  <c r="R359" i="1"/>
  <c r="Q360" i="1"/>
  <c r="R360" i="1"/>
  <c r="Q631" i="1"/>
  <c r="R631" i="1"/>
  <c r="Q630" i="1"/>
  <c r="R630" i="1"/>
  <c r="R629" i="1"/>
  <c r="Q629" i="1"/>
  <c r="Q648" i="1"/>
  <c r="R648" i="1"/>
  <c r="Q647" i="1"/>
  <c r="R647" i="1"/>
  <c r="Q646" i="1"/>
  <c r="R646" i="1"/>
  <c r="Q645" i="1"/>
  <c r="R645" i="1"/>
  <c r="Q644" i="1"/>
  <c r="R644" i="1"/>
  <c r="Q643" i="1"/>
  <c r="R643" i="1"/>
  <c r="Q642" i="1"/>
  <c r="R642" i="1"/>
  <c r="Q641" i="1"/>
  <c r="R641" i="1"/>
  <c r="Q638" i="1"/>
  <c r="R638" i="1"/>
  <c r="Q637" i="1"/>
  <c r="R637" i="1"/>
  <c r="Q636" i="1"/>
  <c r="R636" i="1"/>
  <c r="Q635" i="1"/>
  <c r="R635" i="1"/>
  <c r="Q634" i="1"/>
  <c r="R634" i="1"/>
  <c r="Q633" i="1"/>
  <c r="R633" i="1"/>
  <c r="Q628" i="1"/>
  <c r="R628" i="1"/>
  <c r="Q627" i="1"/>
  <c r="R627" i="1"/>
  <c r="Q632" i="1"/>
  <c r="R632" i="1"/>
  <c r="W648" i="1"/>
  <c r="M27" i="2"/>
  <c r="M29" i="2" s="1"/>
  <c r="L27" i="2"/>
  <c r="C5" i="2"/>
  <c r="C34" i="2" s="1"/>
  <c r="C36" i="2" s="1"/>
  <c r="C38" i="2" s="1"/>
  <c r="AA3" i="1" s="1"/>
  <c r="F5" i="2"/>
  <c r="F34" i="2" s="1"/>
  <c r="F36" i="2" s="1"/>
  <c r="F38" i="2" s="1"/>
  <c r="AA6" i="1" s="1"/>
  <c r="E5" i="2"/>
  <c r="E34" i="2" s="1"/>
  <c r="E36" i="2" s="1"/>
  <c r="M5" i="2"/>
  <c r="M34" i="2" s="1"/>
  <c r="M36" i="2" s="1"/>
  <c r="L5" i="2"/>
  <c r="L34" i="2" s="1"/>
  <c r="L36" i="2" s="1"/>
  <c r="F27" i="2"/>
  <c r="F29" i="2" s="1"/>
  <c r="W137" i="1"/>
  <c r="W138" i="1"/>
  <c r="E6" i="2"/>
  <c r="E41" i="2" s="1"/>
  <c r="E43" i="2" s="1"/>
  <c r="E45" i="2" s="1"/>
  <c r="AB5" i="1" s="1"/>
  <c r="D27" i="2"/>
  <c r="F44" i="2"/>
  <c r="F30" i="2"/>
  <c r="E37" i="2"/>
  <c r="D30" i="2"/>
  <c r="D37" i="2"/>
  <c r="D38" i="2" s="1"/>
  <c r="AA4" i="1" s="1"/>
  <c r="E29" i="2"/>
  <c r="E31" i="2" s="1"/>
  <c r="O5" i="1" s="1"/>
  <c r="S646" i="1" s="1"/>
  <c r="G5" i="2"/>
  <c r="G34" i="2" s="1"/>
  <c r="G36" i="2" s="1"/>
  <c r="G6" i="2"/>
  <c r="G41" i="2" s="1"/>
  <c r="G43" i="2" s="1"/>
  <c r="M30" i="2"/>
  <c r="M44" i="2"/>
  <c r="K44" i="2"/>
  <c r="N6" i="2"/>
  <c r="N41" i="2" s="1"/>
  <c r="N43" i="2" s="1"/>
  <c r="N27" i="2"/>
  <c r="N29" i="2" s="1"/>
  <c r="N31" i="2" s="1"/>
  <c r="AD6" i="1" s="1"/>
  <c r="O3" i="1"/>
  <c r="L44" i="2"/>
  <c r="L30" i="2"/>
  <c r="K30" i="2"/>
  <c r="K37" i="2"/>
  <c r="S448" i="1"/>
  <c r="S643" i="1"/>
  <c r="S446" i="1"/>
  <c r="S425" i="1"/>
  <c r="S636" i="1"/>
  <c r="S300" i="1"/>
  <c r="S576" i="1"/>
  <c r="S426" i="1"/>
  <c r="S413" i="1"/>
  <c r="S310" i="1"/>
  <c r="S642" i="1"/>
  <c r="S422" i="1"/>
  <c r="S436" i="1"/>
  <c r="S250" i="1"/>
  <c r="S635" i="1"/>
  <c r="S405" i="1"/>
  <c r="S552" i="1"/>
  <c r="S412" i="1"/>
  <c r="S439" i="1"/>
  <c r="S484" i="1"/>
  <c r="S314" i="1"/>
  <c r="S544" i="1"/>
  <c r="S431" i="1"/>
  <c r="S299" i="1"/>
  <c r="S516" i="1"/>
  <c r="S437" i="1"/>
  <c r="S648" i="1"/>
  <c r="S470" i="1"/>
  <c r="S429" i="1"/>
  <c r="S519" i="1"/>
  <c r="S634" i="1"/>
  <c r="S540" i="1"/>
  <c r="S255" i="1"/>
  <c r="S249" i="1"/>
  <c r="S445" i="1"/>
  <c r="S406" i="1"/>
  <c r="S527" i="1"/>
  <c r="S435" i="1"/>
  <c r="S418" i="1"/>
  <c r="S524" i="1"/>
  <c r="S407" i="1"/>
  <c r="S493" i="1"/>
  <c r="S311" i="1"/>
  <c r="S497" i="1"/>
  <c r="S410" i="1"/>
  <c r="S523" i="1"/>
  <c r="S317" i="1"/>
  <c r="S315" i="1"/>
  <c r="S120" i="1" l="1"/>
  <c r="O38" i="2"/>
  <c r="AE7" i="1" s="1"/>
  <c r="AC379" i="1" s="1"/>
  <c r="H371" i="4" s="1"/>
  <c r="S66" i="1"/>
  <c r="L29" i="2"/>
  <c r="L31" i="2" s="1"/>
  <c r="AD4" i="1" s="1"/>
  <c r="S137" i="1"/>
  <c r="S639" i="1"/>
  <c r="S575" i="1"/>
  <c r="S409" i="1"/>
  <c r="S641" i="1"/>
  <c r="S440" i="1"/>
  <c r="S423" i="1"/>
  <c r="S414" i="1"/>
  <c r="S298" i="1"/>
  <c r="S256" i="1"/>
  <c r="S420" i="1"/>
  <c r="S442" i="1"/>
  <c r="S449" i="1"/>
  <c r="S560" i="1"/>
  <c r="S488" i="1"/>
  <c r="S403" i="1"/>
  <c r="S254" i="1"/>
  <c r="S568" i="1"/>
  <c r="S419" i="1"/>
  <c r="S532" i="1"/>
  <c r="S564" i="1"/>
  <c r="S473" i="1"/>
  <c r="S434" i="1"/>
  <c r="S444" i="1"/>
  <c r="S443" i="1"/>
  <c r="S549" i="1"/>
  <c r="S52" i="1"/>
  <c r="S71" i="1"/>
  <c r="S441" i="1"/>
  <c r="S645" i="1"/>
  <c r="S640" i="1"/>
  <c r="S295" i="1"/>
  <c r="S316" i="1"/>
  <c r="S550" i="1"/>
  <c r="S474" i="1"/>
  <c r="S510" i="1"/>
  <c r="S408" i="1"/>
  <c r="S253" i="1"/>
  <c r="S618" i="1"/>
  <c r="S539" i="1"/>
  <c r="S432" i="1"/>
  <c r="S447" i="1"/>
  <c r="S257" i="1"/>
  <c r="S530" i="1"/>
  <c r="S259" i="1"/>
  <c r="S567" i="1"/>
  <c r="S430" i="1"/>
  <c r="S411" i="1"/>
  <c r="S644" i="1"/>
  <c r="S416" i="1"/>
  <c r="S438" i="1"/>
  <c r="S424" i="1"/>
  <c r="S312" i="1"/>
  <c r="D29" i="2"/>
  <c r="S143" i="1"/>
  <c r="S124" i="1"/>
  <c r="S220" i="1"/>
  <c r="S243" i="1"/>
  <c r="S133" i="1"/>
  <c r="S238" i="1"/>
  <c r="S246" i="1"/>
  <c r="S229" i="1"/>
  <c r="S73" i="1"/>
  <c r="S171" i="1"/>
  <c r="S117" i="1"/>
  <c r="S105" i="1"/>
  <c r="S190" i="1"/>
  <c r="S22" i="1"/>
  <c r="S147" i="1"/>
  <c r="G38" i="2"/>
  <c r="AA7" i="1" s="1"/>
  <c r="AC502" i="1" s="1"/>
  <c r="H494" i="4" s="1"/>
  <c r="M43" i="2"/>
  <c r="K43" i="2"/>
  <c r="K45" i="2" s="1"/>
  <c r="AF3" i="1" s="1"/>
  <c r="N45" i="2"/>
  <c r="AF6" i="1" s="1"/>
  <c r="AC584" i="1"/>
  <c r="H576" i="4" s="1"/>
  <c r="AC457" i="1"/>
  <c r="H449" i="4" s="1"/>
  <c r="AC462" i="1"/>
  <c r="H454" i="4" s="1"/>
  <c r="N38" i="2"/>
  <c r="AE6" i="1" s="1"/>
  <c r="AB372" i="1" s="1"/>
  <c r="G364" i="4" s="1"/>
  <c r="M31" i="2"/>
  <c r="L45" i="2"/>
  <c r="AF4" i="1" s="1"/>
  <c r="K38" i="2"/>
  <c r="AE3" i="1" s="1"/>
  <c r="Y275" i="1" s="1"/>
  <c r="D266" i="4" s="1"/>
  <c r="K29" i="2"/>
  <c r="K31" i="2" s="1"/>
  <c r="AD3" i="1" s="1"/>
  <c r="Y423" i="1" s="1"/>
  <c r="D415" i="4" s="1"/>
  <c r="S486" i="1"/>
  <c r="S427" i="1"/>
  <c r="S428" i="1"/>
  <c r="S294" i="1"/>
  <c r="S433" i="1"/>
  <c r="S415" i="1"/>
  <c r="S572" i="1"/>
  <c r="S515" i="1"/>
  <c r="Z5" i="1"/>
  <c r="S421" i="1"/>
  <c r="S297" i="1"/>
  <c r="S647" i="1"/>
  <c r="S417" i="1"/>
  <c r="E38" i="2"/>
  <c r="AA5" i="1" s="1"/>
  <c r="S313" i="1"/>
  <c r="C31" i="2"/>
  <c r="Z3" i="1" s="1"/>
  <c r="F43" i="2"/>
  <c r="AC463" i="1"/>
  <c r="H455" i="4" s="1"/>
  <c r="AC481" i="1"/>
  <c r="H473" i="4" s="1"/>
  <c r="AC589" i="1"/>
  <c r="H581" i="4" s="1"/>
  <c r="AC326" i="1"/>
  <c r="H317" i="4" s="1"/>
  <c r="AC392" i="1"/>
  <c r="H384" i="4" s="1"/>
  <c r="AC343" i="1"/>
  <c r="H334" i="4" s="1"/>
  <c r="AC272" i="1"/>
  <c r="H263" i="4" s="1"/>
  <c r="AC511" i="1"/>
  <c r="H503" i="4" s="1"/>
  <c r="AC349" i="1"/>
  <c r="H340" i="4" s="1"/>
  <c r="AC509" i="1"/>
  <c r="H501" i="4" s="1"/>
  <c r="AC490" i="1"/>
  <c r="H482" i="4" s="1"/>
  <c r="AC541" i="1"/>
  <c r="H533" i="4" s="1"/>
  <c r="AC351" i="1"/>
  <c r="H342" i="4" s="1"/>
  <c r="AC588" i="1"/>
  <c r="H580" i="4" s="1"/>
  <c r="AC469" i="1"/>
  <c r="H461" i="4" s="1"/>
  <c r="AC601" i="1"/>
  <c r="H593" i="4" s="1"/>
  <c r="AC535" i="1"/>
  <c r="H527" i="4" s="1"/>
  <c r="AC574" i="1"/>
  <c r="H566" i="4" s="1"/>
  <c r="AC386" i="1"/>
  <c r="H378" i="4" s="1"/>
  <c r="AC608" i="1"/>
  <c r="H600" i="4" s="1"/>
  <c r="AC498" i="1"/>
  <c r="H490" i="4" s="1"/>
  <c r="AC372" i="1"/>
  <c r="H364" i="4" s="1"/>
  <c r="AC383" i="1"/>
  <c r="H375" i="4" s="1"/>
  <c r="AC638" i="1"/>
  <c r="AC327" i="1"/>
  <c r="H318" i="4" s="1"/>
  <c r="AC389" i="1"/>
  <c r="H381" i="4" s="1"/>
  <c r="AC358" i="1"/>
  <c r="H350" i="4" s="1"/>
  <c r="AC350" i="1"/>
  <c r="H341" i="4" s="1"/>
  <c r="AC367" i="1"/>
  <c r="H359" i="4" s="1"/>
  <c r="AC456" i="1"/>
  <c r="H448" i="4" s="1"/>
  <c r="AC587" i="1"/>
  <c r="H579" i="4" s="1"/>
  <c r="AC286" i="1"/>
  <c r="H277" i="4" s="1"/>
  <c r="AB479" i="1"/>
  <c r="G471" i="4" s="1"/>
  <c r="AB340" i="1"/>
  <c r="G331" i="4" s="1"/>
  <c r="AB595" i="1"/>
  <c r="G587" i="4" s="1"/>
  <c r="AB367" i="1"/>
  <c r="G359" i="4" s="1"/>
  <c r="S85" i="1"/>
  <c r="S80" i="1"/>
  <c r="S236" i="1"/>
  <c r="S68" i="1"/>
  <c r="S184" i="1"/>
  <c r="S241" i="1"/>
  <c r="S151" i="1"/>
  <c r="S111" i="1"/>
  <c r="S131" i="1"/>
  <c r="S224" i="1"/>
  <c r="S50" i="1"/>
  <c r="S159" i="1"/>
  <c r="S46" i="1"/>
  <c r="S16" i="1"/>
  <c r="S100" i="1"/>
  <c r="S223" i="1"/>
  <c r="S102" i="1"/>
  <c r="S18" i="1"/>
  <c r="S180" i="1"/>
  <c r="S67" i="1"/>
  <c r="S204" i="1"/>
  <c r="S212" i="1"/>
  <c r="S172" i="1"/>
  <c r="S145" i="1"/>
  <c r="S25" i="1"/>
  <c r="S157" i="1"/>
  <c r="S185" i="1"/>
  <c r="S182" i="1"/>
  <c r="S112" i="1"/>
  <c r="S136" i="1"/>
  <c r="S158" i="1"/>
  <c r="S129" i="1"/>
  <c r="S54" i="1"/>
  <c r="S70" i="1"/>
  <c r="S183" i="1"/>
  <c r="S203" i="1"/>
  <c r="S107" i="1"/>
  <c r="S98" i="1"/>
  <c r="S47" i="1"/>
  <c r="S210" i="1"/>
  <c r="S233" i="1"/>
  <c r="S93" i="1"/>
  <c r="S104" i="1"/>
  <c r="S64" i="1"/>
  <c r="S13" i="1"/>
  <c r="S239" i="1"/>
  <c r="S27" i="1"/>
  <c r="S211" i="1"/>
  <c r="S12" i="1"/>
  <c r="S41" i="1"/>
  <c r="S213" i="1"/>
  <c r="S247" i="1"/>
  <c r="S55" i="1"/>
  <c r="S109" i="1"/>
  <c r="S149" i="1"/>
  <c r="S69" i="1"/>
  <c r="S38" i="1"/>
  <c r="S86" i="1"/>
  <c r="S91" i="1"/>
  <c r="S234" i="1"/>
  <c r="S228" i="1"/>
  <c r="S245" i="1"/>
  <c r="S32" i="1"/>
  <c r="S209" i="1"/>
  <c r="S101" i="1"/>
  <c r="S189" i="1"/>
  <c r="S40" i="1"/>
  <c r="S174" i="1"/>
  <c r="S142" i="1"/>
  <c r="S195" i="1"/>
  <c r="S48" i="1"/>
  <c r="S14" i="1"/>
  <c r="S26" i="1"/>
  <c r="S144" i="1"/>
  <c r="S139" i="1"/>
  <c r="S77" i="1"/>
  <c r="S108" i="1"/>
  <c r="S83" i="1"/>
  <c r="S115" i="1"/>
  <c r="S130" i="1"/>
  <c r="S178" i="1"/>
  <c r="S82" i="1"/>
  <c r="S206" i="1"/>
  <c r="S218" i="1"/>
  <c r="S90" i="1"/>
  <c r="S94" i="1"/>
  <c r="S148" i="1"/>
  <c r="S154" i="1"/>
  <c r="S99" i="1"/>
  <c r="S17" i="1"/>
  <c r="S196" i="1"/>
  <c r="S177" i="1"/>
  <c r="S123" i="1"/>
  <c r="S60" i="1"/>
  <c r="S188" i="1"/>
  <c r="S163" i="1"/>
  <c r="S192" i="1"/>
  <c r="S57" i="1"/>
  <c r="S37" i="1"/>
  <c r="S56" i="1"/>
  <c r="S205" i="1"/>
  <c r="S199" i="1"/>
  <c r="S240" i="1"/>
  <c r="S72" i="1"/>
  <c r="S226" i="1"/>
  <c r="S114" i="1"/>
  <c r="S59" i="1"/>
  <c r="S126" i="1"/>
  <c r="S248" i="1"/>
  <c r="S216" i="1"/>
  <c r="S44" i="1"/>
  <c r="S76" i="1"/>
  <c r="S169" i="1"/>
  <c r="S81" i="1"/>
  <c r="S150" i="1"/>
  <c r="S65" i="1"/>
  <c r="S49" i="1"/>
  <c r="S168" i="1"/>
  <c r="S110" i="1"/>
  <c r="S162" i="1"/>
  <c r="S39" i="1"/>
  <c r="S23" i="1"/>
  <c r="S36" i="1"/>
  <c r="S237" i="1"/>
  <c r="S51" i="1"/>
  <c r="S11" i="1"/>
  <c r="S140" i="1"/>
  <c r="S160" i="1"/>
  <c r="S95" i="1"/>
  <c r="S179" i="1"/>
  <c r="S152" i="1"/>
  <c r="S42" i="1"/>
  <c r="S45" i="1"/>
  <c r="S132" i="1"/>
  <c r="S113" i="1"/>
  <c r="S214" i="1"/>
  <c r="S24" i="1"/>
  <c r="S225" i="1"/>
  <c r="S187" i="1"/>
  <c r="S125" i="1"/>
  <c r="S61" i="1"/>
  <c r="S198" i="1"/>
  <c r="S92" i="1"/>
  <c r="S89" i="1"/>
  <c r="S79" i="1"/>
  <c r="S164" i="1"/>
  <c r="S235" i="1"/>
  <c r="S20" i="1"/>
  <c r="S35" i="1"/>
  <c r="S141" i="1"/>
  <c r="S232" i="1"/>
  <c r="S202" i="1"/>
  <c r="S106" i="1"/>
  <c r="S217" i="1"/>
  <c r="S194" i="1"/>
  <c r="S78" i="1"/>
  <c r="S167" i="1"/>
  <c r="S166" i="1"/>
  <c r="S207" i="1"/>
  <c r="S97" i="1"/>
  <c r="S181" i="1"/>
  <c r="S74" i="1"/>
  <c r="S103" i="1"/>
  <c r="S186" i="1"/>
  <c r="S173" i="1"/>
  <c r="S135" i="1"/>
  <c r="S208" i="1"/>
  <c r="S63" i="1"/>
  <c r="S200" i="1"/>
  <c r="S165" i="1"/>
  <c r="S193" i="1"/>
  <c r="S62" i="1"/>
  <c r="S75" i="1"/>
  <c r="S28" i="1"/>
  <c r="S19" i="1"/>
  <c r="S30" i="1"/>
  <c r="S134" i="1"/>
  <c r="S116" i="1"/>
  <c r="S161" i="1"/>
  <c r="S242" i="1"/>
  <c r="S128" i="1"/>
  <c r="S96" i="1"/>
  <c r="S119" i="1"/>
  <c r="S118" i="1"/>
  <c r="S146" i="1"/>
  <c r="S219" i="1"/>
  <c r="S87" i="1"/>
  <c r="S222" i="1"/>
  <c r="S15" i="1"/>
  <c r="S227" i="1"/>
  <c r="S201" i="1"/>
  <c r="S121" i="1"/>
  <c r="S156" i="1"/>
  <c r="S21" i="1"/>
  <c r="S153" i="1"/>
  <c r="S175" i="1"/>
  <c r="S88" i="1"/>
  <c r="D31" i="2"/>
  <c r="Z4" i="1" s="1"/>
  <c r="Y508" i="1"/>
  <c r="D500" i="4" s="1"/>
  <c r="Y367" i="1"/>
  <c r="D359" i="4" s="1"/>
  <c r="S197" i="1"/>
  <c r="S231" i="1"/>
  <c r="S34" i="1"/>
  <c r="S170" i="1"/>
  <c r="S31" i="1"/>
  <c r="S221" i="1"/>
  <c r="S58" i="1"/>
  <c r="S53" i="1"/>
  <c r="S176" i="1"/>
  <c r="S33" i="1"/>
  <c r="Y337" i="1"/>
  <c r="D328" i="4" s="1"/>
  <c r="S230" i="1"/>
  <c r="S29" i="1"/>
  <c r="S191" i="1"/>
  <c r="S84" i="1"/>
  <c r="S43" i="1"/>
  <c r="S122" i="1"/>
  <c r="S138" i="1"/>
  <c r="S244" i="1"/>
  <c r="S215" i="1"/>
  <c r="S155" i="1"/>
  <c r="F45" i="2"/>
  <c r="AB6" i="1" s="1"/>
  <c r="D43" i="2"/>
  <c r="D45" i="2" s="1"/>
  <c r="AB4" i="1" s="1"/>
  <c r="Z51" i="1" s="1"/>
  <c r="E42" i="4" s="1"/>
  <c r="C44" i="2"/>
  <c r="O29" i="2"/>
  <c r="O31" i="2" s="1"/>
  <c r="AD7" i="1" s="1"/>
  <c r="M37" i="2"/>
  <c r="M38" i="2" s="1"/>
  <c r="P4" i="1" s="1"/>
  <c r="G44" i="2"/>
  <c r="G45" i="2" s="1"/>
  <c r="AB7" i="1" s="1"/>
  <c r="G29" i="2"/>
  <c r="G31" i="2" s="1"/>
  <c r="Z7" i="1" s="1"/>
  <c r="M45" i="2"/>
  <c r="C43" i="2"/>
  <c r="C45" i="2" s="1"/>
  <c r="AB3" i="1" s="1"/>
  <c r="L37" i="2"/>
  <c r="L38" i="2" s="1"/>
  <c r="AE4" i="1" s="1"/>
  <c r="Z487" i="1" s="1"/>
  <c r="E479" i="4" s="1"/>
  <c r="AC342" i="1"/>
  <c r="H333" i="4" s="1"/>
  <c r="S258" i="1"/>
  <c r="Z156" i="1"/>
  <c r="E147" i="4" s="1"/>
  <c r="Z25" i="1"/>
  <c r="E16" i="4" s="1"/>
  <c r="Z129" i="1"/>
  <c r="E120" i="4" s="1"/>
  <c r="Z245" i="1"/>
  <c r="E236" i="4" s="1"/>
  <c r="Z210" i="1"/>
  <c r="E201" i="4" s="1"/>
  <c r="Z56" i="1"/>
  <c r="E47" i="4" s="1"/>
  <c r="Z102" i="1"/>
  <c r="E93" i="4" s="1"/>
  <c r="O4" i="1"/>
  <c r="AB350" i="1"/>
  <c r="G341" i="4" s="1"/>
  <c r="Y323" i="1"/>
  <c r="D314" i="4" s="1"/>
  <c r="Z290" i="1"/>
  <c r="E281" i="4" s="1"/>
  <c r="Z399" i="1"/>
  <c r="E391" i="4" s="1"/>
  <c r="Z343" i="1"/>
  <c r="E334" i="4" s="1"/>
  <c r="Z401" i="1"/>
  <c r="E393" i="4" s="1"/>
  <c r="Z390" i="1"/>
  <c r="E382" i="4" s="1"/>
  <c r="Z288" i="1"/>
  <c r="E279" i="4" s="1"/>
  <c r="Z630" i="1"/>
  <c r="AC555" i="1"/>
  <c r="H547" i="4" s="1"/>
  <c r="AC329" i="1"/>
  <c r="H320" i="4" s="1"/>
  <c r="AC597" i="1"/>
  <c r="H589" i="4" s="1"/>
  <c r="AC378" i="1"/>
  <c r="H370" i="4" s="1"/>
  <c r="S483" i="1"/>
  <c r="S551" i="1"/>
  <c r="S450" i="1"/>
  <c r="S296" i="1"/>
  <c r="S533" i="1"/>
  <c r="AB396" i="1"/>
  <c r="G388" i="4" s="1"/>
  <c r="AC464" i="1"/>
  <c r="H456" i="4" s="1"/>
  <c r="O43" i="2"/>
  <c r="O45" i="2" s="1"/>
  <c r="AF7" i="1" s="1"/>
  <c r="F31" i="2"/>
  <c r="Z6" i="1" s="1"/>
  <c r="Z457" i="1"/>
  <c r="E449" i="4" s="1"/>
  <c r="Z386" i="1"/>
  <c r="E378" i="4" s="1"/>
  <c r="AB147" i="1" l="1"/>
  <c r="G138" i="4" s="1"/>
  <c r="AC593" i="1"/>
  <c r="H585" i="4" s="1"/>
  <c r="AC579" i="1"/>
  <c r="H571" i="4" s="1"/>
  <c r="AC397" i="1"/>
  <c r="H389" i="4" s="1"/>
  <c r="AC352" i="1"/>
  <c r="H343" i="4" s="1"/>
  <c r="AC335" i="1"/>
  <c r="H326" i="4" s="1"/>
  <c r="AC565" i="1"/>
  <c r="H557" i="4" s="1"/>
  <c r="AC571" i="1"/>
  <c r="H563" i="4" s="1"/>
  <c r="AC305" i="1"/>
  <c r="H296" i="4" s="1"/>
  <c r="AC400" i="1"/>
  <c r="H392" i="4" s="1"/>
  <c r="AC467" i="1"/>
  <c r="H459" i="4" s="1"/>
  <c r="AB400" i="1"/>
  <c r="G392" i="4" s="1"/>
  <c r="AB471" i="1"/>
  <c r="G463" i="4" s="1"/>
  <c r="AB580" i="1"/>
  <c r="G572" i="4" s="1"/>
  <c r="AB585" i="1"/>
  <c r="G577" i="4" s="1"/>
  <c r="AB371" i="1"/>
  <c r="G363" i="4" s="1"/>
  <c r="AB303" i="1"/>
  <c r="G294" i="4" s="1"/>
  <c r="AB342" i="1"/>
  <c r="G333" i="4" s="1"/>
  <c r="AB506" i="1"/>
  <c r="G498" i="4" s="1"/>
  <c r="AB381" i="1"/>
  <c r="G373" i="4" s="1"/>
  <c r="AB398" i="1"/>
  <c r="G390" i="4" s="1"/>
  <c r="AB377" i="1"/>
  <c r="G369" i="4" s="1"/>
  <c r="AB318" i="1"/>
  <c r="G309" i="4" s="1"/>
  <c r="AB630" i="1"/>
  <c r="AB304" i="1"/>
  <c r="G295" i="4" s="1"/>
  <c r="AB284" i="1"/>
  <c r="G275" i="4" s="1"/>
  <c r="AB401" i="1"/>
  <c r="G393" i="4" s="1"/>
  <c r="AB608" i="1"/>
  <c r="G600" i="4" s="1"/>
  <c r="AB320" i="1"/>
  <c r="G311" i="4" s="1"/>
  <c r="AE5" i="1"/>
  <c r="Z336" i="1"/>
  <c r="E327" i="4" s="1"/>
  <c r="Y384" i="1"/>
  <c r="D376" i="4" s="1"/>
  <c r="Y542" i="1"/>
  <c r="D534" i="4" s="1"/>
  <c r="Y588" i="1"/>
  <c r="D580" i="4" s="1"/>
  <c r="Y261" i="1"/>
  <c r="D252" i="4" s="1"/>
  <c r="AB273" i="1"/>
  <c r="G264" i="4" s="1"/>
  <c r="AB637" i="1"/>
  <c r="AB355" i="1"/>
  <c r="G347" i="4" s="1"/>
  <c r="AB547" i="1"/>
  <c r="G539" i="4" s="1"/>
  <c r="AB328" i="1"/>
  <c r="G319" i="4" s="1"/>
  <c r="AB477" i="1"/>
  <c r="G469" i="4" s="1"/>
  <c r="AB351" i="1"/>
  <c r="G342" i="4" s="1"/>
  <c r="AB275" i="1"/>
  <c r="G266" i="4" s="1"/>
  <c r="AB347" i="1"/>
  <c r="G338" i="4" s="1"/>
  <c r="AB277" i="1"/>
  <c r="G268" i="4" s="1"/>
  <c r="AB607" i="1"/>
  <c r="G599" i="4" s="1"/>
  <c r="AB480" i="1"/>
  <c r="G472" i="4" s="1"/>
  <c r="AB520" i="1"/>
  <c r="G512" i="4" s="1"/>
  <c r="AB362" i="1"/>
  <c r="G354" i="4" s="1"/>
  <c r="AB531" i="1"/>
  <c r="G523" i="4" s="1"/>
  <c r="AB500" i="1"/>
  <c r="G492" i="4" s="1"/>
  <c r="AB352" i="1"/>
  <c r="G343" i="4" s="1"/>
  <c r="AB627" i="1"/>
  <c r="AB561" i="1"/>
  <c r="G553" i="4" s="1"/>
  <c r="AB286" i="1"/>
  <c r="G277" i="4" s="1"/>
  <c r="AB456" i="1"/>
  <c r="G448" i="4" s="1"/>
  <c r="AB588" i="1"/>
  <c r="G580" i="4" s="1"/>
  <c r="AB338" i="1"/>
  <c r="G329" i="4" s="1"/>
  <c r="AB262" i="1"/>
  <c r="G253" i="4" s="1"/>
  <c r="AB605" i="1"/>
  <c r="G597" i="4" s="1"/>
  <c r="AB476" i="1"/>
  <c r="G468" i="4" s="1"/>
  <c r="Z260" i="1"/>
  <c r="E251" i="4" s="1"/>
  <c r="Y328" i="1"/>
  <c r="D319" i="4" s="1"/>
  <c r="Y349" i="1"/>
  <c r="D340" i="4" s="1"/>
  <c r="Y399" i="1"/>
  <c r="D391" i="4" s="1"/>
  <c r="Y638" i="1"/>
  <c r="Y472" i="1"/>
  <c r="D464" i="4" s="1"/>
  <c r="Y386" i="1"/>
  <c r="D378" i="4" s="1"/>
  <c r="Y336" i="1"/>
  <c r="D327" i="4" s="1"/>
  <c r="Z370" i="1"/>
  <c r="E362" i="4" s="1"/>
  <c r="Z262" i="1"/>
  <c r="E253" i="4" s="1"/>
  <c r="Z526" i="1"/>
  <c r="E518" i="4" s="1"/>
  <c r="Z340" i="1"/>
  <c r="E331" i="4" s="1"/>
  <c r="Z454" i="1"/>
  <c r="E446" i="4" s="1"/>
  <c r="Z492" i="1"/>
  <c r="E484" i="4" s="1"/>
  <c r="Z293" i="1"/>
  <c r="E284" i="4" s="1"/>
  <c r="Z467" i="1"/>
  <c r="E459" i="4" s="1"/>
  <c r="Z287" i="1"/>
  <c r="E278" i="4" s="1"/>
  <c r="Z355" i="1"/>
  <c r="E347" i="4" s="1"/>
  <c r="Z279" i="1"/>
  <c r="E270" i="4" s="1"/>
  <c r="Z595" i="1"/>
  <c r="E587" i="4" s="1"/>
  <c r="Z562" i="1"/>
  <c r="E554" i="4" s="1"/>
  <c r="Z584" i="1"/>
  <c r="E576" i="4" s="1"/>
  <c r="Z628" i="1"/>
  <c r="Z594" i="1"/>
  <c r="E586" i="4" s="1"/>
  <c r="Z610" i="1"/>
  <c r="E602" i="4" s="1"/>
  <c r="Z328" i="1"/>
  <c r="E319" i="4" s="1"/>
  <c r="Z349" i="1"/>
  <c r="E340" i="4" s="1"/>
  <c r="Z580" i="1"/>
  <c r="E572" i="4" s="1"/>
  <c r="Z559" i="1"/>
  <c r="E551" i="4" s="1"/>
  <c r="Z638" i="1"/>
  <c r="Z301" i="1"/>
  <c r="E292" i="4" s="1"/>
  <c r="Z553" i="1"/>
  <c r="E545" i="4" s="1"/>
  <c r="Z529" i="1"/>
  <c r="E521" i="4" s="1"/>
  <c r="Z499" i="1"/>
  <c r="E491" i="4" s="1"/>
  <c r="Z528" i="1"/>
  <c r="E520" i="4" s="1"/>
  <c r="Z573" i="1"/>
  <c r="E565" i="4" s="1"/>
  <c r="Z485" i="1"/>
  <c r="E477" i="4" s="1"/>
  <c r="Z366" i="1"/>
  <c r="E358" i="4" s="1"/>
  <c r="Z353" i="1"/>
  <c r="E344" i="4" s="1"/>
  <c r="Z521" i="1"/>
  <c r="E513" i="4" s="1"/>
  <c r="Z274" i="1"/>
  <c r="E265" i="4" s="1"/>
  <c r="Z350" i="1"/>
  <c r="E341" i="4" s="1"/>
  <c r="Z342" i="1"/>
  <c r="E333" i="4" s="1"/>
  <c r="Y321" i="1"/>
  <c r="D312" i="4" s="1"/>
  <c r="Y535" i="1"/>
  <c r="D527" i="4" s="1"/>
  <c r="Y278" i="1"/>
  <c r="D269" i="4" s="1"/>
  <c r="Y361" i="1"/>
  <c r="D353" i="4" s="1"/>
  <c r="Y632" i="1"/>
  <c r="Y293" i="1"/>
  <c r="D284" i="4" s="1"/>
  <c r="Y363" i="1"/>
  <c r="D355" i="4" s="1"/>
  <c r="Y342" i="1"/>
  <c r="D333" i="4" s="1"/>
  <c r="Y468" i="1"/>
  <c r="D460" i="4" s="1"/>
  <c r="Y629" i="1"/>
  <c r="Y334" i="1"/>
  <c r="D325" i="4" s="1"/>
  <c r="Y557" i="1"/>
  <c r="D549" i="4" s="1"/>
  <c r="Y453" i="1"/>
  <c r="D445" i="4" s="1"/>
  <c r="Y307" i="1"/>
  <c r="D298" i="4" s="1"/>
  <c r="Y628" i="1"/>
  <c r="Z253" i="1"/>
  <c r="E244" i="4" s="1"/>
  <c r="Z249" i="1"/>
  <c r="E240" i="4" s="1"/>
  <c r="Z259" i="1"/>
  <c r="E250" i="4" s="1"/>
  <c r="Z255" i="1"/>
  <c r="E246" i="4" s="1"/>
  <c r="AB197" i="1"/>
  <c r="G188" i="4" s="1"/>
  <c r="Y303" i="1"/>
  <c r="D294" i="4" s="1"/>
  <c r="Y383" i="1"/>
  <c r="D375" i="4" s="1"/>
  <c r="Y260" i="1"/>
  <c r="D251" i="4" s="1"/>
  <c r="Y382" i="1"/>
  <c r="D374" i="4" s="1"/>
  <c r="AC409" i="1"/>
  <c r="H401" i="4" s="1"/>
  <c r="Y611" i="1"/>
  <c r="D603" i="4" s="1"/>
  <c r="Y347" i="1"/>
  <c r="D338" i="4" s="1"/>
  <c r="Y327" i="1"/>
  <c r="D318" i="4" s="1"/>
  <c r="Y284" i="1"/>
  <c r="D275" i="4" s="1"/>
  <c r="Y335" i="1"/>
  <c r="D326" i="4" s="1"/>
  <c r="Y595" i="1"/>
  <c r="D587" i="4" s="1"/>
  <c r="Y273" i="1"/>
  <c r="D264" i="4" s="1"/>
  <c r="Y607" i="1"/>
  <c r="D599" i="4" s="1"/>
  <c r="Y368" i="1"/>
  <c r="D360" i="4" s="1"/>
  <c r="Y482" i="1"/>
  <c r="D474" i="4" s="1"/>
  <c r="Y490" i="1"/>
  <c r="D482" i="4" s="1"/>
  <c r="Y627" i="1"/>
  <c r="Y387" i="1"/>
  <c r="D379" i="4" s="1"/>
  <c r="Y577" i="1"/>
  <c r="D569" i="4" s="1"/>
  <c r="Y388" i="1"/>
  <c r="D380" i="4" s="1"/>
  <c r="Y526" i="1"/>
  <c r="D518" i="4" s="1"/>
  <c r="Y263" i="1"/>
  <c r="D254" i="4" s="1"/>
  <c r="Y286" i="1"/>
  <c r="D277" i="4" s="1"/>
  <c r="Y268" i="1"/>
  <c r="D259" i="4" s="1"/>
  <c r="Y460" i="1"/>
  <c r="D452" i="4" s="1"/>
  <c r="Y548" i="1"/>
  <c r="D540" i="4" s="1"/>
  <c r="Y600" i="1"/>
  <c r="D592" i="4" s="1"/>
  <c r="Y593" i="1"/>
  <c r="D585" i="4" s="1"/>
  <c r="Y578" i="1"/>
  <c r="D570" i="4" s="1"/>
  <c r="Y606" i="1"/>
  <c r="D598" i="4" s="1"/>
  <c r="Y330" i="1"/>
  <c r="D321" i="4" s="1"/>
  <c r="Y570" i="1"/>
  <c r="D562" i="4" s="1"/>
  <c r="AB113" i="1"/>
  <c r="G104" i="4" s="1"/>
  <c r="Y492" i="1"/>
  <c r="D484" i="4" s="1"/>
  <c r="Y351" i="1"/>
  <c r="D342" i="4" s="1"/>
  <c r="Y393" i="1"/>
  <c r="D385" i="4" s="1"/>
  <c r="Y467" i="1"/>
  <c r="D459" i="4" s="1"/>
  <c r="Y271" i="1"/>
  <c r="D262" i="4" s="1"/>
  <c r="Y288" i="1"/>
  <c r="D279" i="4" s="1"/>
  <c r="Y545" i="1"/>
  <c r="D537" i="4" s="1"/>
  <c r="Y251" i="1"/>
  <c r="D242" i="4" s="1"/>
  <c r="Y339" i="1"/>
  <c r="D330" i="4" s="1"/>
  <c r="Y536" i="1"/>
  <c r="D528" i="4" s="1"/>
  <c r="Y485" i="1"/>
  <c r="D477" i="4" s="1"/>
  <c r="Y359" i="1"/>
  <c r="D351" i="4" s="1"/>
  <c r="Y277" i="1"/>
  <c r="D268" i="4" s="1"/>
  <c r="Y469" i="1"/>
  <c r="D461" i="4" s="1"/>
  <c r="Y509" i="1"/>
  <c r="D501" i="4" s="1"/>
  <c r="Y262" i="1"/>
  <c r="D253" i="4" s="1"/>
  <c r="Y541" i="1"/>
  <c r="D533" i="4" s="1"/>
  <c r="Y305" i="1"/>
  <c r="D296" i="4" s="1"/>
  <c r="Y499" i="1"/>
  <c r="D491" i="4" s="1"/>
  <c r="Y402" i="1"/>
  <c r="D394" i="4" s="1"/>
  <c r="Y538" i="1"/>
  <c r="D530" i="4" s="1"/>
  <c r="Y521" i="1"/>
  <c r="D513" i="4" s="1"/>
  <c r="Y287" i="1"/>
  <c r="D278" i="4" s="1"/>
  <c r="Y459" i="1"/>
  <c r="D451" i="4" s="1"/>
  <c r="Y585" i="1"/>
  <c r="D577" i="4" s="1"/>
  <c r="Y252" i="1"/>
  <c r="D243" i="4" s="1"/>
  <c r="Y586" i="1"/>
  <c r="D578" i="4" s="1"/>
  <c r="Y569" i="1"/>
  <c r="D561" i="4" s="1"/>
  <c r="Y529" i="1"/>
  <c r="D521" i="4" s="1"/>
  <c r="Y555" i="1"/>
  <c r="D547" i="4" s="1"/>
  <c r="Y631" i="1"/>
  <c r="Y498" i="1"/>
  <c r="D490" i="4" s="1"/>
  <c r="Y451" i="1"/>
  <c r="D443" i="4" s="1"/>
  <c r="Y389" i="1"/>
  <c r="D381" i="4" s="1"/>
  <c r="Y617" i="1"/>
  <c r="D346" i="4" s="1"/>
  <c r="Y475" i="1"/>
  <c r="D467" i="4" s="1"/>
  <c r="Y341" i="1"/>
  <c r="D332" i="4" s="1"/>
  <c r="Y503" i="1"/>
  <c r="D495" i="4" s="1"/>
  <c r="Y605" i="1"/>
  <c r="D597" i="4" s="1"/>
  <c r="Y496" i="1"/>
  <c r="D488" i="4" s="1"/>
  <c r="Y324" i="1"/>
  <c r="D315" i="4" s="1"/>
  <c r="Y289" i="1"/>
  <c r="D280" i="4" s="1"/>
  <c r="Y320" i="1"/>
  <c r="D311" i="4" s="1"/>
  <c r="Y357" i="1"/>
  <c r="D349" i="4" s="1"/>
  <c r="Y457" i="1"/>
  <c r="D449" i="4" s="1"/>
  <c r="Y637" i="1"/>
  <c r="Y397" i="1"/>
  <c r="D389" i="4" s="1"/>
  <c r="Y583" i="1"/>
  <c r="D575" i="4" s="1"/>
  <c r="Y331" i="1"/>
  <c r="D322" i="4" s="1"/>
  <c r="Y579" i="1"/>
  <c r="D571" i="4" s="1"/>
  <c r="Y290" i="1"/>
  <c r="D281" i="4" s="1"/>
  <c r="Y559" i="1"/>
  <c r="D551" i="4" s="1"/>
  <c r="Y333" i="1"/>
  <c r="D324" i="4" s="1"/>
  <c r="Y378" i="1"/>
  <c r="D370" i="4" s="1"/>
  <c r="Y304" i="1"/>
  <c r="D295" i="4" s="1"/>
  <c r="Y512" i="1"/>
  <c r="D504" i="4" s="1"/>
  <c r="Y285" i="1"/>
  <c r="D276" i="4" s="1"/>
  <c r="Y400" i="1"/>
  <c r="D392" i="4" s="1"/>
  <c r="Y592" i="1"/>
  <c r="D584" i="4" s="1"/>
  <c r="Z174" i="1"/>
  <c r="E165" i="4" s="1"/>
  <c r="Z59" i="1"/>
  <c r="E50" i="4" s="1"/>
  <c r="Z168" i="1"/>
  <c r="E159" i="4" s="1"/>
  <c r="Z192" i="1"/>
  <c r="E183" i="4" s="1"/>
  <c r="Z29" i="1"/>
  <c r="E20" i="4" s="1"/>
  <c r="Z143" i="1"/>
  <c r="E134" i="4" s="1"/>
  <c r="Z117" i="1"/>
  <c r="E108" i="4" s="1"/>
  <c r="Y476" i="1"/>
  <c r="D468" i="4" s="1"/>
  <c r="Y354" i="1"/>
  <c r="D345" i="4" s="1"/>
  <c r="Y534" i="1"/>
  <c r="D526" i="4" s="1"/>
  <c r="Y456" i="1"/>
  <c r="D448" i="4" s="1"/>
  <c r="Y602" i="1"/>
  <c r="D594" i="4" s="1"/>
  <c r="Y318" i="1"/>
  <c r="D309" i="4" s="1"/>
  <c r="Y301" i="1"/>
  <c r="D292" i="4" s="1"/>
  <c r="Y463" i="1"/>
  <c r="D455" i="4" s="1"/>
  <c r="Y338" i="1"/>
  <c r="D329" i="4" s="1"/>
  <c r="Y514" i="1"/>
  <c r="D506" i="4" s="1"/>
  <c r="Y610" i="1"/>
  <c r="D602" i="4" s="1"/>
  <c r="Y596" i="1"/>
  <c r="D588" i="4" s="1"/>
  <c r="Y391" i="1"/>
  <c r="D383" i="4" s="1"/>
  <c r="Y556" i="1"/>
  <c r="D548" i="4" s="1"/>
  <c r="Y518" i="1"/>
  <c r="D510" i="4" s="1"/>
  <c r="Y494" i="1"/>
  <c r="D486" i="4" s="1"/>
  <c r="Y504" i="1"/>
  <c r="D496" i="4" s="1"/>
  <c r="Y517" i="1"/>
  <c r="D509" i="4" s="1"/>
  <c r="Y495" i="1"/>
  <c r="D487" i="4" s="1"/>
  <c r="Y343" i="1"/>
  <c r="D334" i="4" s="1"/>
  <c r="Y373" i="1"/>
  <c r="D365" i="4" s="1"/>
  <c r="Y265" i="1"/>
  <c r="D256" i="4" s="1"/>
  <c r="Y269" i="1"/>
  <c r="D260" i="4" s="1"/>
  <c r="Y291" i="1"/>
  <c r="D282" i="4" s="1"/>
  <c r="Y478" i="1"/>
  <c r="D470" i="4" s="1"/>
  <c r="Y355" i="1"/>
  <c r="D347" i="4" s="1"/>
  <c r="Y344" i="1"/>
  <c r="D335" i="4" s="1"/>
  <c r="Y481" i="1"/>
  <c r="D473" i="4" s="1"/>
  <c r="Y561" i="1"/>
  <c r="D553" i="4" s="1"/>
  <c r="Y276" i="1"/>
  <c r="D267" i="4" s="1"/>
  <c r="Y302" i="1"/>
  <c r="D293" i="4" s="1"/>
  <c r="Y582" i="1"/>
  <c r="D574" i="4" s="1"/>
  <c r="Y395" i="1"/>
  <c r="D387" i="4" s="1"/>
  <c r="Y633" i="1"/>
  <c r="Y587" i="1"/>
  <c r="D579" i="4" s="1"/>
  <c r="Y385" i="1"/>
  <c r="D377" i="4" s="1"/>
  <c r="Y574" i="1"/>
  <c r="D566" i="4" s="1"/>
  <c r="Y491" i="1"/>
  <c r="D483" i="4" s="1"/>
  <c r="Y522" i="1"/>
  <c r="D514" i="4" s="1"/>
  <c r="Y589" i="1"/>
  <c r="D581" i="4" s="1"/>
  <c r="Y360" i="1"/>
  <c r="D352" i="4" s="1"/>
  <c r="Y465" i="1"/>
  <c r="D457" i="4" s="1"/>
  <c r="Y392" i="1"/>
  <c r="D384" i="4" s="1"/>
  <c r="Y547" i="1"/>
  <c r="D539" i="4" s="1"/>
  <c r="Y322" i="1"/>
  <c r="D313" i="4" s="1"/>
  <c r="Y340" i="1"/>
  <c r="D331" i="4" s="1"/>
  <c r="Y565" i="1"/>
  <c r="D557" i="4" s="1"/>
  <c r="Y398" i="1"/>
  <c r="D390" i="4" s="1"/>
  <c r="Y458" i="1"/>
  <c r="D450" i="4" s="1"/>
  <c r="Y501" i="1"/>
  <c r="D493" i="4" s="1"/>
  <c r="Y609" i="1"/>
  <c r="D601" i="4" s="1"/>
  <c r="Y390" i="1"/>
  <c r="D382" i="4" s="1"/>
  <c r="Y281" i="1"/>
  <c r="D272" i="4" s="1"/>
  <c r="Y280" i="1"/>
  <c r="D271" i="4" s="1"/>
  <c r="Y525" i="1"/>
  <c r="D517" i="4" s="1"/>
  <c r="Y612" i="1"/>
  <c r="D604" i="4" s="1"/>
  <c r="Y377" i="1"/>
  <c r="D369" i="4" s="1"/>
  <c r="Y394" i="1"/>
  <c r="D386" i="4" s="1"/>
  <c r="Y309" i="1"/>
  <c r="D300" i="4" s="1"/>
  <c r="Y599" i="1"/>
  <c r="D591" i="4" s="1"/>
  <c r="Y362" i="1"/>
  <c r="D354" i="4" s="1"/>
  <c r="Y500" i="1"/>
  <c r="D492" i="4" s="1"/>
  <c r="Y462" i="1"/>
  <c r="D454" i="4" s="1"/>
  <c r="Y466" i="1"/>
  <c r="D458" i="4" s="1"/>
  <c r="Y477" i="1"/>
  <c r="D469" i="4" s="1"/>
  <c r="Y274" i="1"/>
  <c r="D265" i="4" s="1"/>
  <c r="Y594" i="1"/>
  <c r="D586" i="4" s="1"/>
  <c r="Y630" i="1"/>
  <c r="Y590" i="1"/>
  <c r="D582" i="4" s="1"/>
  <c r="Y283" i="1"/>
  <c r="D274" i="4" s="1"/>
  <c r="Y615" i="1"/>
  <c r="D607" i="4" s="1"/>
  <c r="Y379" i="1"/>
  <c r="D371" i="4" s="1"/>
  <c r="Y272" i="1"/>
  <c r="D263" i="4" s="1"/>
  <c r="Y598" i="1"/>
  <c r="D590" i="4" s="1"/>
  <c r="Y580" i="1"/>
  <c r="D572" i="4" s="1"/>
  <c r="Y601" i="1"/>
  <c r="D593" i="4" s="1"/>
  <c r="Y614" i="1"/>
  <c r="D606" i="4" s="1"/>
  <c r="Y558" i="1"/>
  <c r="D550" i="4" s="1"/>
  <c r="Y608" i="1"/>
  <c r="D600" i="4" s="1"/>
  <c r="Y292" i="1"/>
  <c r="D283" i="4" s="1"/>
  <c r="Y364" i="1"/>
  <c r="D356" i="4" s="1"/>
  <c r="Y553" i="1"/>
  <c r="D545" i="4" s="1"/>
  <c r="Y506" i="1"/>
  <c r="D498" i="4" s="1"/>
  <c r="Y396" i="1"/>
  <c r="D388" i="4" s="1"/>
  <c r="Y528" i="1"/>
  <c r="D520" i="4" s="1"/>
  <c r="AC387" i="1"/>
  <c r="H379" i="4" s="1"/>
  <c r="AC328" i="1"/>
  <c r="H319" i="4" s="1"/>
  <c r="AC581" i="1"/>
  <c r="H573" i="4" s="1"/>
  <c r="AC274" i="1"/>
  <c r="H265" i="4" s="1"/>
  <c r="AC260" i="1"/>
  <c r="H251" i="4" s="1"/>
  <c r="AC415" i="1"/>
  <c r="H407" i="4" s="1"/>
  <c r="AC382" i="1"/>
  <c r="H374" i="4" s="1"/>
  <c r="AC337" i="1"/>
  <c r="H328" i="4" s="1"/>
  <c r="AC336" i="1"/>
  <c r="H327" i="4" s="1"/>
  <c r="AC494" i="1"/>
  <c r="H486" i="4" s="1"/>
  <c r="AC338" i="1"/>
  <c r="H329" i="4" s="1"/>
  <c r="AC373" i="1"/>
  <c r="H365" i="4" s="1"/>
  <c r="AC617" i="1"/>
  <c r="H346" i="4" s="1"/>
  <c r="AC401" i="1"/>
  <c r="H393" i="4" s="1"/>
  <c r="AC398" i="1"/>
  <c r="H390" i="4" s="1"/>
  <c r="AC376" i="1"/>
  <c r="H368" i="4" s="1"/>
  <c r="AC360" i="1"/>
  <c r="H352" i="4" s="1"/>
  <c r="AC632" i="1"/>
  <c r="AC385" i="1"/>
  <c r="H377" i="4" s="1"/>
  <c r="AC538" i="1"/>
  <c r="H530" i="4" s="1"/>
  <c r="AC577" i="1"/>
  <c r="H569" i="4" s="1"/>
  <c r="AC369" i="1"/>
  <c r="H361" i="4" s="1"/>
  <c r="AC477" i="1"/>
  <c r="H469" i="4" s="1"/>
  <c r="AC546" i="1"/>
  <c r="H538" i="4" s="1"/>
  <c r="AC458" i="1"/>
  <c r="H450" i="4" s="1"/>
  <c r="AC276" i="1"/>
  <c r="H267" i="4" s="1"/>
  <c r="AC528" i="1"/>
  <c r="H520" i="4" s="1"/>
  <c r="AC556" i="1"/>
  <c r="H548" i="4" s="1"/>
  <c r="AC302" i="1"/>
  <c r="H293" i="4" s="1"/>
  <c r="AC375" i="1"/>
  <c r="H367" i="4" s="1"/>
  <c r="AC384" i="1"/>
  <c r="H376" i="4" s="1"/>
  <c r="AC460" i="1"/>
  <c r="H452" i="4" s="1"/>
  <c r="AC332" i="1"/>
  <c r="H323" i="4" s="1"/>
  <c r="AC586" i="1"/>
  <c r="H578" i="4" s="1"/>
  <c r="AC592" i="1"/>
  <c r="H584" i="4" s="1"/>
  <c r="AC291" i="1"/>
  <c r="H282" i="4" s="1"/>
  <c r="AC542" i="1"/>
  <c r="H534" i="4" s="1"/>
  <c r="AC614" i="1"/>
  <c r="H606" i="4" s="1"/>
  <c r="AC500" i="1"/>
  <c r="H492" i="4" s="1"/>
  <c r="AC265" i="1"/>
  <c r="H256" i="4" s="1"/>
  <c r="AC548" i="1"/>
  <c r="H540" i="4" s="1"/>
  <c r="AC558" i="1"/>
  <c r="H550" i="4" s="1"/>
  <c r="AC585" i="1"/>
  <c r="H577" i="4" s="1"/>
  <c r="AC365" i="1"/>
  <c r="H357" i="4" s="1"/>
  <c r="AC478" i="1"/>
  <c r="H470" i="4" s="1"/>
  <c r="AC489" i="1"/>
  <c r="H481" i="4" s="1"/>
  <c r="AC324" i="1"/>
  <c r="H315" i="4" s="1"/>
  <c r="AC330" i="1"/>
  <c r="H321" i="4" s="1"/>
  <c r="AC633" i="1"/>
  <c r="AC518" i="1"/>
  <c r="H510" i="4" s="1"/>
  <c r="AC346" i="1"/>
  <c r="H337" i="4" s="1"/>
  <c r="AC492" i="1"/>
  <c r="H484" i="4" s="1"/>
  <c r="AC266" i="1"/>
  <c r="H257" i="4" s="1"/>
  <c r="AC553" i="1"/>
  <c r="H545" i="4" s="1"/>
  <c r="AC525" i="1"/>
  <c r="H517" i="4" s="1"/>
  <c r="AC285" i="1"/>
  <c r="H276" i="4" s="1"/>
  <c r="AC321" i="1"/>
  <c r="H312" i="4" s="1"/>
  <c r="AC501" i="1"/>
  <c r="H493" i="4" s="1"/>
  <c r="AC348" i="1"/>
  <c r="H339" i="4" s="1"/>
  <c r="AC283" i="1"/>
  <c r="H274" i="4" s="1"/>
  <c r="AC461" i="1"/>
  <c r="H453" i="4" s="1"/>
  <c r="AC537" i="1"/>
  <c r="H529" i="4" s="1"/>
  <c r="AC364" i="1"/>
  <c r="H356" i="4" s="1"/>
  <c r="AC301" i="1"/>
  <c r="H292" i="4" s="1"/>
  <c r="AC476" i="1"/>
  <c r="H468" i="4" s="1"/>
  <c r="AC583" i="1"/>
  <c r="H575" i="4" s="1"/>
  <c r="AC594" i="1"/>
  <c r="H586" i="4" s="1"/>
  <c r="AC606" i="1"/>
  <c r="H598" i="4" s="1"/>
  <c r="AC287" i="1"/>
  <c r="H278" i="4" s="1"/>
  <c r="AC534" i="1"/>
  <c r="H526" i="4" s="1"/>
  <c r="AC610" i="1"/>
  <c r="H602" i="4" s="1"/>
  <c r="AC480" i="1"/>
  <c r="H472" i="4" s="1"/>
  <c r="AC612" i="1"/>
  <c r="H604" i="4" s="1"/>
  <c r="AC363" i="1"/>
  <c r="H355" i="4" s="1"/>
  <c r="AC395" i="1"/>
  <c r="H387" i="4" s="1"/>
  <c r="AC526" i="1"/>
  <c r="H518" i="4" s="1"/>
  <c r="AC529" i="1"/>
  <c r="H521" i="4" s="1"/>
  <c r="AC557" i="1"/>
  <c r="H549" i="4" s="1"/>
  <c r="AC309" i="1"/>
  <c r="H300" i="4" s="1"/>
  <c r="AC629" i="1"/>
  <c r="AC506" i="1"/>
  <c r="H498" i="4" s="1"/>
  <c r="AC613" i="1"/>
  <c r="H605" i="4" s="1"/>
  <c r="AC607" i="1"/>
  <c r="H599" i="4" s="1"/>
  <c r="AC521" i="1"/>
  <c r="H513" i="4" s="1"/>
  <c r="AC271" i="1"/>
  <c r="H262" i="4" s="1"/>
  <c r="AC479" i="1"/>
  <c r="H471" i="4" s="1"/>
  <c r="AC293" i="1"/>
  <c r="H284" i="4" s="1"/>
  <c r="AC261" i="1"/>
  <c r="H252" i="4" s="1"/>
  <c r="AC277" i="1"/>
  <c r="H268" i="4" s="1"/>
  <c r="AC514" i="1"/>
  <c r="H506" i="4" s="1"/>
  <c r="AC504" i="1"/>
  <c r="H496" i="4" s="1"/>
  <c r="AC380" i="1"/>
  <c r="H372" i="4" s="1"/>
  <c r="AC451" i="1"/>
  <c r="H443" i="4" s="1"/>
  <c r="AC507" i="1"/>
  <c r="H499" i="4" s="1"/>
  <c r="AC609" i="1"/>
  <c r="H601" i="4" s="1"/>
  <c r="AC262" i="1"/>
  <c r="H253" i="4" s="1"/>
  <c r="AC487" i="1"/>
  <c r="H479" i="4" s="1"/>
  <c r="AC491" i="1"/>
  <c r="H483" i="4" s="1"/>
  <c r="AC508" i="1"/>
  <c r="H500" i="4" s="1"/>
  <c r="AC520" i="1"/>
  <c r="H512" i="4" s="1"/>
  <c r="AC605" i="1"/>
  <c r="H597" i="4" s="1"/>
  <c r="AC284" i="1"/>
  <c r="H275" i="4" s="1"/>
  <c r="AC616" i="1"/>
  <c r="H608" i="4" s="1"/>
  <c r="AC270" i="1"/>
  <c r="H261" i="4" s="1"/>
  <c r="AC354" i="1"/>
  <c r="H345" i="4" s="1"/>
  <c r="AC590" i="1"/>
  <c r="H582" i="4" s="1"/>
  <c r="AC290" i="1"/>
  <c r="H281" i="4" s="1"/>
  <c r="AC306" i="1"/>
  <c r="H297" i="4" s="1"/>
  <c r="AC339" i="1"/>
  <c r="H330" i="4" s="1"/>
  <c r="AC275" i="1"/>
  <c r="H266" i="4" s="1"/>
  <c r="AC485" i="1"/>
  <c r="H477" i="4" s="1"/>
  <c r="AC603" i="1"/>
  <c r="H595" i="4" s="1"/>
  <c r="AC359" i="1"/>
  <c r="H351" i="4" s="1"/>
  <c r="AC353" i="1"/>
  <c r="H344" i="4" s="1"/>
  <c r="AC393" i="1"/>
  <c r="H385" i="4" s="1"/>
  <c r="AC357" i="1"/>
  <c r="H349" i="4" s="1"/>
  <c r="AC320" i="1"/>
  <c r="H311" i="4" s="1"/>
  <c r="AC628" i="1"/>
  <c r="AC630" i="1"/>
  <c r="AC325" i="1"/>
  <c r="H316" i="4" s="1"/>
  <c r="AC402" i="1"/>
  <c r="H394" i="4" s="1"/>
  <c r="AC374" i="1"/>
  <c r="H366" i="4" s="1"/>
  <c r="AC377" i="1"/>
  <c r="H369" i="4" s="1"/>
  <c r="AC399" i="1"/>
  <c r="H391" i="4" s="1"/>
  <c r="AC390" i="1"/>
  <c r="H382" i="4" s="1"/>
  <c r="AC391" i="1"/>
  <c r="H383" i="4" s="1"/>
  <c r="AC356" i="1"/>
  <c r="H348" i="4" s="1"/>
  <c r="AC347" i="1"/>
  <c r="H338" i="4" s="1"/>
  <c r="AC615" i="1"/>
  <c r="H607" i="4" s="1"/>
  <c r="AC370" i="1"/>
  <c r="H362" i="4" s="1"/>
  <c r="AC371" i="1"/>
  <c r="H363" i="4" s="1"/>
  <c r="AC396" i="1"/>
  <c r="H388" i="4" s="1"/>
  <c r="AC264" i="1"/>
  <c r="H255" i="4" s="1"/>
  <c r="AC569" i="1"/>
  <c r="H561" i="4" s="1"/>
  <c r="AC331" i="1"/>
  <c r="H322" i="4" s="1"/>
  <c r="AC444" i="1"/>
  <c r="H436" i="4" s="1"/>
  <c r="AC527" i="1"/>
  <c r="H519" i="4" s="1"/>
  <c r="AC413" i="1"/>
  <c r="H405" i="4" s="1"/>
  <c r="AC278" i="1"/>
  <c r="H269" i="4" s="1"/>
  <c r="AC627" i="1"/>
  <c r="AC454" i="1"/>
  <c r="H446" i="4" s="1"/>
  <c r="AC496" i="1"/>
  <c r="H488" i="4" s="1"/>
  <c r="AC599" i="1"/>
  <c r="H591" i="4" s="1"/>
  <c r="AC362" i="1"/>
  <c r="H354" i="4" s="1"/>
  <c r="AC536" i="1"/>
  <c r="H528" i="4" s="1"/>
  <c r="AC547" i="1"/>
  <c r="H539" i="4" s="1"/>
  <c r="AC531" i="1"/>
  <c r="H523" i="4" s="1"/>
  <c r="AC344" i="1"/>
  <c r="H335" i="4" s="1"/>
  <c r="AC340" i="1"/>
  <c r="H331" i="4" s="1"/>
  <c r="AC269" i="1"/>
  <c r="H260" i="4" s="1"/>
  <c r="AC273" i="1"/>
  <c r="H264" i="4" s="1"/>
  <c r="AC333" i="1"/>
  <c r="H324" i="4" s="1"/>
  <c r="AC466" i="1"/>
  <c r="H458" i="4" s="1"/>
  <c r="AC591" i="1"/>
  <c r="H583" i="4" s="1"/>
  <c r="AC580" i="1"/>
  <c r="H572" i="4" s="1"/>
  <c r="AC452" i="1"/>
  <c r="H444" i="4" s="1"/>
  <c r="AC459" i="1"/>
  <c r="H451" i="4" s="1"/>
  <c r="AC578" i="1"/>
  <c r="H570" i="4" s="1"/>
  <c r="AC600" i="1"/>
  <c r="H592" i="4" s="1"/>
  <c r="AC303" i="1"/>
  <c r="H294" i="4" s="1"/>
  <c r="AC292" i="1"/>
  <c r="H283" i="4" s="1"/>
  <c r="AC554" i="1"/>
  <c r="H546" i="4" s="1"/>
  <c r="AC319" i="1"/>
  <c r="H310" i="4" s="1"/>
  <c r="AC512" i="1"/>
  <c r="H504" i="4" s="1"/>
  <c r="AC368" i="1"/>
  <c r="H360" i="4" s="1"/>
  <c r="AC611" i="1"/>
  <c r="H603" i="4" s="1"/>
  <c r="AC604" i="1"/>
  <c r="H596" i="4" s="1"/>
  <c r="AC559" i="1"/>
  <c r="H551" i="4" s="1"/>
  <c r="AC322" i="1"/>
  <c r="H313" i="4" s="1"/>
  <c r="AC308" i="1"/>
  <c r="H299" i="4" s="1"/>
  <c r="AC307" i="1"/>
  <c r="H298" i="4" s="1"/>
  <c r="AC505" i="1"/>
  <c r="H497" i="4" s="1"/>
  <c r="AC268" i="1"/>
  <c r="H259" i="4" s="1"/>
  <c r="AC341" i="1"/>
  <c r="H332" i="4" s="1"/>
  <c r="AC598" i="1"/>
  <c r="H590" i="4" s="1"/>
  <c r="AC388" i="1"/>
  <c r="H380" i="4" s="1"/>
  <c r="AC595" i="1"/>
  <c r="H587" i="4" s="1"/>
  <c r="AC252" i="1"/>
  <c r="H243" i="4" s="1"/>
  <c r="AC289" i="1"/>
  <c r="H280" i="4" s="1"/>
  <c r="AC503" i="1"/>
  <c r="H495" i="4" s="1"/>
  <c r="AC563" i="1"/>
  <c r="H555" i="4" s="1"/>
  <c r="AC394" i="1"/>
  <c r="H386" i="4" s="1"/>
  <c r="AC267" i="1"/>
  <c r="H258" i="4" s="1"/>
  <c r="AC281" i="1"/>
  <c r="H272" i="4" s="1"/>
  <c r="AC471" i="1"/>
  <c r="H463" i="4" s="1"/>
  <c r="AC543" i="1"/>
  <c r="H535" i="4" s="1"/>
  <c r="AC453" i="1"/>
  <c r="H445" i="4" s="1"/>
  <c r="AC495" i="1"/>
  <c r="H487" i="4" s="1"/>
  <c r="AC361" i="1"/>
  <c r="H353" i="4" s="1"/>
  <c r="AC596" i="1"/>
  <c r="H588" i="4" s="1"/>
  <c r="AC280" i="1"/>
  <c r="H271" i="4" s="1"/>
  <c r="AC465" i="1"/>
  <c r="H457" i="4" s="1"/>
  <c r="AC263" i="1"/>
  <c r="H254" i="4" s="1"/>
  <c r="AC318" i="1"/>
  <c r="H309" i="4" s="1"/>
  <c r="AC631" i="1"/>
  <c r="AC304" i="1"/>
  <c r="H295" i="4" s="1"/>
  <c r="AC582" i="1"/>
  <c r="H574" i="4" s="1"/>
  <c r="AC602" i="1"/>
  <c r="H594" i="4" s="1"/>
  <c r="AC251" i="1"/>
  <c r="H242" i="4" s="1"/>
  <c r="AC545" i="1"/>
  <c r="H537" i="4" s="1"/>
  <c r="AC468" i="1"/>
  <c r="H460" i="4" s="1"/>
  <c r="AC282" i="1"/>
  <c r="H273" i="4" s="1"/>
  <c r="AC499" i="1"/>
  <c r="H491" i="4" s="1"/>
  <c r="AC561" i="1"/>
  <c r="H553" i="4" s="1"/>
  <c r="AC522" i="1"/>
  <c r="H514" i="4" s="1"/>
  <c r="AC334" i="1"/>
  <c r="H325" i="4" s="1"/>
  <c r="AC355" i="1"/>
  <c r="H347" i="4" s="1"/>
  <c r="AC366" i="1"/>
  <c r="H358" i="4" s="1"/>
  <c r="AC482" i="1"/>
  <c r="H474" i="4" s="1"/>
  <c r="AC288" i="1"/>
  <c r="H279" i="4" s="1"/>
  <c r="AC566" i="1"/>
  <c r="H558" i="4" s="1"/>
  <c r="AC475" i="1"/>
  <c r="H467" i="4" s="1"/>
  <c r="AC562" i="1"/>
  <c r="H554" i="4" s="1"/>
  <c r="AC517" i="1"/>
  <c r="H509" i="4" s="1"/>
  <c r="AC455" i="1"/>
  <c r="H447" i="4" s="1"/>
  <c r="AC570" i="1"/>
  <c r="H562" i="4" s="1"/>
  <c r="AC573" i="1"/>
  <c r="H565" i="4" s="1"/>
  <c r="AC345" i="1"/>
  <c r="H336" i="4" s="1"/>
  <c r="AC472" i="1"/>
  <c r="H464" i="4" s="1"/>
  <c r="AC323" i="1"/>
  <c r="H314" i="4" s="1"/>
  <c r="AC381" i="1"/>
  <c r="H373" i="4" s="1"/>
  <c r="AC637" i="1"/>
  <c r="AC279" i="1"/>
  <c r="H270" i="4" s="1"/>
  <c r="AB208" i="1"/>
  <c r="G199" i="4" s="1"/>
  <c r="AB230" i="1"/>
  <c r="G221" i="4" s="1"/>
  <c r="AB13" i="1"/>
  <c r="G4" i="4" s="1"/>
  <c r="Z66" i="1"/>
  <c r="E57" i="4" s="1"/>
  <c r="Z72" i="1"/>
  <c r="E63" i="4" s="1"/>
  <c r="Z248" i="1"/>
  <c r="E239" i="4" s="1"/>
  <c r="Z146" i="1"/>
  <c r="E137" i="4" s="1"/>
  <c r="Z224" i="1"/>
  <c r="E215" i="4" s="1"/>
  <c r="Z123" i="1"/>
  <c r="E114" i="4" s="1"/>
  <c r="Z14" i="1"/>
  <c r="E5" i="4" s="1"/>
  <c r="Z16" i="1"/>
  <c r="E7" i="4" s="1"/>
  <c r="Z240" i="1"/>
  <c r="E231" i="4" s="1"/>
  <c r="Z135" i="1"/>
  <c r="E126" i="4" s="1"/>
  <c r="Z159" i="1"/>
  <c r="E150" i="4" s="1"/>
  <c r="Z203" i="1"/>
  <c r="E194" i="4" s="1"/>
  <c r="Z131" i="1"/>
  <c r="E122" i="4" s="1"/>
  <c r="Z98" i="1"/>
  <c r="E89" i="4" s="1"/>
  <c r="AB54" i="1"/>
  <c r="G45" i="4" s="1"/>
  <c r="AB215" i="1"/>
  <c r="G206" i="4" s="1"/>
  <c r="AB50" i="1"/>
  <c r="G41" i="4" s="1"/>
  <c r="AB163" i="1"/>
  <c r="G154" i="4" s="1"/>
  <c r="AB57" i="1"/>
  <c r="G48" i="4" s="1"/>
  <c r="AB83" i="1"/>
  <c r="G74" i="4" s="1"/>
  <c r="AB374" i="1"/>
  <c r="G366" i="4" s="1"/>
  <c r="AB502" i="1"/>
  <c r="G494" i="4" s="1"/>
  <c r="AB346" i="1"/>
  <c r="G337" i="4" s="1"/>
  <c r="AB278" i="1"/>
  <c r="G269" i="4" s="1"/>
  <c r="AB573" i="1"/>
  <c r="G565" i="4" s="1"/>
  <c r="AB384" i="1"/>
  <c r="G376" i="4" s="1"/>
  <c r="AB536" i="1"/>
  <c r="G528" i="4" s="1"/>
  <c r="AB518" i="1"/>
  <c r="G510" i="4" s="1"/>
  <c r="AB260" i="1"/>
  <c r="G251" i="4" s="1"/>
  <c r="AB382" i="1"/>
  <c r="G374" i="4" s="1"/>
  <c r="AB353" i="1"/>
  <c r="G344" i="4" s="1"/>
  <c r="AB557" i="1"/>
  <c r="G549" i="4" s="1"/>
  <c r="AB475" i="1"/>
  <c r="G467" i="4" s="1"/>
  <c r="AB599" i="1"/>
  <c r="G591" i="4" s="1"/>
  <c r="AB289" i="1"/>
  <c r="G280" i="4" s="1"/>
  <c r="AB459" i="1"/>
  <c r="G451" i="4" s="1"/>
  <c r="AB631" i="1"/>
  <c r="AB507" i="1"/>
  <c r="G499" i="4" s="1"/>
  <c r="AB452" i="1"/>
  <c r="G444" i="4" s="1"/>
  <c r="AB512" i="1"/>
  <c r="G504" i="4" s="1"/>
  <c r="AB581" i="1"/>
  <c r="G573" i="4" s="1"/>
  <c r="AB570" i="1"/>
  <c r="G562" i="4" s="1"/>
  <c r="AB370" i="1"/>
  <c r="G362" i="4" s="1"/>
  <c r="AB292" i="1"/>
  <c r="G283" i="4" s="1"/>
  <c r="AB578" i="1"/>
  <c r="G570" i="4" s="1"/>
  <c r="AB285" i="1"/>
  <c r="G276" i="4" s="1"/>
  <c r="AB598" i="1"/>
  <c r="G590" i="4" s="1"/>
  <c r="AB614" i="1"/>
  <c r="G606" i="4" s="1"/>
  <c r="AB280" i="1"/>
  <c r="G271" i="4" s="1"/>
  <c r="AB302" i="1"/>
  <c r="G293" i="4" s="1"/>
  <c r="AB461" i="1"/>
  <c r="G453" i="4" s="1"/>
  <c r="AB455" i="1"/>
  <c r="G447" i="4" s="1"/>
  <c r="AB334" i="1"/>
  <c r="G325" i="4" s="1"/>
  <c r="AB589" i="1"/>
  <c r="G581" i="4" s="1"/>
  <c r="AB633" i="1"/>
  <c r="AB548" i="1"/>
  <c r="G540" i="4" s="1"/>
  <c r="AB282" i="1"/>
  <c r="G273" i="4" s="1"/>
  <c r="AB305" i="1"/>
  <c r="G296" i="4" s="1"/>
  <c r="AB267" i="1"/>
  <c r="G258" i="4" s="1"/>
  <c r="AB514" i="1"/>
  <c r="G506" i="4" s="1"/>
  <c r="AB343" i="1"/>
  <c r="G334" i="4" s="1"/>
  <c r="AB522" i="1"/>
  <c r="G514" i="4" s="1"/>
  <c r="AB481" i="1"/>
  <c r="G473" i="4" s="1"/>
  <c r="AB341" i="1"/>
  <c r="G332" i="4" s="1"/>
  <c r="AB638" i="1"/>
  <c r="AB288" i="1"/>
  <c r="G279" i="4" s="1"/>
  <c r="AB263" i="1"/>
  <c r="G254" i="4" s="1"/>
  <c r="AB478" i="1"/>
  <c r="G470" i="4" s="1"/>
  <c r="AB504" i="1"/>
  <c r="G496" i="4" s="1"/>
  <c r="Z452" i="1"/>
  <c r="E444" i="4" s="1"/>
  <c r="Z599" i="1"/>
  <c r="E591" i="4" s="1"/>
  <c r="Z525" i="1"/>
  <c r="E517" i="4" s="1"/>
  <c r="Z309" i="1"/>
  <c r="E300" i="4" s="1"/>
  <c r="Z304" i="1"/>
  <c r="E295" i="4" s="1"/>
  <c r="Z566" i="1"/>
  <c r="E558" i="4" s="1"/>
  <c r="Z496" i="1"/>
  <c r="E488" i="4" s="1"/>
  <c r="Z506" i="1"/>
  <c r="E498" i="4" s="1"/>
  <c r="Z478" i="1"/>
  <c r="E470" i="4" s="1"/>
  <c r="Z455" i="1"/>
  <c r="E447" i="4" s="1"/>
  <c r="Z609" i="1"/>
  <c r="E601" i="4" s="1"/>
  <c r="Z263" i="1"/>
  <c r="E254" i="4" s="1"/>
  <c r="Z565" i="1"/>
  <c r="E557" i="4" s="1"/>
  <c r="Z308" i="1"/>
  <c r="E299" i="4" s="1"/>
  <c r="Z375" i="1"/>
  <c r="E367" i="4" s="1"/>
  <c r="Z542" i="1"/>
  <c r="E534" i="4" s="1"/>
  <c r="Z589" i="1"/>
  <c r="E581" i="4" s="1"/>
  <c r="Z378" i="1"/>
  <c r="E370" i="4" s="1"/>
  <c r="Z265" i="1"/>
  <c r="E256" i="4" s="1"/>
  <c r="Z489" i="1"/>
  <c r="E481" i="4" s="1"/>
  <c r="Z261" i="1"/>
  <c r="E252" i="4" s="1"/>
  <c r="Z596" i="1"/>
  <c r="E588" i="4" s="1"/>
  <c r="Z583" i="1"/>
  <c r="E575" i="4" s="1"/>
  <c r="Z546" i="1"/>
  <c r="E538" i="4" s="1"/>
  <c r="Z561" i="1"/>
  <c r="E553" i="4" s="1"/>
  <c r="Z363" i="1"/>
  <c r="E355" i="4" s="1"/>
  <c r="Z339" i="1"/>
  <c r="E330" i="4" s="1"/>
  <c r="Z600" i="1"/>
  <c r="E592" i="4" s="1"/>
  <c r="Z382" i="1"/>
  <c r="E374" i="4" s="1"/>
  <c r="Z606" i="1"/>
  <c r="E598" i="4" s="1"/>
  <c r="Z333" i="1"/>
  <c r="E324" i="4" s="1"/>
  <c r="Z491" i="1"/>
  <c r="E483" i="4" s="1"/>
  <c r="Z555" i="1"/>
  <c r="E547" i="4" s="1"/>
  <c r="Z273" i="1"/>
  <c r="E264" i="4" s="1"/>
  <c r="Z292" i="1"/>
  <c r="E283" i="4" s="1"/>
  <c r="Z534" i="1"/>
  <c r="E526" i="4" s="1"/>
  <c r="Z291" i="1"/>
  <c r="E282" i="4" s="1"/>
  <c r="Z82" i="1"/>
  <c r="E73" i="4" s="1"/>
  <c r="Z11" i="1"/>
  <c r="E2" i="4" s="1"/>
  <c r="Z105" i="1"/>
  <c r="E96" i="4" s="1"/>
  <c r="Z214" i="1"/>
  <c r="E205" i="4" s="1"/>
  <c r="Z198" i="1"/>
  <c r="E189" i="4" s="1"/>
  <c r="Z172" i="1"/>
  <c r="E163" i="4" s="1"/>
  <c r="Z21" i="1"/>
  <c r="E12" i="4" s="1"/>
  <c r="Z95" i="1"/>
  <c r="E86" i="4" s="1"/>
  <c r="Z196" i="1"/>
  <c r="E187" i="4" s="1"/>
  <c r="Z234" i="1"/>
  <c r="E225" i="4" s="1"/>
  <c r="Z118" i="1"/>
  <c r="E109" i="4" s="1"/>
  <c r="Z18" i="1"/>
  <c r="E9" i="4" s="1"/>
  <c r="Z236" i="1"/>
  <c r="E227" i="4" s="1"/>
  <c r="Z184" i="1"/>
  <c r="E175" i="4" s="1"/>
  <c r="Z67" i="1"/>
  <c r="E58" i="4" s="1"/>
  <c r="Z69" i="1"/>
  <c r="E60" i="4" s="1"/>
  <c r="Z204" i="1"/>
  <c r="E195" i="4" s="1"/>
  <c r="Z47" i="1"/>
  <c r="E38" i="4" s="1"/>
  <c r="Z97" i="1"/>
  <c r="E88" i="4" s="1"/>
  <c r="Z139" i="1"/>
  <c r="E130" i="4" s="1"/>
  <c r="Z101" i="1"/>
  <c r="E92" i="4" s="1"/>
  <c r="Z244" i="1"/>
  <c r="E235" i="4" s="1"/>
  <c r="Z78" i="1"/>
  <c r="E69" i="4" s="1"/>
  <c r="Z45" i="1"/>
  <c r="E36" i="4" s="1"/>
  <c r="Z193" i="1"/>
  <c r="E184" i="4" s="1"/>
  <c r="Z213" i="1"/>
  <c r="E204" i="4" s="1"/>
  <c r="Z126" i="1"/>
  <c r="E117" i="4" s="1"/>
  <c r="Z591" i="1"/>
  <c r="E583" i="4" s="1"/>
  <c r="Z633" i="1"/>
  <c r="Z331" i="1"/>
  <c r="E322" i="4" s="1"/>
  <c r="Z593" i="1"/>
  <c r="E585" i="4" s="1"/>
  <c r="AC424" i="1"/>
  <c r="H416" i="4" s="1"/>
  <c r="AC250" i="1"/>
  <c r="H241" i="4" s="1"/>
  <c r="AC533" i="1"/>
  <c r="H525" i="4" s="1"/>
  <c r="AC414" i="1"/>
  <c r="H406" i="4" s="1"/>
  <c r="AB348" i="1"/>
  <c r="G339" i="4" s="1"/>
  <c r="AB373" i="1"/>
  <c r="G365" i="4" s="1"/>
  <c r="AB485" i="1"/>
  <c r="G477" i="4" s="1"/>
  <c r="AB271" i="1"/>
  <c r="G262" i="4" s="1"/>
  <c r="AB579" i="1"/>
  <c r="G571" i="4" s="1"/>
  <c r="AB307" i="1"/>
  <c r="G298" i="4" s="1"/>
  <c r="AB613" i="1"/>
  <c r="G605" i="4" s="1"/>
  <c r="AB538" i="1"/>
  <c r="G530" i="4" s="1"/>
  <c r="AB324" i="1"/>
  <c r="G315" i="4" s="1"/>
  <c r="AB265" i="1"/>
  <c r="G256" i="4" s="1"/>
  <c r="AB287" i="1"/>
  <c r="G278" i="4" s="1"/>
  <c r="AB465" i="1"/>
  <c r="G457" i="4" s="1"/>
  <c r="AB332" i="1"/>
  <c r="G323" i="4" s="1"/>
  <c r="AB541" i="1"/>
  <c r="G533" i="4" s="1"/>
  <c r="AB322" i="1"/>
  <c r="G313" i="4" s="1"/>
  <c r="AB378" i="1"/>
  <c r="G370" i="4" s="1"/>
  <c r="AB505" i="1"/>
  <c r="G497" i="4" s="1"/>
  <c r="AB281" i="1"/>
  <c r="G272" i="4" s="1"/>
  <c r="AB368" i="1"/>
  <c r="G360" i="4" s="1"/>
  <c r="AB397" i="1"/>
  <c r="G389" i="4" s="1"/>
  <c r="AB616" i="1"/>
  <c r="G608" i="4" s="1"/>
  <c r="AB494" i="1"/>
  <c r="G486" i="4" s="1"/>
  <c r="AB542" i="1"/>
  <c r="G534" i="4" s="1"/>
  <c r="AB308" i="1"/>
  <c r="G299" i="4" s="1"/>
  <c r="AB565" i="1"/>
  <c r="G557" i="4" s="1"/>
  <c r="AB251" i="1"/>
  <c r="G242" i="4" s="1"/>
  <c r="AB391" i="1"/>
  <c r="G383" i="4" s="1"/>
  <c r="AB460" i="1"/>
  <c r="G452" i="4" s="1"/>
  <c r="AB492" i="1"/>
  <c r="G484" i="4" s="1"/>
  <c r="AB615" i="1"/>
  <c r="G607" i="4" s="1"/>
  <c r="AB468" i="1"/>
  <c r="G460" i="4" s="1"/>
  <c r="AB601" i="1"/>
  <c r="G593" i="4" s="1"/>
  <c r="AB612" i="1"/>
  <c r="G604" i="4" s="1"/>
  <c r="AB361" i="1"/>
  <c r="G353" i="4" s="1"/>
  <c r="AB591" i="1"/>
  <c r="G583" i="4" s="1"/>
  <c r="AB269" i="1"/>
  <c r="G260" i="4" s="1"/>
  <c r="AB632" i="1"/>
  <c r="AB451" i="1"/>
  <c r="G443" i="4" s="1"/>
  <c r="AB337" i="1"/>
  <c r="G328" i="4" s="1"/>
  <c r="AB453" i="1"/>
  <c r="G445" i="4" s="1"/>
  <c r="AB529" i="1"/>
  <c r="G521" i="4" s="1"/>
  <c r="AB359" i="1"/>
  <c r="G351" i="4" s="1"/>
  <c r="AB279" i="1"/>
  <c r="G270" i="4" s="1"/>
  <c r="AB463" i="1"/>
  <c r="G455" i="4" s="1"/>
  <c r="AB546" i="1"/>
  <c r="G538" i="4" s="1"/>
  <c r="AB534" i="1"/>
  <c r="G526" i="4" s="1"/>
  <c r="AB600" i="1"/>
  <c r="G592" i="4" s="1"/>
  <c r="AB276" i="1"/>
  <c r="G267" i="4" s="1"/>
  <c r="AB609" i="1"/>
  <c r="G601" i="4" s="1"/>
  <c r="AB545" i="1"/>
  <c r="G537" i="4" s="1"/>
  <c r="AB528" i="1"/>
  <c r="G520" i="4" s="1"/>
  <c r="AB602" i="1"/>
  <c r="G594" i="4" s="1"/>
  <c r="AB326" i="1"/>
  <c r="G317" i="4" s="1"/>
  <c r="AB386" i="1"/>
  <c r="G378" i="4" s="1"/>
  <c r="AB345" i="1"/>
  <c r="G336" i="4" s="1"/>
  <c r="AB593" i="1"/>
  <c r="G585" i="4" s="1"/>
  <c r="AB467" i="1"/>
  <c r="G459" i="4" s="1"/>
  <c r="AB582" i="1"/>
  <c r="G574" i="4" s="1"/>
  <c r="AB375" i="1"/>
  <c r="G367" i="4" s="1"/>
  <c r="AB594" i="1"/>
  <c r="G586" i="4" s="1"/>
  <c r="AB566" i="1"/>
  <c r="G558" i="4" s="1"/>
  <c r="AB543" i="1"/>
  <c r="G535" i="4" s="1"/>
  <c r="AB509" i="1"/>
  <c r="G501" i="4" s="1"/>
  <c r="AB392" i="1"/>
  <c r="G384" i="4" s="1"/>
  <c r="AB535" i="1"/>
  <c r="G527" i="4" s="1"/>
  <c r="AB383" i="1"/>
  <c r="G375" i="4" s="1"/>
  <c r="AB272" i="1"/>
  <c r="G263" i="4" s="1"/>
  <c r="AB394" i="1"/>
  <c r="G386" i="4" s="1"/>
  <c r="AB553" i="1"/>
  <c r="G545" i="4" s="1"/>
  <c r="AB587" i="1"/>
  <c r="G579" i="4" s="1"/>
  <c r="AB563" i="1"/>
  <c r="G555" i="4" s="1"/>
  <c r="AB329" i="1"/>
  <c r="G320" i="4" s="1"/>
  <c r="AB597" i="1"/>
  <c r="G589" i="4" s="1"/>
  <c r="AB274" i="1"/>
  <c r="G265" i="4" s="1"/>
  <c r="AB454" i="1"/>
  <c r="G446" i="4" s="1"/>
  <c r="AB511" i="1"/>
  <c r="G503" i="4" s="1"/>
  <c r="AB537" i="1"/>
  <c r="G529" i="4" s="1"/>
  <c r="AB503" i="1"/>
  <c r="G495" i="4" s="1"/>
  <c r="AB264" i="1"/>
  <c r="G255" i="4" s="1"/>
  <c r="AB291" i="1"/>
  <c r="G282" i="4" s="1"/>
  <c r="AB376" i="1"/>
  <c r="G368" i="4" s="1"/>
  <c r="AB266" i="1"/>
  <c r="G257" i="4" s="1"/>
  <c r="AB466" i="1"/>
  <c r="G458" i="4" s="1"/>
  <c r="AB167" i="1"/>
  <c r="G158" i="4" s="1"/>
  <c r="AB114" i="1"/>
  <c r="G105" i="4" s="1"/>
  <c r="Z357" i="1"/>
  <c r="E349" i="4" s="1"/>
  <c r="Z107" i="1"/>
  <c r="E98" i="4" s="1"/>
  <c r="Z40" i="1"/>
  <c r="E31" i="4" s="1"/>
  <c r="Z114" i="1"/>
  <c r="E105" i="4" s="1"/>
  <c r="Z216" i="1"/>
  <c r="E207" i="4" s="1"/>
  <c r="Z229" i="1"/>
  <c r="E220" i="4" s="1"/>
  <c r="Z221" i="1"/>
  <c r="E212" i="4" s="1"/>
  <c r="Z170" i="1"/>
  <c r="E161" i="4" s="1"/>
  <c r="Z111" i="1"/>
  <c r="E102" i="4" s="1"/>
  <c r="Z186" i="1"/>
  <c r="E177" i="4" s="1"/>
  <c r="Z142" i="1"/>
  <c r="E133" i="4" s="1"/>
  <c r="Z157" i="1"/>
  <c r="E148" i="4" s="1"/>
  <c r="Z151" i="1"/>
  <c r="E142" i="4" s="1"/>
  <c r="Z232" i="1"/>
  <c r="E223" i="4" s="1"/>
  <c r="Z42" i="1"/>
  <c r="E33" i="4" s="1"/>
  <c r="Z12" i="1"/>
  <c r="E3" i="4" s="1"/>
  <c r="Z171" i="1"/>
  <c r="E162" i="4" s="1"/>
  <c r="Z194" i="1"/>
  <c r="E185" i="4" s="1"/>
  <c r="Z133" i="1"/>
  <c r="E124" i="4" s="1"/>
  <c r="Z147" i="1"/>
  <c r="E138" i="4" s="1"/>
  <c r="Z178" i="1"/>
  <c r="E169" i="4" s="1"/>
  <c r="Z200" i="1"/>
  <c r="E191" i="4" s="1"/>
  <c r="Z23" i="1"/>
  <c r="E14" i="4" s="1"/>
  <c r="Z85" i="1"/>
  <c r="E76" i="4" s="1"/>
  <c r="Z155" i="1"/>
  <c r="E146" i="4" s="1"/>
  <c r="Z93" i="1"/>
  <c r="E84" i="4" s="1"/>
  <c r="Z74" i="1"/>
  <c r="E65" i="4" s="1"/>
  <c r="Z88" i="1"/>
  <c r="E79" i="4" s="1"/>
  <c r="Z137" i="1"/>
  <c r="E128" i="4" s="1"/>
  <c r="Z217" i="1"/>
  <c r="E208" i="4" s="1"/>
  <c r="Z144" i="1"/>
  <c r="E135" i="4" s="1"/>
  <c r="Z238" i="1"/>
  <c r="E229" i="4" s="1"/>
  <c r="Z149" i="1"/>
  <c r="E140" i="4" s="1"/>
  <c r="Z46" i="1"/>
  <c r="E37" i="4" s="1"/>
  <c r="Z242" i="1"/>
  <c r="E233" i="4" s="1"/>
  <c r="Z109" i="1"/>
  <c r="E100" i="4" s="1"/>
  <c r="Z90" i="1"/>
  <c r="E81" i="4" s="1"/>
  <c r="Z44" i="1"/>
  <c r="E35" i="4" s="1"/>
  <c r="Z121" i="1"/>
  <c r="E112" i="4" s="1"/>
  <c r="Z208" i="1"/>
  <c r="E199" i="4" s="1"/>
  <c r="Z61" i="1"/>
  <c r="E52" i="4" s="1"/>
  <c r="Z176" i="1"/>
  <c r="E167" i="4" s="1"/>
  <c r="Z166" i="1"/>
  <c r="E157" i="4" s="1"/>
  <c r="Z30" i="1"/>
  <c r="E21" i="4" s="1"/>
  <c r="Z160" i="1"/>
  <c r="E151" i="4" s="1"/>
  <c r="Z180" i="1"/>
  <c r="E171" i="4" s="1"/>
  <c r="Z165" i="1"/>
  <c r="E156" i="4" s="1"/>
  <c r="Z127" i="1"/>
  <c r="E118" i="4" s="1"/>
  <c r="Z246" i="1"/>
  <c r="E237" i="4" s="1"/>
  <c r="Z26" i="1"/>
  <c r="E17" i="4" s="1"/>
  <c r="Z134" i="1"/>
  <c r="E125" i="4" s="1"/>
  <c r="Z220" i="1"/>
  <c r="E211" i="4" s="1"/>
  <c r="Z103" i="1"/>
  <c r="E94" i="4" s="1"/>
  <c r="Z71" i="1"/>
  <c r="E62" i="4" s="1"/>
  <c r="AC437" i="1"/>
  <c r="H429" i="4" s="1"/>
  <c r="AC422" i="1"/>
  <c r="H414" i="4" s="1"/>
  <c r="AC311" i="1"/>
  <c r="H302" i="4" s="1"/>
  <c r="AC510" i="1"/>
  <c r="H502" i="4" s="1"/>
  <c r="AC550" i="1"/>
  <c r="H542" i="4" s="1"/>
  <c r="AB462" i="1"/>
  <c r="G454" i="4" s="1"/>
  <c r="AB487" i="1"/>
  <c r="G479" i="4" s="1"/>
  <c r="AB399" i="1"/>
  <c r="G391" i="4" s="1"/>
  <c r="AB402" i="1"/>
  <c r="G394" i="4" s="1"/>
  <c r="AB319" i="1"/>
  <c r="G310" i="4" s="1"/>
  <c r="AB574" i="1"/>
  <c r="G566" i="4" s="1"/>
  <c r="AB458" i="1"/>
  <c r="G450" i="4" s="1"/>
  <c r="AB558" i="1"/>
  <c r="G550" i="4" s="1"/>
  <c r="AB331" i="1"/>
  <c r="G322" i="4" s="1"/>
  <c r="AB617" i="1"/>
  <c r="G346" i="4" s="1"/>
  <c r="AB562" i="1"/>
  <c r="G554" i="4" s="1"/>
  <c r="AB283" i="1"/>
  <c r="G274" i="4" s="1"/>
  <c r="AB252" i="1"/>
  <c r="G243" i="4" s="1"/>
  <c r="AB393" i="1"/>
  <c r="G385" i="4" s="1"/>
  <c r="AB554" i="1"/>
  <c r="G546" i="4" s="1"/>
  <c r="AB611" i="1"/>
  <c r="G603" i="4" s="1"/>
  <c r="AB596" i="1"/>
  <c r="G588" i="4" s="1"/>
  <c r="AB606" i="1"/>
  <c r="G598" i="4" s="1"/>
  <c r="AB525" i="1"/>
  <c r="G517" i="4" s="1"/>
  <c r="AB290" i="1"/>
  <c r="G281" i="4" s="1"/>
  <c r="AB336" i="1"/>
  <c r="G327" i="4" s="1"/>
  <c r="AB321" i="1"/>
  <c r="G312" i="4" s="1"/>
  <c r="AB356" i="1"/>
  <c r="G348" i="4" s="1"/>
  <c r="AB360" i="1"/>
  <c r="G352" i="4" s="1"/>
  <c r="AB496" i="1"/>
  <c r="G488" i="4" s="1"/>
  <c r="AB508" i="1"/>
  <c r="G500" i="4" s="1"/>
  <c r="AB521" i="1"/>
  <c r="G513" i="4" s="1"/>
  <c r="AB309" i="1"/>
  <c r="G300" i="4" s="1"/>
  <c r="AB577" i="1"/>
  <c r="G569" i="4" s="1"/>
  <c r="AB327" i="1"/>
  <c r="G318" i="4" s="1"/>
  <c r="AB379" i="1"/>
  <c r="G371" i="4" s="1"/>
  <c r="AB457" i="1"/>
  <c r="G449" i="4" s="1"/>
  <c r="AB395" i="1"/>
  <c r="G387" i="4" s="1"/>
  <c r="AB349" i="1"/>
  <c r="G340" i="4" s="1"/>
  <c r="AB270" i="1"/>
  <c r="G261" i="4" s="1"/>
  <c r="AB469" i="1"/>
  <c r="G461" i="4" s="1"/>
  <c r="AB569" i="1"/>
  <c r="G561" i="4" s="1"/>
  <c r="AB261" i="1"/>
  <c r="G252" i="4" s="1"/>
  <c r="AB556" i="1"/>
  <c r="G548" i="4" s="1"/>
  <c r="AB293" i="1"/>
  <c r="G284" i="4" s="1"/>
  <c r="AB358" i="1"/>
  <c r="G350" i="4" s="1"/>
  <c r="AB339" i="1"/>
  <c r="G330" i="4" s="1"/>
  <c r="AB333" i="1"/>
  <c r="G324" i="4" s="1"/>
  <c r="AB335" i="1"/>
  <c r="G326" i="4" s="1"/>
  <c r="AB388" i="1"/>
  <c r="G380" i="4" s="1"/>
  <c r="AB325" i="1"/>
  <c r="G316" i="4" s="1"/>
  <c r="AB555" i="1"/>
  <c r="G547" i="4" s="1"/>
  <c r="AB363" i="1"/>
  <c r="G355" i="4" s="1"/>
  <c r="AB366" i="1"/>
  <c r="G358" i="4" s="1"/>
  <c r="AB357" i="1"/>
  <c r="G349" i="4" s="1"/>
  <c r="AB472" i="1"/>
  <c r="G464" i="4" s="1"/>
  <c r="AB330" i="1"/>
  <c r="G321" i="4" s="1"/>
  <c r="AB526" i="1"/>
  <c r="G518" i="4" s="1"/>
  <c r="AB482" i="1"/>
  <c r="G474" i="4" s="1"/>
  <c r="AB610" i="1"/>
  <c r="G602" i="4" s="1"/>
  <c r="AB592" i="1"/>
  <c r="G584" i="4" s="1"/>
  <c r="AB495" i="1"/>
  <c r="G487" i="4" s="1"/>
  <c r="AB491" i="1"/>
  <c r="G483" i="4" s="1"/>
  <c r="AB301" i="1"/>
  <c r="G292" i="4" s="1"/>
  <c r="AB268" i="1"/>
  <c r="G259" i="4" s="1"/>
  <c r="AB586" i="1"/>
  <c r="G578" i="4" s="1"/>
  <c r="AB571" i="1"/>
  <c r="G563" i="4" s="1"/>
  <c r="AB380" i="1"/>
  <c r="G372" i="4" s="1"/>
  <c r="AB499" i="1"/>
  <c r="G491" i="4" s="1"/>
  <c r="AB628" i="1"/>
  <c r="AB365" i="1"/>
  <c r="G357" i="4" s="1"/>
  <c r="AB629" i="1"/>
  <c r="AB344" i="1"/>
  <c r="G335" i="4" s="1"/>
  <c r="AB364" i="1"/>
  <c r="G356" i="4" s="1"/>
  <c r="AB390" i="1"/>
  <c r="G382" i="4" s="1"/>
  <c r="AB590" i="1"/>
  <c r="G582" i="4" s="1"/>
  <c r="AB559" i="1"/>
  <c r="G551" i="4" s="1"/>
  <c r="AB501" i="1"/>
  <c r="G493" i="4" s="1"/>
  <c r="AB604" i="1"/>
  <c r="G596" i="4" s="1"/>
  <c r="AB498" i="1"/>
  <c r="G490" i="4" s="1"/>
  <c r="AB369" i="1"/>
  <c r="G361" i="4" s="1"/>
  <c r="AB389" i="1"/>
  <c r="G381" i="4" s="1"/>
  <c r="AB323" i="1"/>
  <c r="G314" i="4" s="1"/>
  <c r="AB306" i="1"/>
  <c r="G297" i="4" s="1"/>
  <c r="AB517" i="1"/>
  <c r="G509" i="4" s="1"/>
  <c r="AB583" i="1"/>
  <c r="G575" i="4" s="1"/>
  <c r="AB464" i="1"/>
  <c r="G456" i="4" s="1"/>
  <c r="AB354" i="1"/>
  <c r="G345" i="4" s="1"/>
  <c r="AB603" i="1"/>
  <c r="G595" i="4" s="1"/>
  <c r="AB489" i="1"/>
  <c r="G481" i="4" s="1"/>
  <c r="Y254" i="1"/>
  <c r="D245" i="4" s="1"/>
  <c r="AB490" i="1"/>
  <c r="G482" i="4" s="1"/>
  <c r="AB385" i="1"/>
  <c r="G377" i="4" s="1"/>
  <c r="AB584" i="1"/>
  <c r="G576" i="4" s="1"/>
  <c r="AB387" i="1"/>
  <c r="G379" i="4" s="1"/>
  <c r="P5" i="1"/>
  <c r="AD5" i="1"/>
  <c r="AA523" i="1" s="1"/>
  <c r="F515" i="4" s="1"/>
  <c r="Y356" i="1"/>
  <c r="D348" i="4" s="1"/>
  <c r="Y279" i="1"/>
  <c r="D270" i="4" s="1"/>
  <c r="Y604" i="1"/>
  <c r="D596" i="4" s="1"/>
  <c r="Y372" i="1"/>
  <c r="D364" i="4" s="1"/>
  <c r="Y563" i="1"/>
  <c r="D555" i="4" s="1"/>
  <c r="Y282" i="1"/>
  <c r="D273" i="4" s="1"/>
  <c r="Y461" i="1"/>
  <c r="D453" i="4" s="1"/>
  <c r="Y471" i="1"/>
  <c r="D463" i="4" s="1"/>
  <c r="Y401" i="1"/>
  <c r="D393" i="4" s="1"/>
  <c r="Y306" i="1"/>
  <c r="D297" i="4" s="1"/>
  <c r="Y489" i="1"/>
  <c r="D481" i="4" s="1"/>
  <c r="Y562" i="1"/>
  <c r="D554" i="4" s="1"/>
  <c r="Y319" i="1"/>
  <c r="D310" i="4" s="1"/>
  <c r="Y380" i="1"/>
  <c r="D372" i="4" s="1"/>
  <c r="Y581" i="1"/>
  <c r="D573" i="4" s="1"/>
  <c r="Y266" i="1"/>
  <c r="D257" i="4" s="1"/>
  <c r="Y346" i="1"/>
  <c r="D337" i="4" s="1"/>
  <c r="Y502" i="1"/>
  <c r="D494" i="4" s="1"/>
  <c r="Y537" i="1"/>
  <c r="D529" i="4" s="1"/>
  <c r="Y566" i="1"/>
  <c r="D558" i="4" s="1"/>
  <c r="Y454" i="1"/>
  <c r="D446" i="4" s="1"/>
  <c r="Y603" i="1"/>
  <c r="D595" i="4" s="1"/>
  <c r="Y308" i="1"/>
  <c r="D299" i="4" s="1"/>
  <c r="Y591" i="1"/>
  <c r="D583" i="4" s="1"/>
  <c r="Y507" i="1"/>
  <c r="D499" i="4" s="1"/>
  <c r="Y270" i="1"/>
  <c r="D261" i="4" s="1"/>
  <c r="Y371" i="1"/>
  <c r="D363" i="4" s="1"/>
  <c r="Y369" i="1"/>
  <c r="D361" i="4" s="1"/>
  <c r="Y505" i="1"/>
  <c r="D497" i="4" s="1"/>
  <c r="Y366" i="1"/>
  <c r="D358" i="4" s="1"/>
  <c r="Y573" i="1"/>
  <c r="D565" i="4" s="1"/>
  <c r="Y267" i="1"/>
  <c r="D258" i="4" s="1"/>
  <c r="Y376" i="1"/>
  <c r="D368" i="4" s="1"/>
  <c r="Y352" i="1"/>
  <c r="D343" i="4" s="1"/>
  <c r="Y584" i="1"/>
  <c r="D576" i="4" s="1"/>
  <c r="Y597" i="1"/>
  <c r="D589" i="4" s="1"/>
  <c r="Y329" i="1"/>
  <c r="D320" i="4" s="1"/>
  <c r="Y511" i="1"/>
  <c r="D503" i="4" s="1"/>
  <c r="Y464" i="1"/>
  <c r="D456" i="4" s="1"/>
  <c r="Y345" i="1"/>
  <c r="D336" i="4" s="1"/>
  <c r="Y332" i="1"/>
  <c r="D323" i="4" s="1"/>
  <c r="Y326" i="1"/>
  <c r="D317" i="4" s="1"/>
  <c r="Y546" i="1"/>
  <c r="D538" i="4" s="1"/>
  <c r="Y452" i="1"/>
  <c r="D444" i="4" s="1"/>
  <c r="Y613" i="1"/>
  <c r="D605" i="4" s="1"/>
  <c r="Y455" i="1"/>
  <c r="D447" i="4" s="1"/>
  <c r="Y543" i="1"/>
  <c r="D535" i="4" s="1"/>
  <c r="Y487" i="1"/>
  <c r="D479" i="4" s="1"/>
  <c r="Y365" i="1"/>
  <c r="D357" i="4" s="1"/>
  <c r="Y350" i="1"/>
  <c r="D341" i="4" s="1"/>
  <c r="Y325" i="1"/>
  <c r="D316" i="4" s="1"/>
  <c r="Y520" i="1"/>
  <c r="D512" i="4" s="1"/>
  <c r="Y554" i="1"/>
  <c r="D546" i="4" s="1"/>
  <c r="Y375" i="1"/>
  <c r="D367" i="4" s="1"/>
  <c r="Y358" i="1"/>
  <c r="D350" i="4" s="1"/>
  <c r="Y348" i="1"/>
  <c r="D339" i="4" s="1"/>
  <c r="Y479" i="1"/>
  <c r="D471" i="4" s="1"/>
  <c r="Y381" i="1"/>
  <c r="D373" i="4" s="1"/>
  <c r="Y264" i="1"/>
  <c r="D255" i="4" s="1"/>
  <c r="Y571" i="1"/>
  <c r="D563" i="4" s="1"/>
  <c r="Y374" i="1"/>
  <c r="D366" i="4" s="1"/>
  <c r="Y480" i="1"/>
  <c r="D472" i="4" s="1"/>
  <c r="Y616" i="1"/>
  <c r="D608" i="4" s="1"/>
  <c r="Y353" i="1"/>
  <c r="D344" i="4" s="1"/>
  <c r="Y531" i="1"/>
  <c r="D523" i="4" s="1"/>
  <c r="Y370" i="1"/>
  <c r="D362" i="4" s="1"/>
  <c r="Z396" i="1"/>
  <c r="E388" i="4" s="1"/>
  <c r="Z379" i="1"/>
  <c r="E371" i="4" s="1"/>
  <c r="Z570" i="1"/>
  <c r="E562" i="4" s="1"/>
  <c r="Z541" i="1"/>
  <c r="E533" i="4" s="1"/>
  <c r="Z465" i="1"/>
  <c r="E457" i="4" s="1"/>
  <c r="Z613" i="1"/>
  <c r="E605" i="4" s="1"/>
  <c r="Z616" i="1"/>
  <c r="E608" i="4" s="1"/>
  <c r="Z377" i="1"/>
  <c r="E369" i="4" s="1"/>
  <c r="Z277" i="1"/>
  <c r="E268" i="4" s="1"/>
  <c r="Z388" i="1"/>
  <c r="E380" i="4" s="1"/>
  <c r="Z569" i="1"/>
  <c r="E561" i="4" s="1"/>
  <c r="Z285" i="1"/>
  <c r="E276" i="4" s="1"/>
  <c r="Z337" i="1"/>
  <c r="E328" i="4" s="1"/>
  <c r="Z463" i="1"/>
  <c r="E455" i="4" s="1"/>
  <c r="Z480" i="1"/>
  <c r="E472" i="4" s="1"/>
  <c r="Z361" i="1"/>
  <c r="E353" i="4" s="1"/>
  <c r="Z536" i="1"/>
  <c r="E528" i="4" s="1"/>
  <c r="Z522" i="1"/>
  <c r="E514" i="4" s="1"/>
  <c r="Z615" i="1"/>
  <c r="E607" i="4" s="1"/>
  <c r="Z392" i="1"/>
  <c r="E384" i="4" s="1"/>
  <c r="Z587" i="1"/>
  <c r="E579" i="4" s="1"/>
  <c r="Z385" i="1"/>
  <c r="E377" i="4" s="1"/>
  <c r="Z614" i="1"/>
  <c r="E606" i="4" s="1"/>
  <c r="Z632" i="1"/>
  <c r="Z509" i="1"/>
  <c r="E501" i="4" s="1"/>
  <c r="Z466" i="1"/>
  <c r="E458" i="4" s="1"/>
  <c r="Z456" i="1"/>
  <c r="E448" i="4" s="1"/>
  <c r="Z531" i="1"/>
  <c r="E523" i="4" s="1"/>
  <c r="Z590" i="1"/>
  <c r="E582" i="4" s="1"/>
  <c r="Z289" i="1"/>
  <c r="E280" i="4" s="1"/>
  <c r="Z402" i="1"/>
  <c r="E394" i="4" s="1"/>
  <c r="Z329" i="1"/>
  <c r="E320" i="4" s="1"/>
  <c r="Z453" i="1"/>
  <c r="E445" i="4" s="1"/>
  <c r="Z538" i="1"/>
  <c r="E530" i="4" s="1"/>
  <c r="Z302" i="1"/>
  <c r="E293" i="4" s="1"/>
  <c r="Z501" i="1"/>
  <c r="E493" i="4" s="1"/>
  <c r="Z535" i="1"/>
  <c r="E527" i="4" s="1"/>
  <c r="Z398" i="1"/>
  <c r="E390" i="4" s="1"/>
  <c r="Z604" i="1"/>
  <c r="E596" i="4" s="1"/>
  <c r="Z617" i="1"/>
  <c r="E346" i="4" s="1"/>
  <c r="Z383" i="1"/>
  <c r="E375" i="4" s="1"/>
  <c r="Z264" i="1"/>
  <c r="E255" i="4" s="1"/>
  <c r="Z359" i="1"/>
  <c r="E351" i="4" s="1"/>
  <c r="Z391" i="1"/>
  <c r="E383" i="4" s="1"/>
  <c r="Z389" i="1"/>
  <c r="E381" i="4" s="1"/>
  <c r="Z372" i="1"/>
  <c r="E364" i="4" s="1"/>
  <c r="Z517" i="1"/>
  <c r="E509" i="4" s="1"/>
  <c r="Z460" i="1"/>
  <c r="E452" i="4" s="1"/>
  <c r="Z384" i="1"/>
  <c r="E376" i="4" s="1"/>
  <c r="Z451" i="1"/>
  <c r="E443" i="4" s="1"/>
  <c r="Z286" i="1"/>
  <c r="E277" i="4" s="1"/>
  <c r="Z368" i="1"/>
  <c r="E360" i="4" s="1"/>
  <c r="Z458" i="1"/>
  <c r="E450" i="4" s="1"/>
  <c r="Z306" i="1"/>
  <c r="E297" i="4" s="1"/>
  <c r="Z266" i="1"/>
  <c r="E257" i="4" s="1"/>
  <c r="Z579" i="1"/>
  <c r="E571" i="4" s="1"/>
  <c r="Z459" i="1"/>
  <c r="E451" i="4" s="1"/>
  <c r="Z281" i="1"/>
  <c r="E272" i="4" s="1"/>
  <c r="Z397" i="1"/>
  <c r="E389" i="4" s="1"/>
  <c r="Z545" i="1"/>
  <c r="E537" i="4" s="1"/>
  <c r="Z627" i="1"/>
  <c r="Z373" i="1"/>
  <c r="E365" i="4" s="1"/>
  <c r="Z334" i="1"/>
  <c r="E325" i="4" s="1"/>
  <c r="Z563" i="1"/>
  <c r="E555" i="4" s="1"/>
  <c r="Z251" i="1"/>
  <c r="E242" i="4" s="1"/>
  <c r="Z611" i="1"/>
  <c r="E603" i="4" s="1"/>
  <c r="Z494" i="1"/>
  <c r="E486" i="4" s="1"/>
  <c r="Z582" i="1"/>
  <c r="E574" i="4" s="1"/>
  <c r="Z371" i="1"/>
  <c r="E363" i="4" s="1"/>
  <c r="Z601" i="1"/>
  <c r="E593" i="4" s="1"/>
  <c r="Z503" i="1"/>
  <c r="E495" i="4" s="1"/>
  <c r="Z270" i="1"/>
  <c r="E261" i="4" s="1"/>
  <c r="Z367" i="1"/>
  <c r="E359" i="4" s="1"/>
  <c r="Z354" i="1"/>
  <c r="E345" i="4" s="1"/>
  <c r="Z320" i="1"/>
  <c r="E311" i="4" s="1"/>
  <c r="Z577" i="1"/>
  <c r="E569" i="4" s="1"/>
  <c r="Z360" i="1"/>
  <c r="E352" i="4" s="1"/>
  <c r="AA645" i="1"/>
  <c r="AA405" i="1"/>
  <c r="F397" i="4" s="1"/>
  <c r="AA621" i="1"/>
  <c r="AA419" i="1"/>
  <c r="F411" i="4" s="1"/>
  <c r="AA572" i="1"/>
  <c r="F564" i="4" s="1"/>
  <c r="AA310" i="1"/>
  <c r="F301" i="4" s="1"/>
  <c r="AC254" i="1"/>
  <c r="H245" i="4" s="1"/>
  <c r="AC294" i="1"/>
  <c r="H285" i="4" s="1"/>
  <c r="AC255" i="1"/>
  <c r="H246" i="4" s="1"/>
  <c r="AC572" i="1"/>
  <c r="H564" i="4" s="1"/>
  <c r="AC560" i="1"/>
  <c r="H552" i="4" s="1"/>
  <c r="AC473" i="1"/>
  <c r="H465" i="4" s="1"/>
  <c r="AC445" i="1"/>
  <c r="H437" i="4" s="1"/>
  <c r="AC297" i="1"/>
  <c r="H288" i="4" s="1"/>
  <c r="AC429" i="1"/>
  <c r="H421" i="4" s="1"/>
  <c r="AC317" i="1"/>
  <c r="H308" i="4" s="1"/>
  <c r="AC433" i="1"/>
  <c r="H425" i="4" s="1"/>
  <c r="AC484" i="1"/>
  <c r="H476" i="4" s="1"/>
  <c r="AC618" i="1"/>
  <c r="AC642" i="1"/>
  <c r="AC416" i="1"/>
  <c r="H408" i="4" s="1"/>
  <c r="AC249" i="1"/>
  <c r="H240" i="4" s="1"/>
  <c r="AC300" i="1"/>
  <c r="H291" i="4" s="1"/>
  <c r="AC441" i="1"/>
  <c r="H433" i="4" s="1"/>
  <c r="AC417" i="1"/>
  <c r="H409" i="4" s="1"/>
  <c r="AC474" i="1"/>
  <c r="H466" i="4" s="1"/>
  <c r="AC645" i="1"/>
  <c r="AC443" i="1"/>
  <c r="H435" i="4" s="1"/>
  <c r="AC407" i="1"/>
  <c r="H399" i="4" s="1"/>
  <c r="AC439" i="1"/>
  <c r="H431" i="4" s="1"/>
  <c r="AC497" i="1"/>
  <c r="H489" i="4" s="1"/>
  <c r="AC419" i="1"/>
  <c r="H411" i="4" s="1"/>
  <c r="AC635" i="1"/>
  <c r="AC447" i="1"/>
  <c r="H439" i="4" s="1"/>
  <c r="AC641" i="1"/>
  <c r="AC513" i="1"/>
  <c r="H505" i="4" s="1"/>
  <c r="AC524" i="1"/>
  <c r="H516" i="4" s="1"/>
  <c r="AC411" i="1"/>
  <c r="H403" i="4" s="1"/>
  <c r="AC296" i="1"/>
  <c r="H287" i="4" s="1"/>
  <c r="AC483" i="1"/>
  <c r="H475" i="4" s="1"/>
  <c r="AC450" i="1"/>
  <c r="H442" i="4" s="1"/>
  <c r="AC256" i="1"/>
  <c r="H247" i="4" s="1"/>
  <c r="AC316" i="1"/>
  <c r="H307" i="4" s="1"/>
  <c r="AC446" i="1"/>
  <c r="H438" i="4" s="1"/>
  <c r="AC435" i="1"/>
  <c r="H427" i="4" s="1"/>
  <c r="AC540" i="1"/>
  <c r="H532" i="4" s="1"/>
  <c r="AC432" i="1"/>
  <c r="H424" i="4" s="1"/>
  <c r="AC405" i="1"/>
  <c r="H397" i="4" s="1"/>
  <c r="AC403" i="1"/>
  <c r="AC575" i="1"/>
  <c r="H567" i="4" s="1"/>
  <c r="AC636" i="1"/>
  <c r="AC406" i="1"/>
  <c r="H398" i="4" s="1"/>
  <c r="AC639" i="1"/>
  <c r="AC486" i="1"/>
  <c r="H478" i="4" s="1"/>
  <c r="AC470" i="1"/>
  <c r="H462" i="4" s="1"/>
  <c r="AC436" i="1"/>
  <c r="H428" i="4" s="1"/>
  <c r="AC515" i="1"/>
  <c r="H507" i="4" s="1"/>
  <c r="AC552" i="1"/>
  <c r="H544" i="4" s="1"/>
  <c r="AC412" i="1"/>
  <c r="H404" i="4" s="1"/>
  <c r="AC551" i="1"/>
  <c r="H543" i="4" s="1"/>
  <c r="AC640" i="1"/>
  <c r="AC313" i="1"/>
  <c r="H304" i="4" s="1"/>
  <c r="AC431" i="1"/>
  <c r="H423" i="4" s="1"/>
  <c r="AC310" i="1"/>
  <c r="H301" i="4" s="1"/>
  <c r="AC567" i="1"/>
  <c r="H559" i="4" s="1"/>
  <c r="AC420" i="1"/>
  <c r="H412" i="4" s="1"/>
  <c r="Y544" i="1"/>
  <c r="D536" i="4" s="1"/>
  <c r="Y298" i="1"/>
  <c r="D289" i="4" s="1"/>
  <c r="Y441" i="1"/>
  <c r="D433" i="4" s="1"/>
  <c r="Y435" i="1"/>
  <c r="D427" i="4" s="1"/>
  <c r="Y575" i="1"/>
  <c r="D567" i="4" s="1"/>
  <c r="Y249" i="1"/>
  <c r="D240" i="4" s="1"/>
  <c r="Y408" i="1"/>
  <c r="D400" i="4" s="1"/>
  <c r="Y414" i="1"/>
  <c r="D406" i="4" s="1"/>
  <c r="Y510" i="1"/>
  <c r="D502" i="4" s="1"/>
  <c r="Y299" i="1"/>
  <c r="D290" i="4" s="1"/>
  <c r="Y446" i="1"/>
  <c r="D438" i="4" s="1"/>
  <c r="Y533" i="1"/>
  <c r="D525" i="4" s="1"/>
  <c r="Y296" i="1"/>
  <c r="D287" i="4" s="1"/>
  <c r="Y438" i="1"/>
  <c r="D430" i="4" s="1"/>
  <c r="Y527" i="1"/>
  <c r="D519" i="4" s="1"/>
  <c r="Y443" i="1"/>
  <c r="D435" i="4" s="1"/>
  <c r="Y647" i="1"/>
  <c r="Y486" i="1"/>
  <c r="D478" i="4" s="1"/>
  <c r="Y256" i="1"/>
  <c r="D247" i="4" s="1"/>
  <c r="Y422" i="1"/>
  <c r="D414" i="4" s="1"/>
  <c r="Y636" i="1"/>
  <c r="Y411" i="1"/>
  <c r="D403" i="4" s="1"/>
  <c r="Y576" i="1"/>
  <c r="D568" i="4" s="1"/>
  <c r="Y425" i="1"/>
  <c r="D417" i="4" s="1"/>
  <c r="Y430" i="1"/>
  <c r="D422" i="4" s="1"/>
  <c r="Y429" i="1"/>
  <c r="D421" i="4" s="1"/>
  <c r="Y643" i="1"/>
  <c r="Y426" i="1"/>
  <c r="D418" i="4" s="1"/>
  <c r="Y431" i="1"/>
  <c r="D423" i="4" s="1"/>
  <c r="Y551" i="1"/>
  <c r="D543" i="4" s="1"/>
  <c r="Y519" i="1"/>
  <c r="D511" i="4" s="1"/>
  <c r="Y572" i="1"/>
  <c r="D564" i="4" s="1"/>
  <c r="Y484" i="1"/>
  <c r="D476" i="4" s="1"/>
  <c r="Y448" i="1"/>
  <c r="D440" i="4" s="1"/>
  <c r="Y314" i="1"/>
  <c r="D305" i="4" s="1"/>
  <c r="Y419" i="1"/>
  <c r="D411" i="4" s="1"/>
  <c r="Y488" i="1"/>
  <c r="D480" i="4" s="1"/>
  <c r="Y407" i="1"/>
  <c r="D399" i="4" s="1"/>
  <c r="Y550" i="1"/>
  <c r="D542" i="4" s="1"/>
  <c r="Y316" i="1"/>
  <c r="D307" i="4" s="1"/>
  <c r="Y410" i="1"/>
  <c r="D402" i="4" s="1"/>
  <c r="Y439" i="1"/>
  <c r="D431" i="4" s="1"/>
  <c r="Y473" i="1"/>
  <c r="D465" i="4" s="1"/>
  <c r="Y540" i="1"/>
  <c r="D532" i="4" s="1"/>
  <c r="Y413" i="1"/>
  <c r="D405" i="4" s="1"/>
  <c r="Y297" i="1"/>
  <c r="D288" i="4" s="1"/>
  <c r="Y523" i="1"/>
  <c r="D515" i="4" s="1"/>
  <c r="Y312" i="1"/>
  <c r="D303" i="4" s="1"/>
  <c r="Y406" i="1"/>
  <c r="D398" i="4" s="1"/>
  <c r="Y418" i="1"/>
  <c r="D410" i="4" s="1"/>
  <c r="Y640" i="1"/>
  <c r="Y567" i="1"/>
  <c r="D559" i="4" s="1"/>
  <c r="Y447" i="1"/>
  <c r="D439" i="4" s="1"/>
  <c r="Y311" i="1"/>
  <c r="D302" i="4" s="1"/>
  <c r="Y317" i="1"/>
  <c r="D308" i="4" s="1"/>
  <c r="Y420" i="1"/>
  <c r="D412" i="4" s="1"/>
  <c r="Y450" i="1"/>
  <c r="D442" i="4" s="1"/>
  <c r="Y253" i="1"/>
  <c r="D244" i="4" s="1"/>
  <c r="Y258" i="1"/>
  <c r="D249" i="4" s="1"/>
  <c r="Y416" i="1"/>
  <c r="D408" i="4" s="1"/>
  <c r="Y648" i="1"/>
  <c r="Y409" i="1"/>
  <c r="D401" i="4" s="1"/>
  <c r="Y639" i="1"/>
  <c r="Y552" i="1"/>
  <c r="D544" i="4" s="1"/>
  <c r="Y564" i="1"/>
  <c r="D556" i="4" s="1"/>
  <c r="Y524" i="1"/>
  <c r="D516" i="4" s="1"/>
  <c r="Y427" i="1"/>
  <c r="D419" i="4" s="1"/>
  <c r="Y493" i="1"/>
  <c r="D485" i="4" s="1"/>
  <c r="Y442" i="1"/>
  <c r="D434" i="4" s="1"/>
  <c r="Y403" i="1"/>
  <c r="Y424" i="1"/>
  <c r="D416" i="4" s="1"/>
  <c r="Y635" i="1"/>
  <c r="Y440" i="1"/>
  <c r="D432" i="4" s="1"/>
  <c r="Y470" i="1"/>
  <c r="D462" i="4" s="1"/>
  <c r="Y645" i="1"/>
  <c r="Y516" i="1"/>
  <c r="D508" i="4" s="1"/>
  <c r="Y539" i="1"/>
  <c r="D531" i="4" s="1"/>
  <c r="Y404" i="1"/>
  <c r="D396" i="4" s="1"/>
  <c r="Y415" i="1"/>
  <c r="D407" i="4" s="1"/>
  <c r="Y549" i="1"/>
  <c r="D541" i="4" s="1"/>
  <c r="Y259" i="1"/>
  <c r="D250" i="4" s="1"/>
  <c r="Y417" i="1"/>
  <c r="D409" i="4" s="1"/>
  <c r="Y634" i="1"/>
  <c r="Y483" i="1"/>
  <c r="D475" i="4" s="1"/>
  <c r="Y642" i="1"/>
  <c r="Y449" i="1"/>
  <c r="D441" i="4" s="1"/>
  <c r="Y315" i="1"/>
  <c r="D306" i="4" s="1"/>
  <c r="Y294" i="1"/>
  <c r="D285" i="4" s="1"/>
  <c r="Y560" i="1"/>
  <c r="D552" i="4" s="1"/>
  <c r="Y255" i="1"/>
  <c r="D246" i="4" s="1"/>
  <c r="Y421" i="1"/>
  <c r="D413" i="4" s="1"/>
  <c r="Y618" i="1"/>
  <c r="Y313" i="1"/>
  <c r="D304" i="4" s="1"/>
  <c r="Y257" i="1"/>
  <c r="D248" i="4" s="1"/>
  <c r="Y250" i="1"/>
  <c r="D241" i="4" s="1"/>
  <c r="Y530" i="1"/>
  <c r="D522" i="4" s="1"/>
  <c r="Y428" i="1"/>
  <c r="D420" i="4" s="1"/>
  <c r="Y515" i="1"/>
  <c r="D507" i="4" s="1"/>
  <c r="Y513" i="1"/>
  <c r="D505" i="4" s="1"/>
  <c r="Y646" i="1"/>
  <c r="Y437" i="1"/>
  <c r="D429" i="4" s="1"/>
  <c r="Y310" i="1"/>
  <c r="D301" i="4" s="1"/>
  <c r="Y568" i="1"/>
  <c r="D560" i="4" s="1"/>
  <c r="Y641" i="1"/>
  <c r="Y412" i="1"/>
  <c r="D404" i="4" s="1"/>
  <c r="Y444" i="1"/>
  <c r="D436" i="4" s="1"/>
  <c r="Y432" i="1"/>
  <c r="D424" i="4" s="1"/>
  <c r="Y497" i="1"/>
  <c r="D489" i="4" s="1"/>
  <c r="Y436" i="1"/>
  <c r="D428" i="4" s="1"/>
  <c r="Y474" i="1"/>
  <c r="D466" i="4" s="1"/>
  <c r="Y445" i="1"/>
  <c r="D437" i="4" s="1"/>
  <c r="Y300" i="1"/>
  <c r="D291" i="4" s="1"/>
  <c r="Y405" i="1"/>
  <c r="D397" i="4" s="1"/>
  <c r="Y295" i="1"/>
  <c r="D286" i="4" s="1"/>
  <c r="AC428" i="1"/>
  <c r="H420" i="4" s="1"/>
  <c r="AC298" i="1"/>
  <c r="H289" i="4" s="1"/>
  <c r="AC564" i="1"/>
  <c r="H556" i="4" s="1"/>
  <c r="AC257" i="1"/>
  <c r="H248" i="4" s="1"/>
  <c r="AC576" i="1"/>
  <c r="H568" i="4" s="1"/>
  <c r="AC549" i="1"/>
  <c r="H541" i="4" s="1"/>
  <c r="AC544" i="1"/>
  <c r="H536" i="4" s="1"/>
  <c r="AC404" i="1"/>
  <c r="H396" i="4" s="1"/>
  <c r="AC253" i="1"/>
  <c r="H244" i="4" s="1"/>
  <c r="AC425" i="1"/>
  <c r="H417" i="4" s="1"/>
  <c r="AC634" i="1"/>
  <c r="AC493" i="1"/>
  <c r="H485" i="4" s="1"/>
  <c r="AC643" i="1"/>
  <c r="AC427" i="1"/>
  <c r="H419" i="4" s="1"/>
  <c r="AC516" i="1"/>
  <c r="H508" i="4" s="1"/>
  <c r="AC314" i="1"/>
  <c r="H305" i="4" s="1"/>
  <c r="AC315" i="1"/>
  <c r="H306" i="4" s="1"/>
  <c r="AC295" i="1"/>
  <c r="H286" i="4" s="1"/>
  <c r="AC648" i="1"/>
  <c r="AC312" i="1"/>
  <c r="H303" i="4" s="1"/>
  <c r="Y434" i="1"/>
  <c r="D426" i="4" s="1"/>
  <c r="Y621" i="1"/>
  <c r="AC258" i="1"/>
  <c r="H249" i="4" s="1"/>
  <c r="AC418" i="1"/>
  <c r="H410" i="4" s="1"/>
  <c r="AC430" i="1"/>
  <c r="H422" i="4" s="1"/>
  <c r="AC426" i="1"/>
  <c r="H418" i="4" s="1"/>
  <c r="AC299" i="1"/>
  <c r="H290" i="4" s="1"/>
  <c r="AC259" i="1"/>
  <c r="H250" i="4" s="1"/>
  <c r="AC644" i="1"/>
  <c r="AC539" i="1"/>
  <c r="H531" i="4" s="1"/>
  <c r="AC434" i="1"/>
  <c r="H426" i="4" s="1"/>
  <c r="AC408" i="1"/>
  <c r="H400" i="4" s="1"/>
  <c r="AC449" i="1"/>
  <c r="H441" i="4" s="1"/>
  <c r="AC421" i="1"/>
  <c r="H413" i="4" s="1"/>
  <c r="AC647" i="1"/>
  <c r="Y433" i="1"/>
  <c r="D425" i="4" s="1"/>
  <c r="AC530" i="1"/>
  <c r="H522" i="4" s="1"/>
  <c r="AC532" i="1"/>
  <c r="H524" i="4" s="1"/>
  <c r="AC568" i="1"/>
  <c r="H560" i="4" s="1"/>
  <c r="AC488" i="1"/>
  <c r="H480" i="4" s="1"/>
  <c r="AC442" i="1"/>
  <c r="H434" i="4" s="1"/>
  <c r="AC519" i="1"/>
  <c r="H511" i="4" s="1"/>
  <c r="AC440" i="1"/>
  <c r="H432" i="4" s="1"/>
  <c r="AC438" i="1"/>
  <c r="H430" i="4" s="1"/>
  <c r="AC646" i="1"/>
  <c r="AC448" i="1"/>
  <c r="H440" i="4" s="1"/>
  <c r="AC410" i="1"/>
  <c r="H402" i="4" s="1"/>
  <c r="AC423" i="1"/>
  <c r="H415" i="4" s="1"/>
  <c r="AC621" i="1"/>
  <c r="AC523" i="1"/>
  <c r="H515" i="4" s="1"/>
  <c r="Y644" i="1"/>
  <c r="Y532" i="1"/>
  <c r="D524" i="4" s="1"/>
  <c r="AC108" i="1"/>
  <c r="H99" i="4" s="1"/>
  <c r="Z96" i="1"/>
  <c r="E87" i="4" s="1"/>
  <c r="Z37" i="1"/>
  <c r="E28" i="4" s="1"/>
  <c r="Z62" i="1"/>
  <c r="E53" i="4" s="1"/>
  <c r="Z187" i="1"/>
  <c r="E178" i="4" s="1"/>
  <c r="Z106" i="1"/>
  <c r="E97" i="4" s="1"/>
  <c r="Z83" i="1"/>
  <c r="E74" i="4" s="1"/>
  <c r="Z231" i="1"/>
  <c r="E222" i="4" s="1"/>
  <c r="Z189" i="1"/>
  <c r="E180" i="4" s="1"/>
  <c r="Z20" i="1"/>
  <c r="E11" i="4" s="1"/>
  <c r="Z36" i="1"/>
  <c r="E27" i="4" s="1"/>
  <c r="Z53" i="1"/>
  <c r="E44" i="4" s="1"/>
  <c r="Z76" i="1"/>
  <c r="E67" i="4" s="1"/>
  <c r="Z86" i="1"/>
  <c r="E77" i="4" s="1"/>
  <c r="Z212" i="1"/>
  <c r="E203" i="4" s="1"/>
  <c r="Z28" i="1"/>
  <c r="E19" i="4" s="1"/>
  <c r="Z19" i="1"/>
  <c r="E10" i="4" s="1"/>
  <c r="Z32" i="1"/>
  <c r="E23" i="4" s="1"/>
  <c r="Z41" i="1"/>
  <c r="E32" i="4" s="1"/>
  <c r="Z60" i="1"/>
  <c r="E51" i="4" s="1"/>
  <c r="Z104" i="1"/>
  <c r="E95" i="4" s="1"/>
  <c r="Z150" i="1"/>
  <c r="E141" i="4" s="1"/>
  <c r="Z153" i="1"/>
  <c r="E144" i="4" s="1"/>
  <c r="Z154" i="1"/>
  <c r="E145" i="4" s="1"/>
  <c r="Z243" i="1"/>
  <c r="E234" i="4" s="1"/>
  <c r="Z22" i="1"/>
  <c r="E13" i="4" s="1"/>
  <c r="Z81" i="1"/>
  <c r="E72" i="4" s="1"/>
  <c r="Z182" i="1"/>
  <c r="E173" i="4" s="1"/>
  <c r="Z99" i="1"/>
  <c r="E90" i="4" s="1"/>
  <c r="Z227" i="1"/>
  <c r="E218" i="4" s="1"/>
  <c r="Z48" i="1"/>
  <c r="E39" i="4" s="1"/>
  <c r="Z73" i="1"/>
  <c r="E64" i="4" s="1"/>
  <c r="Z89" i="1"/>
  <c r="E80" i="4" s="1"/>
  <c r="Z113" i="1"/>
  <c r="E104" i="4" s="1"/>
  <c r="Z206" i="1"/>
  <c r="E197" i="4" s="1"/>
  <c r="Z230" i="1"/>
  <c r="E221" i="4" s="1"/>
  <c r="Z197" i="1"/>
  <c r="E188" i="4" s="1"/>
  <c r="Z100" i="1"/>
  <c r="E91" i="4" s="1"/>
  <c r="Z119" i="1"/>
  <c r="E110" i="4" s="1"/>
  <c r="Z65" i="1"/>
  <c r="E56" i="4" s="1"/>
  <c r="Z79" i="1"/>
  <c r="E70" i="4" s="1"/>
  <c r="Z92" i="1"/>
  <c r="E83" i="4" s="1"/>
  <c r="Z138" i="1"/>
  <c r="E129" i="4" s="1"/>
  <c r="Z141" i="1"/>
  <c r="E132" i="4" s="1"/>
  <c r="Z169" i="1"/>
  <c r="E160" i="4" s="1"/>
  <c r="Z179" i="1"/>
  <c r="E170" i="4" s="1"/>
  <c r="Z195" i="1"/>
  <c r="E186" i="4" s="1"/>
  <c r="Z201" i="1"/>
  <c r="E192" i="4" s="1"/>
  <c r="Z223" i="1"/>
  <c r="E214" i="4" s="1"/>
  <c r="Z237" i="1"/>
  <c r="E228" i="4" s="1"/>
  <c r="Z233" i="1"/>
  <c r="E224" i="4" s="1"/>
  <c r="Z158" i="1"/>
  <c r="E149" i="4" s="1"/>
  <c r="Z225" i="1"/>
  <c r="E216" i="4" s="1"/>
  <c r="Z202" i="1"/>
  <c r="E193" i="4" s="1"/>
  <c r="Z91" i="1"/>
  <c r="E82" i="4" s="1"/>
  <c r="Z94" i="1"/>
  <c r="E85" i="4" s="1"/>
  <c r="Z120" i="1"/>
  <c r="E111" i="4" s="1"/>
  <c r="Z132" i="1"/>
  <c r="E123" i="4" s="1"/>
  <c r="Z209" i="1"/>
  <c r="E200" i="4" s="1"/>
  <c r="Z177" i="1"/>
  <c r="E168" i="4" s="1"/>
  <c r="Z125" i="1"/>
  <c r="E116" i="4" s="1"/>
  <c r="Z54" i="1"/>
  <c r="E45" i="4" s="1"/>
  <c r="Z181" i="1"/>
  <c r="E172" i="4" s="1"/>
  <c r="Z235" i="1"/>
  <c r="E226" i="4" s="1"/>
  <c r="Z31" i="1"/>
  <c r="E22" i="4" s="1"/>
  <c r="Z222" i="1"/>
  <c r="E213" i="4" s="1"/>
  <c r="Z145" i="1"/>
  <c r="E136" i="4" s="1"/>
  <c r="Z55" i="1"/>
  <c r="E46" i="4" s="1"/>
  <c r="Z70" i="1"/>
  <c r="E61" i="4" s="1"/>
  <c r="Z39" i="1"/>
  <c r="E30" i="4" s="1"/>
  <c r="Z167" i="1"/>
  <c r="E158" i="4" s="1"/>
  <c r="Z57" i="1"/>
  <c r="E48" i="4" s="1"/>
  <c r="Z239" i="1"/>
  <c r="E230" i="4" s="1"/>
  <c r="Z35" i="1"/>
  <c r="E26" i="4" s="1"/>
  <c r="Z50" i="1"/>
  <c r="E41" i="4" s="1"/>
  <c r="Z124" i="1"/>
  <c r="E115" i="4" s="1"/>
  <c r="Z175" i="1"/>
  <c r="E166" i="4" s="1"/>
  <c r="Z191" i="1"/>
  <c r="E182" i="4" s="1"/>
  <c r="Z218" i="1"/>
  <c r="E209" i="4" s="1"/>
  <c r="Z112" i="1"/>
  <c r="E103" i="4" s="1"/>
  <c r="Z247" i="1"/>
  <c r="E238" i="4" s="1"/>
  <c r="Z24" i="1"/>
  <c r="E15" i="4" s="1"/>
  <c r="Z140" i="1"/>
  <c r="E131" i="4" s="1"/>
  <c r="Z110" i="1"/>
  <c r="E101" i="4" s="1"/>
  <c r="Z87" i="1"/>
  <c r="E78" i="4" s="1"/>
  <c r="Z228" i="1"/>
  <c r="E219" i="4" s="1"/>
  <c r="Z115" i="1"/>
  <c r="E106" i="4" s="1"/>
  <c r="Z13" i="1"/>
  <c r="E4" i="4" s="1"/>
  <c r="Z43" i="1"/>
  <c r="E34" i="4" s="1"/>
  <c r="Z148" i="1"/>
  <c r="E139" i="4" s="1"/>
  <c r="Z108" i="1"/>
  <c r="E99" i="4" s="1"/>
  <c r="Z207" i="1"/>
  <c r="E198" i="4" s="1"/>
  <c r="Z84" i="1"/>
  <c r="E75" i="4" s="1"/>
  <c r="Z77" i="1"/>
  <c r="E68" i="4" s="1"/>
  <c r="Z130" i="1"/>
  <c r="E121" i="4" s="1"/>
  <c r="Z161" i="1"/>
  <c r="E152" i="4" s="1"/>
  <c r="Z190" i="1"/>
  <c r="E181" i="4" s="1"/>
  <c r="Z63" i="1"/>
  <c r="E54" i="4" s="1"/>
  <c r="Z185" i="1"/>
  <c r="E176" i="4" s="1"/>
  <c r="Z215" i="1"/>
  <c r="E206" i="4" s="1"/>
  <c r="Z163" i="1"/>
  <c r="E154" i="4" s="1"/>
  <c r="Z173" i="1"/>
  <c r="E164" i="4" s="1"/>
  <c r="Z199" i="1"/>
  <c r="E190" i="4" s="1"/>
  <c r="Z122" i="1"/>
  <c r="E113" i="4" s="1"/>
  <c r="Z15" i="1"/>
  <c r="E6" i="4" s="1"/>
  <c r="Z17" i="1"/>
  <c r="E8" i="4" s="1"/>
  <c r="Z183" i="1"/>
  <c r="E174" i="4" s="1"/>
  <c r="Z27" i="1"/>
  <c r="E18" i="4" s="1"/>
  <c r="Z136" i="1"/>
  <c r="E127" i="4" s="1"/>
  <c r="Z152" i="1"/>
  <c r="E143" i="4" s="1"/>
  <c r="Z58" i="1"/>
  <c r="E49" i="4" s="1"/>
  <c r="Z33" i="1"/>
  <c r="E24" i="4" s="1"/>
  <c r="Z128" i="1"/>
  <c r="E119" i="4" s="1"/>
  <c r="Z226" i="1"/>
  <c r="E217" i="4" s="1"/>
  <c r="Z241" i="1"/>
  <c r="E232" i="4" s="1"/>
  <c r="Z68" i="1"/>
  <c r="E59" i="4" s="1"/>
  <c r="Z162" i="1"/>
  <c r="E153" i="4" s="1"/>
  <c r="Z38" i="1"/>
  <c r="E29" i="4" s="1"/>
  <c r="Z205" i="1"/>
  <c r="E196" i="4" s="1"/>
  <c r="Z219" i="1"/>
  <c r="E210" i="4" s="1"/>
  <c r="Z52" i="1"/>
  <c r="E43" i="4" s="1"/>
  <c r="Z116" i="1"/>
  <c r="E107" i="4" s="1"/>
  <c r="Z34" i="1"/>
  <c r="E25" i="4" s="1"/>
  <c r="Z80" i="1"/>
  <c r="E71" i="4" s="1"/>
  <c r="Z211" i="1"/>
  <c r="E202" i="4" s="1"/>
  <c r="Z164" i="1"/>
  <c r="E155" i="4" s="1"/>
  <c r="Z188" i="1"/>
  <c r="E179" i="4" s="1"/>
  <c r="Z64" i="1"/>
  <c r="E55" i="4" s="1"/>
  <c r="Z49" i="1"/>
  <c r="E40" i="4" s="1"/>
  <c r="Z75" i="1"/>
  <c r="E66" i="4" s="1"/>
  <c r="AF5" i="1"/>
  <c r="P3" i="1"/>
  <c r="AB184" i="1"/>
  <c r="G175" i="4" s="1"/>
  <c r="AB58" i="1"/>
  <c r="G49" i="4" s="1"/>
  <c r="AB135" i="1"/>
  <c r="G126" i="4" s="1"/>
  <c r="AB162" i="1"/>
  <c r="G153" i="4" s="1"/>
  <c r="AB139" i="1"/>
  <c r="G130" i="4" s="1"/>
  <c r="AB64" i="1"/>
  <c r="G55" i="4" s="1"/>
  <c r="AB128" i="1"/>
  <c r="G119" i="4" s="1"/>
  <c r="AB186" i="1"/>
  <c r="G177" i="4" s="1"/>
  <c r="AB102" i="1"/>
  <c r="G93" i="4" s="1"/>
  <c r="AB18" i="1"/>
  <c r="G9" i="4" s="1"/>
  <c r="AB166" i="1"/>
  <c r="G157" i="4" s="1"/>
  <c r="AB75" i="1"/>
  <c r="G66" i="4" s="1"/>
  <c r="AB204" i="1"/>
  <c r="G195" i="4" s="1"/>
  <c r="AB78" i="1"/>
  <c r="G69" i="4" s="1"/>
  <c r="AB44" i="1"/>
  <c r="G35" i="4" s="1"/>
  <c r="AB88" i="1"/>
  <c r="G79" i="4" s="1"/>
  <c r="AB151" i="1"/>
  <c r="G142" i="4" s="1"/>
  <c r="AB47" i="1"/>
  <c r="G38" i="4" s="1"/>
  <c r="AB238" i="1"/>
  <c r="G229" i="4" s="1"/>
  <c r="AB245" i="1"/>
  <c r="G236" i="4" s="1"/>
  <c r="AB168" i="1"/>
  <c r="G159" i="4" s="1"/>
  <c r="AB157" i="1"/>
  <c r="G148" i="4" s="1"/>
  <c r="AB116" i="1"/>
  <c r="G107" i="4" s="1"/>
  <c r="AB219" i="1"/>
  <c r="G210" i="4" s="1"/>
  <c r="AB30" i="1"/>
  <c r="G21" i="4" s="1"/>
  <c r="AB200" i="1"/>
  <c r="G191" i="4" s="1"/>
  <c r="AB14" i="1"/>
  <c r="G5" i="4" s="1"/>
  <c r="AB229" i="1"/>
  <c r="G220" i="4" s="1"/>
  <c r="AB164" i="1"/>
  <c r="G155" i="4" s="1"/>
  <c r="AB34" i="1"/>
  <c r="G25" i="4" s="1"/>
  <c r="AB129" i="1"/>
  <c r="G120" i="4" s="1"/>
  <c r="AB97" i="1"/>
  <c r="G88" i="4" s="1"/>
  <c r="AB74" i="1"/>
  <c r="G65" i="4" s="1"/>
  <c r="AB121" i="1"/>
  <c r="G112" i="4" s="1"/>
  <c r="AB49" i="1"/>
  <c r="G40" i="4" s="1"/>
  <c r="AB90" i="1"/>
  <c r="G81" i="4" s="1"/>
  <c r="AB244" i="1"/>
  <c r="G235" i="4" s="1"/>
  <c r="AB155" i="1"/>
  <c r="G146" i="4" s="1"/>
  <c r="AB93" i="1"/>
  <c r="G84" i="4" s="1"/>
  <c r="AB198" i="1"/>
  <c r="G189" i="4" s="1"/>
  <c r="AB131" i="1"/>
  <c r="G122" i="4" s="1"/>
  <c r="AB214" i="1"/>
  <c r="G205" i="4" s="1"/>
  <c r="AB242" i="1"/>
  <c r="G233" i="4" s="1"/>
  <c r="AB29" i="1"/>
  <c r="G20" i="4" s="1"/>
  <c r="AB221" i="1"/>
  <c r="G212" i="4" s="1"/>
  <c r="AB11" i="1"/>
  <c r="G2" i="4" s="1"/>
  <c r="AB69" i="1"/>
  <c r="G60" i="4" s="1"/>
  <c r="AB178" i="1"/>
  <c r="G169" i="4" s="1"/>
  <c r="AB16" i="1"/>
  <c r="G7" i="4" s="1"/>
  <c r="AB111" i="1"/>
  <c r="G102" i="4" s="1"/>
  <c r="AB42" i="1"/>
  <c r="G33" i="4" s="1"/>
  <c r="AB180" i="1"/>
  <c r="G171" i="4" s="1"/>
  <c r="AB248" i="1"/>
  <c r="G239" i="4" s="1"/>
  <c r="AB95" i="1"/>
  <c r="G86" i="4" s="1"/>
  <c r="AB172" i="1"/>
  <c r="G163" i="4" s="1"/>
  <c r="AB21" i="1"/>
  <c r="G12" i="4" s="1"/>
  <c r="AB224" i="1"/>
  <c r="G215" i="4" s="1"/>
  <c r="AB59" i="1"/>
  <c r="G50" i="4" s="1"/>
  <c r="AB217" i="1"/>
  <c r="G208" i="4" s="1"/>
  <c r="AB194" i="1"/>
  <c r="G185" i="4" s="1"/>
  <c r="AB23" i="1"/>
  <c r="G14" i="4" s="1"/>
  <c r="AB61" i="1"/>
  <c r="G52" i="4" s="1"/>
  <c r="AB240" i="1"/>
  <c r="G231" i="4" s="1"/>
  <c r="AB188" i="1"/>
  <c r="G179" i="4" s="1"/>
  <c r="AB174" i="1"/>
  <c r="G165" i="4" s="1"/>
  <c r="AB109" i="1"/>
  <c r="G100" i="4" s="1"/>
  <c r="AB12" i="1"/>
  <c r="G3" i="4" s="1"/>
  <c r="AB56" i="1"/>
  <c r="G47" i="4" s="1"/>
  <c r="AB176" i="1"/>
  <c r="G167" i="4" s="1"/>
  <c r="AB107" i="1"/>
  <c r="G98" i="4" s="1"/>
  <c r="AB232" i="1"/>
  <c r="G223" i="4" s="1"/>
  <c r="AB137" i="1"/>
  <c r="G128" i="4" s="1"/>
  <c r="AB38" i="1"/>
  <c r="G29" i="4" s="1"/>
  <c r="AB146" i="1"/>
  <c r="G137" i="4" s="1"/>
  <c r="AB210" i="1"/>
  <c r="G201" i="4" s="1"/>
  <c r="AB25" i="1"/>
  <c r="G16" i="4" s="1"/>
  <c r="AB149" i="1"/>
  <c r="G140" i="4" s="1"/>
  <c r="AB67" i="1"/>
  <c r="G58" i="4" s="1"/>
  <c r="AB226" i="1"/>
  <c r="G217" i="4" s="1"/>
  <c r="AB82" i="1"/>
  <c r="G73" i="4" s="1"/>
  <c r="AB46" i="1"/>
  <c r="G37" i="4" s="1"/>
  <c r="AB203" i="1"/>
  <c r="G194" i="4" s="1"/>
  <c r="AB170" i="1"/>
  <c r="G161" i="4" s="1"/>
  <c r="AB123" i="1"/>
  <c r="G114" i="4" s="1"/>
  <c r="AB33" i="1"/>
  <c r="G24" i="4" s="1"/>
  <c r="AB159" i="1"/>
  <c r="G150" i="4" s="1"/>
  <c r="AB196" i="1"/>
  <c r="G187" i="4" s="1"/>
  <c r="AB117" i="1"/>
  <c r="G108" i="4" s="1"/>
  <c r="AB65" i="1"/>
  <c r="G56" i="4" s="1"/>
  <c r="AB41" i="1"/>
  <c r="G32" i="4" s="1"/>
  <c r="AB68" i="1"/>
  <c r="G59" i="4" s="1"/>
  <c r="AB40" i="1"/>
  <c r="G31" i="4" s="1"/>
  <c r="AB160" i="1"/>
  <c r="G151" i="4" s="1"/>
  <c r="AB144" i="1"/>
  <c r="G135" i="4" s="1"/>
  <c r="AB205" i="1"/>
  <c r="G196" i="4" s="1"/>
  <c r="AB142" i="1"/>
  <c r="G133" i="4" s="1"/>
  <c r="AB140" i="1"/>
  <c r="G131" i="4" s="1"/>
  <c r="AB213" i="1"/>
  <c r="G204" i="4" s="1"/>
  <c r="AB124" i="1"/>
  <c r="G115" i="4" s="1"/>
  <c r="AB225" i="1"/>
  <c r="G216" i="4" s="1"/>
  <c r="AB231" i="1"/>
  <c r="G222" i="4" s="1"/>
  <c r="AB125" i="1"/>
  <c r="G116" i="4" s="1"/>
  <c r="AB92" i="1"/>
  <c r="G83" i="4" s="1"/>
  <c r="AB169" i="1"/>
  <c r="G160" i="4" s="1"/>
  <c r="AB175" i="1"/>
  <c r="G166" i="4" s="1"/>
  <c r="AB185" i="1"/>
  <c r="G176" i="4" s="1"/>
  <c r="AB193" i="1"/>
  <c r="G184" i="4" s="1"/>
  <c r="AB201" i="1"/>
  <c r="G192" i="4" s="1"/>
  <c r="AB223" i="1"/>
  <c r="G214" i="4" s="1"/>
  <c r="AB237" i="1"/>
  <c r="G228" i="4" s="1"/>
  <c r="AB233" i="1"/>
  <c r="G224" i="4" s="1"/>
  <c r="AB222" i="1"/>
  <c r="G213" i="4" s="1"/>
  <c r="AB158" i="1"/>
  <c r="G149" i="4" s="1"/>
  <c r="AB202" i="1"/>
  <c r="G193" i="4" s="1"/>
  <c r="AB112" i="1"/>
  <c r="G103" i="4" s="1"/>
  <c r="AB55" i="1"/>
  <c r="G46" i="4" s="1"/>
  <c r="AB152" i="1"/>
  <c r="G143" i="4" s="1"/>
  <c r="AB28" i="1"/>
  <c r="G19" i="4" s="1"/>
  <c r="AB27" i="1"/>
  <c r="G18" i="4" s="1"/>
  <c r="AB134" i="1"/>
  <c r="G125" i="4" s="1"/>
  <c r="AB141" i="1"/>
  <c r="G132" i="4" s="1"/>
  <c r="AB177" i="1"/>
  <c r="G168" i="4" s="1"/>
  <c r="AB103" i="1"/>
  <c r="G94" i="4" s="1"/>
  <c r="AB216" i="1"/>
  <c r="G207" i="4" s="1"/>
  <c r="AB192" i="1"/>
  <c r="G183" i="4" s="1"/>
  <c r="AB105" i="1"/>
  <c r="G96" i="4" s="1"/>
  <c r="AB118" i="1"/>
  <c r="G109" i="4" s="1"/>
  <c r="AB96" i="1"/>
  <c r="G87" i="4" s="1"/>
  <c r="AB120" i="1"/>
  <c r="G111" i="4" s="1"/>
  <c r="AB132" i="1"/>
  <c r="G123" i="4" s="1"/>
  <c r="AB51" i="1"/>
  <c r="G42" i="4" s="1"/>
  <c r="AB115" i="1"/>
  <c r="G106" i="4" s="1"/>
  <c r="AB53" i="1"/>
  <c r="G44" i="4" s="1"/>
  <c r="AB87" i="1"/>
  <c r="G78" i="4" s="1"/>
  <c r="AB148" i="1"/>
  <c r="G139" i="4" s="1"/>
  <c r="AB153" i="1"/>
  <c r="G144" i="4" s="1"/>
  <c r="AB241" i="1"/>
  <c r="G232" i="4" s="1"/>
  <c r="AB228" i="1"/>
  <c r="G219" i="4" s="1"/>
  <c r="AB165" i="1"/>
  <c r="G156" i="4" s="1"/>
  <c r="AB182" i="1"/>
  <c r="G173" i="4" s="1"/>
  <c r="AB63" i="1"/>
  <c r="G54" i="4" s="1"/>
  <c r="AB81" i="1"/>
  <c r="G72" i="4" s="1"/>
  <c r="AB122" i="1"/>
  <c r="G113" i="4" s="1"/>
  <c r="AB45" i="1"/>
  <c r="G36" i="4" s="1"/>
  <c r="AB17" i="1"/>
  <c r="G8" i="4" s="1"/>
  <c r="AB36" i="1"/>
  <c r="G27" i="4" s="1"/>
  <c r="AB48" i="1"/>
  <c r="G39" i="4" s="1"/>
  <c r="AB73" i="1"/>
  <c r="G64" i="4" s="1"/>
  <c r="AB156" i="1"/>
  <c r="G147" i="4" s="1"/>
  <c r="AB173" i="1"/>
  <c r="G164" i="4" s="1"/>
  <c r="AB206" i="1"/>
  <c r="G197" i="4" s="1"/>
  <c r="AB22" i="1"/>
  <c r="G13" i="4" s="1"/>
  <c r="AB187" i="1"/>
  <c r="G178" i="4" s="1"/>
  <c r="AB86" i="1"/>
  <c r="G77" i="4" s="1"/>
  <c r="AB80" i="1"/>
  <c r="G71" i="4" s="1"/>
  <c r="AB101" i="1"/>
  <c r="G92" i="4" s="1"/>
  <c r="AB234" i="1"/>
  <c r="G225" i="4" s="1"/>
  <c r="AB85" i="1"/>
  <c r="G76" i="4" s="1"/>
  <c r="AB72" i="1"/>
  <c r="G63" i="4" s="1"/>
  <c r="AB171" i="1"/>
  <c r="G162" i="4" s="1"/>
  <c r="AB212" i="1"/>
  <c r="G203" i="4" s="1"/>
  <c r="AB32" i="1"/>
  <c r="G23" i="4" s="1"/>
  <c r="AB37" i="1"/>
  <c r="G28" i="4" s="1"/>
  <c r="AB110" i="1"/>
  <c r="G101" i="4" s="1"/>
  <c r="AB150" i="1"/>
  <c r="G141" i="4" s="1"/>
  <c r="AB154" i="1"/>
  <c r="G145" i="4" s="1"/>
  <c r="AB211" i="1"/>
  <c r="G202" i="4" s="1"/>
  <c r="AB243" i="1"/>
  <c r="G234" i="4" s="1"/>
  <c r="AB99" i="1"/>
  <c r="G90" i="4" s="1"/>
  <c r="AB106" i="1"/>
  <c r="G97" i="4" s="1"/>
  <c r="AB89" i="1"/>
  <c r="G80" i="4" s="1"/>
  <c r="AB136" i="1"/>
  <c r="G127" i="4" s="1"/>
  <c r="AB220" i="1"/>
  <c r="G211" i="4" s="1"/>
  <c r="AB60" i="1"/>
  <c r="G51" i="4" s="1"/>
  <c r="AB100" i="1"/>
  <c r="G91" i="4" s="1"/>
  <c r="AB138" i="1"/>
  <c r="G129" i="4" s="1"/>
  <c r="AB161" i="1"/>
  <c r="G152" i="4" s="1"/>
  <c r="AB179" i="1"/>
  <c r="G170" i="4" s="1"/>
  <c r="AB190" i="1"/>
  <c r="G181" i="4" s="1"/>
  <c r="AB191" i="1"/>
  <c r="G182" i="4" s="1"/>
  <c r="AB218" i="1"/>
  <c r="G209" i="4" s="1"/>
  <c r="AB246" i="1"/>
  <c r="G237" i="4" s="1"/>
  <c r="AB98" i="1"/>
  <c r="G89" i="4" s="1"/>
  <c r="AB227" i="1"/>
  <c r="G218" i="4" s="1"/>
  <c r="AB26" i="1"/>
  <c r="G17" i="4" s="1"/>
  <c r="AB247" i="1"/>
  <c r="G238" i="4" s="1"/>
  <c r="AB15" i="1"/>
  <c r="G6" i="4" s="1"/>
  <c r="AB66" i="1"/>
  <c r="G57" i="4" s="1"/>
  <c r="AB94" i="1"/>
  <c r="G85" i="4" s="1"/>
  <c r="AB130" i="1"/>
  <c r="G121" i="4" s="1"/>
  <c r="AB183" i="1"/>
  <c r="G174" i="4" s="1"/>
  <c r="AB24" i="1"/>
  <c r="G15" i="4" s="1"/>
  <c r="AB236" i="1"/>
  <c r="G227" i="4" s="1"/>
  <c r="AB133" i="1"/>
  <c r="G124" i="4" s="1"/>
  <c r="AB62" i="1"/>
  <c r="G53" i="4" s="1"/>
  <c r="AB19" i="1"/>
  <c r="G10" i="4" s="1"/>
  <c r="AB104" i="1"/>
  <c r="G95" i="4" s="1"/>
  <c r="AB71" i="1"/>
  <c r="G62" i="4" s="1"/>
  <c r="AB143" i="1"/>
  <c r="G134" i="4" s="1"/>
  <c r="AB199" i="1"/>
  <c r="G190" i="4" s="1"/>
  <c r="AB189" i="1"/>
  <c r="G180" i="4" s="1"/>
  <c r="AB195" i="1"/>
  <c r="G186" i="4" s="1"/>
  <c r="AB235" i="1"/>
  <c r="G226" i="4" s="1"/>
  <c r="AB91" i="1"/>
  <c r="G82" i="4" s="1"/>
  <c r="AB70" i="1"/>
  <c r="G61" i="4" s="1"/>
  <c r="AB77" i="1"/>
  <c r="G68" i="4" s="1"/>
  <c r="AB127" i="1"/>
  <c r="G118" i="4" s="1"/>
  <c r="AB84" i="1"/>
  <c r="G75" i="4" s="1"/>
  <c r="AB79" i="1"/>
  <c r="G70" i="4" s="1"/>
  <c r="AB239" i="1"/>
  <c r="G230" i="4" s="1"/>
  <c r="AB35" i="1"/>
  <c r="G26" i="4" s="1"/>
  <c r="AB207" i="1"/>
  <c r="G198" i="4" s="1"/>
  <c r="AB20" i="1"/>
  <c r="G11" i="4" s="1"/>
  <c r="AB108" i="1"/>
  <c r="G99" i="4" s="1"/>
  <c r="AB39" i="1"/>
  <c r="G30" i="4" s="1"/>
  <c r="AB181" i="1"/>
  <c r="G172" i="4" s="1"/>
  <c r="AB145" i="1"/>
  <c r="G136" i="4" s="1"/>
  <c r="AB43" i="1"/>
  <c r="G34" i="4" s="1"/>
  <c r="AB52" i="1"/>
  <c r="G43" i="4" s="1"/>
  <c r="AB76" i="1"/>
  <c r="G67" i="4" s="1"/>
  <c r="AB31" i="1"/>
  <c r="G22" i="4" s="1"/>
  <c r="AB119" i="1"/>
  <c r="G110" i="4" s="1"/>
  <c r="AB126" i="1"/>
  <c r="G117" i="4" s="1"/>
  <c r="AB209" i="1"/>
  <c r="G200" i="4" s="1"/>
  <c r="Z554" i="1"/>
  <c r="E546" i="4" s="1"/>
  <c r="Z520" i="1"/>
  <c r="E512" i="4" s="1"/>
  <c r="Z275" i="1"/>
  <c r="E266" i="4" s="1"/>
  <c r="Z322" i="1"/>
  <c r="E313" i="4" s="1"/>
  <c r="Z558" i="1"/>
  <c r="E550" i="4" s="1"/>
  <c r="Z395" i="1"/>
  <c r="E387" i="4" s="1"/>
  <c r="Z325" i="1"/>
  <c r="E316" i="4" s="1"/>
  <c r="Z347" i="1"/>
  <c r="E338" i="4" s="1"/>
  <c r="Z318" i="1"/>
  <c r="E309" i="4" s="1"/>
  <c r="Z323" i="1"/>
  <c r="E314" i="4" s="1"/>
  <c r="Z592" i="1"/>
  <c r="E584" i="4" s="1"/>
  <c r="Z631" i="1"/>
  <c r="Z271" i="1"/>
  <c r="E262" i="4" s="1"/>
  <c r="Z358" i="1"/>
  <c r="E350" i="4" s="1"/>
  <c r="Z284" i="1"/>
  <c r="E275" i="4" s="1"/>
  <c r="Z252" i="1"/>
  <c r="E243" i="4" s="1"/>
  <c r="Z332" i="1"/>
  <c r="E323" i="4" s="1"/>
  <c r="Z505" i="1"/>
  <c r="E497" i="4" s="1"/>
  <c r="Z608" i="1"/>
  <c r="E600" i="4" s="1"/>
  <c r="Z508" i="1"/>
  <c r="E500" i="4" s="1"/>
  <c r="Z602" i="1"/>
  <c r="E594" i="4" s="1"/>
  <c r="Z548" i="1"/>
  <c r="E540" i="4" s="1"/>
  <c r="Z481" i="1"/>
  <c r="E473" i="4" s="1"/>
  <c r="Z479" i="1"/>
  <c r="E471" i="4" s="1"/>
  <c r="Z338" i="1"/>
  <c r="E329" i="4" s="1"/>
  <c r="Z356" i="1"/>
  <c r="E348" i="4" s="1"/>
  <c r="Z276" i="1"/>
  <c r="E267" i="4" s="1"/>
  <c r="Z364" i="1"/>
  <c r="E356" i="4" s="1"/>
  <c r="Z369" i="1"/>
  <c r="E361" i="4" s="1"/>
  <c r="Z269" i="1"/>
  <c r="E260" i="4" s="1"/>
  <c r="Z341" i="1"/>
  <c r="E332" i="4" s="1"/>
  <c r="Z578" i="1"/>
  <c r="E570" i="4" s="1"/>
  <c r="Z344" i="1"/>
  <c r="E335" i="4" s="1"/>
  <c r="Z586" i="1"/>
  <c r="E578" i="4" s="1"/>
  <c r="Z502" i="1"/>
  <c r="E494" i="4" s="1"/>
  <c r="Z482" i="1"/>
  <c r="E474" i="4" s="1"/>
  <c r="Z476" i="1"/>
  <c r="E468" i="4" s="1"/>
  <c r="Z585" i="1"/>
  <c r="E577" i="4" s="1"/>
  <c r="Z326" i="1"/>
  <c r="E317" i="4" s="1"/>
  <c r="Z571" i="1"/>
  <c r="E563" i="4" s="1"/>
  <c r="Z283" i="1"/>
  <c r="E274" i="4" s="1"/>
  <c r="Z498" i="1"/>
  <c r="E490" i="4" s="1"/>
  <c r="Z514" i="1"/>
  <c r="E506" i="4" s="1"/>
  <c r="Z556" i="1"/>
  <c r="E548" i="4" s="1"/>
  <c r="Z319" i="1"/>
  <c r="E310" i="4" s="1"/>
  <c r="Z376" i="1"/>
  <c r="E368" i="4" s="1"/>
  <c r="Z394" i="1"/>
  <c r="E386" i="4" s="1"/>
  <c r="Z597" i="1"/>
  <c r="E589" i="4" s="1"/>
  <c r="Z518" i="1"/>
  <c r="E510" i="4" s="1"/>
  <c r="Z490" i="1"/>
  <c r="E482" i="4" s="1"/>
  <c r="Z475" i="1"/>
  <c r="E467" i="4" s="1"/>
  <c r="Z511" i="1"/>
  <c r="E503" i="4" s="1"/>
  <c r="Z543" i="1"/>
  <c r="E535" i="4" s="1"/>
  <c r="Z629" i="1"/>
  <c r="Z393" i="1"/>
  <c r="E385" i="4" s="1"/>
  <c r="Z374" i="1"/>
  <c r="E366" i="4" s="1"/>
  <c r="Z637" i="1"/>
  <c r="Z268" i="1"/>
  <c r="E259" i="4" s="1"/>
  <c r="Z362" i="1"/>
  <c r="E354" i="4" s="1"/>
  <c r="Z346" i="1"/>
  <c r="E337" i="4" s="1"/>
  <c r="Z472" i="1"/>
  <c r="E464" i="4" s="1"/>
  <c r="Z351" i="1"/>
  <c r="E342" i="4" s="1"/>
  <c r="Z471" i="1"/>
  <c r="E463" i="4" s="1"/>
  <c r="Z500" i="1"/>
  <c r="E492" i="4" s="1"/>
  <c r="Z557" i="1"/>
  <c r="E549" i="4" s="1"/>
  <c r="Z537" i="1"/>
  <c r="E529" i="4" s="1"/>
  <c r="Z581" i="1"/>
  <c r="E573" i="4" s="1"/>
  <c r="Z612" i="1"/>
  <c r="E604" i="4" s="1"/>
  <c r="Z598" i="1"/>
  <c r="E590" i="4" s="1"/>
  <c r="Z387" i="1"/>
  <c r="E379" i="4" s="1"/>
  <c r="Z381" i="1"/>
  <c r="E373" i="4" s="1"/>
  <c r="Z303" i="1"/>
  <c r="E294" i="4" s="1"/>
  <c r="Z547" i="1"/>
  <c r="E539" i="4" s="1"/>
  <c r="Z464" i="1"/>
  <c r="E456" i="4" s="1"/>
  <c r="Z462" i="1"/>
  <c r="E454" i="4" s="1"/>
  <c r="Z278" i="1"/>
  <c r="E269" i="4" s="1"/>
  <c r="Z512" i="1"/>
  <c r="E504" i="4" s="1"/>
  <c r="Z574" i="1"/>
  <c r="E566" i="4" s="1"/>
  <c r="Z477" i="1"/>
  <c r="E469" i="4" s="1"/>
  <c r="Z348" i="1"/>
  <c r="E339" i="4" s="1"/>
  <c r="Z335" i="1"/>
  <c r="E326" i="4" s="1"/>
  <c r="Z327" i="1"/>
  <c r="E318" i="4" s="1"/>
  <c r="Z352" i="1"/>
  <c r="E343" i="4" s="1"/>
  <c r="Z345" i="1"/>
  <c r="E336" i="4" s="1"/>
  <c r="Z305" i="1"/>
  <c r="E296" i="4" s="1"/>
  <c r="Z605" i="1"/>
  <c r="E597" i="4" s="1"/>
  <c r="Z307" i="1"/>
  <c r="E298" i="4" s="1"/>
  <c r="Z588" i="1"/>
  <c r="E580" i="4" s="1"/>
  <c r="Z321" i="1"/>
  <c r="E312" i="4" s="1"/>
  <c r="Z282" i="1"/>
  <c r="E273" i="4" s="1"/>
  <c r="Z607" i="1"/>
  <c r="E599" i="4" s="1"/>
  <c r="Z468" i="1"/>
  <c r="E460" i="4" s="1"/>
  <c r="Z380" i="1"/>
  <c r="E372" i="4" s="1"/>
  <c r="Z272" i="1"/>
  <c r="E263" i="4" s="1"/>
  <c r="Z469" i="1"/>
  <c r="E461" i="4" s="1"/>
  <c r="Z365" i="1"/>
  <c r="E357" i="4" s="1"/>
  <c r="Z400" i="1"/>
  <c r="E392" i="4" s="1"/>
  <c r="Z324" i="1"/>
  <c r="E315" i="4" s="1"/>
  <c r="Z507" i="1"/>
  <c r="E499" i="4" s="1"/>
  <c r="Z330" i="1"/>
  <c r="E321" i="4" s="1"/>
  <c r="Z504" i="1"/>
  <c r="E496" i="4" s="1"/>
  <c r="Z461" i="1"/>
  <c r="E453" i="4" s="1"/>
  <c r="Z495" i="1"/>
  <c r="E487" i="4" s="1"/>
  <c r="Z603" i="1"/>
  <c r="E595" i="4" s="1"/>
  <c r="Z280" i="1"/>
  <c r="E271" i="4" s="1"/>
  <c r="Z267" i="1"/>
  <c r="E258" i="4" s="1"/>
  <c r="Z297" i="1"/>
  <c r="E288" i="4" s="1"/>
  <c r="Z488" i="1"/>
  <c r="E480" i="4" s="1"/>
  <c r="Z423" i="1"/>
  <c r="E415" i="4" s="1"/>
  <c r="Z523" i="1"/>
  <c r="E515" i="4" s="1"/>
  <c r="Z411" i="1"/>
  <c r="E403" i="4" s="1"/>
  <c r="Z317" i="1"/>
  <c r="E308" i="4" s="1"/>
  <c r="Z421" i="1"/>
  <c r="E413" i="4" s="1"/>
  <c r="Z428" i="1"/>
  <c r="E420" i="4" s="1"/>
  <c r="Z432" i="1"/>
  <c r="E424" i="4" s="1"/>
  <c r="Z415" i="1"/>
  <c r="E407" i="4" s="1"/>
  <c r="Z414" i="1"/>
  <c r="E406" i="4" s="1"/>
  <c r="Z515" i="1"/>
  <c r="E507" i="4" s="1"/>
  <c r="Z403" i="1"/>
  <c r="Z474" i="1"/>
  <c r="E466" i="4" s="1"/>
  <c r="Z539" i="1"/>
  <c r="E531" i="4" s="1"/>
  <c r="Z544" i="1"/>
  <c r="E536" i="4" s="1"/>
  <c r="Z405" i="1"/>
  <c r="E397" i="4" s="1"/>
  <c r="Z551" i="1"/>
  <c r="E543" i="4" s="1"/>
  <c r="Z530" i="1"/>
  <c r="E522" i="4" s="1"/>
  <c r="Z643" i="1"/>
  <c r="Z430" i="1"/>
  <c r="E422" i="4" s="1"/>
  <c r="Z294" i="1"/>
  <c r="E285" i="4" s="1"/>
  <c r="Z575" i="1"/>
  <c r="E567" i="4" s="1"/>
  <c r="Z417" i="1"/>
  <c r="E409" i="4" s="1"/>
  <c r="Z532" i="1"/>
  <c r="E524" i="4" s="1"/>
  <c r="Z448" i="1"/>
  <c r="E440" i="4" s="1"/>
  <c r="Z435" i="1"/>
  <c r="E427" i="4" s="1"/>
  <c r="Z439" i="1"/>
  <c r="E431" i="4" s="1"/>
  <c r="Z443" i="1"/>
  <c r="E435" i="4" s="1"/>
  <c r="Z440" i="1"/>
  <c r="E432" i="4" s="1"/>
  <c r="Z640" i="1"/>
  <c r="Z516" i="1"/>
  <c r="E508" i="4" s="1"/>
  <c r="Z444" i="1"/>
  <c r="E436" i="4" s="1"/>
  <c r="Z483" i="1"/>
  <c r="E475" i="4" s="1"/>
  <c r="Z419" i="1"/>
  <c r="E411" i="4" s="1"/>
  <c r="Z437" i="1"/>
  <c r="E429" i="4" s="1"/>
  <c r="Z404" i="1"/>
  <c r="E396" i="4" s="1"/>
  <c r="Z636" i="1"/>
  <c r="Z449" i="1"/>
  <c r="E441" i="4" s="1"/>
  <c r="Z510" i="1"/>
  <c r="E502" i="4" s="1"/>
  <c r="Z438" i="1"/>
  <c r="E430" i="4" s="1"/>
  <c r="Z445" i="1"/>
  <c r="E437" i="4" s="1"/>
  <c r="Z311" i="1"/>
  <c r="E302" i="4" s="1"/>
  <c r="Z441" i="1"/>
  <c r="E433" i="4" s="1"/>
  <c r="Z513" i="1"/>
  <c r="E505" i="4" s="1"/>
  <c r="Z425" i="1"/>
  <c r="E417" i="4" s="1"/>
  <c r="Z644" i="1"/>
  <c r="Z409" i="1"/>
  <c r="E401" i="4" s="1"/>
  <c r="Z256" i="1"/>
  <c r="E247" i="4" s="1"/>
  <c r="Z621" i="1"/>
  <c r="Z257" i="1"/>
  <c r="E248" i="4" s="1"/>
  <c r="Z406" i="1"/>
  <c r="E398" i="4" s="1"/>
  <c r="Z648" i="1"/>
  <c r="Z560" i="1"/>
  <c r="E552" i="4" s="1"/>
  <c r="Z296" i="1"/>
  <c r="E287" i="4" s="1"/>
  <c r="Z540" i="1"/>
  <c r="E532" i="4" s="1"/>
  <c r="Z436" i="1"/>
  <c r="E428" i="4" s="1"/>
  <c r="Z431" i="1"/>
  <c r="E423" i="4" s="1"/>
  <c r="Z418" i="1"/>
  <c r="E410" i="4" s="1"/>
  <c r="Z486" i="1"/>
  <c r="E478" i="4" s="1"/>
  <c r="Z434" i="1"/>
  <c r="E426" i="4" s="1"/>
  <c r="Z470" i="1"/>
  <c r="E462" i="4" s="1"/>
  <c r="Z645" i="1"/>
  <c r="Z550" i="1"/>
  <c r="E542" i="4" s="1"/>
  <c r="Z567" i="1"/>
  <c r="E559" i="4" s="1"/>
  <c r="Z447" i="1"/>
  <c r="E439" i="4" s="1"/>
  <c r="Z568" i="1"/>
  <c r="E560" i="4" s="1"/>
  <c r="Z497" i="1"/>
  <c r="E489" i="4" s="1"/>
  <c r="Z446" i="1"/>
  <c r="E438" i="4" s="1"/>
  <c r="Z315" i="1"/>
  <c r="E306" i="4" s="1"/>
  <c r="Z493" i="1"/>
  <c r="E485" i="4" s="1"/>
  <c r="Z576" i="1"/>
  <c r="E568" i="4" s="1"/>
  <c r="Z316" i="1"/>
  <c r="E307" i="4" s="1"/>
  <c r="Z250" i="1"/>
  <c r="E241" i="4" s="1"/>
  <c r="Z312" i="1"/>
  <c r="E303" i="4" s="1"/>
  <c r="Z639" i="1"/>
  <c r="Z422" i="1"/>
  <c r="E414" i="4" s="1"/>
  <c r="Z413" i="1"/>
  <c r="E405" i="4" s="1"/>
  <c r="Z533" i="1"/>
  <c r="E525" i="4" s="1"/>
  <c r="Z410" i="1"/>
  <c r="E402" i="4" s="1"/>
  <c r="Z442" i="1"/>
  <c r="E434" i="4" s="1"/>
  <c r="Z484" i="1"/>
  <c r="E476" i="4" s="1"/>
  <c r="Z519" i="1"/>
  <c r="E511" i="4" s="1"/>
  <c r="Z473" i="1"/>
  <c r="E465" i="4" s="1"/>
  <c r="Z527" i="1"/>
  <c r="E519" i="4" s="1"/>
  <c r="Z298" i="1"/>
  <c r="E289" i="4" s="1"/>
  <c r="Z313" i="1"/>
  <c r="E304" i="4" s="1"/>
  <c r="Z450" i="1"/>
  <c r="E442" i="4" s="1"/>
  <c r="Z429" i="1"/>
  <c r="E421" i="4" s="1"/>
  <c r="Z420" i="1"/>
  <c r="E412" i="4" s="1"/>
  <c r="Z635" i="1"/>
  <c r="Z424" i="1"/>
  <c r="E416" i="4" s="1"/>
  <c r="Z407" i="1"/>
  <c r="E399" i="4" s="1"/>
  <c r="Z295" i="1"/>
  <c r="E286" i="4" s="1"/>
  <c r="Z564" i="1"/>
  <c r="E556" i="4" s="1"/>
  <c r="Z426" i="1"/>
  <c r="E418" i="4" s="1"/>
  <c r="Z618" i="1"/>
  <c r="Z642" i="1"/>
  <c r="Z647" i="1"/>
  <c r="Z254" i="1"/>
  <c r="E245" i="4" s="1"/>
  <c r="Z646" i="1"/>
  <c r="Z572" i="1"/>
  <c r="E564" i="4" s="1"/>
  <c r="Z552" i="1"/>
  <c r="E544" i="4" s="1"/>
  <c r="Z549" i="1"/>
  <c r="E541" i="4" s="1"/>
  <c r="Z314" i="1"/>
  <c r="E305" i="4" s="1"/>
  <c r="Z408" i="1"/>
  <c r="E400" i="4" s="1"/>
  <c r="Z412" i="1"/>
  <c r="E404" i="4" s="1"/>
  <c r="Z634" i="1"/>
  <c r="Z433" i="1"/>
  <c r="E425" i="4" s="1"/>
  <c r="Z641" i="1"/>
  <c r="Z300" i="1"/>
  <c r="E291" i="4" s="1"/>
  <c r="Z310" i="1"/>
  <c r="E301" i="4" s="1"/>
  <c r="Z299" i="1"/>
  <c r="E290" i="4" s="1"/>
  <c r="Z524" i="1"/>
  <c r="E516" i="4" s="1"/>
  <c r="Z416" i="1"/>
  <c r="E408" i="4" s="1"/>
  <c r="Z258" i="1"/>
  <c r="E249" i="4" s="1"/>
  <c r="Z427" i="1"/>
  <c r="E419" i="4" s="1"/>
  <c r="AB294" i="1"/>
  <c r="G285" i="4" s="1"/>
  <c r="AB422" i="1"/>
  <c r="G414" i="4" s="1"/>
  <c r="AB539" i="1"/>
  <c r="G531" i="4" s="1"/>
  <c r="AB428" i="1"/>
  <c r="G420" i="4" s="1"/>
  <c r="AB530" i="1"/>
  <c r="G522" i="4" s="1"/>
  <c r="AB418" i="1"/>
  <c r="G410" i="4" s="1"/>
  <c r="AB410" i="1"/>
  <c r="G402" i="4" s="1"/>
  <c r="AB540" i="1"/>
  <c r="G532" i="4" s="1"/>
  <c r="AB551" i="1"/>
  <c r="G543" i="4" s="1"/>
  <c r="AB423" i="1"/>
  <c r="G415" i="4" s="1"/>
  <c r="AB314" i="1"/>
  <c r="G305" i="4" s="1"/>
  <c r="AB473" i="1"/>
  <c r="G465" i="4" s="1"/>
  <c r="AB299" i="1"/>
  <c r="G290" i="4" s="1"/>
  <c r="AB648" i="1"/>
  <c r="AB438" i="1"/>
  <c r="G430" i="4" s="1"/>
  <c r="AB296" i="1"/>
  <c r="G287" i="4" s="1"/>
  <c r="AB419" i="1"/>
  <c r="G411" i="4" s="1"/>
  <c r="AB416" i="1"/>
  <c r="G408" i="4" s="1"/>
  <c r="AB550" i="1"/>
  <c r="G542" i="4" s="1"/>
  <c r="AB639" i="1"/>
  <c r="AB524" i="1"/>
  <c r="G516" i="4" s="1"/>
  <c r="AB437" i="1"/>
  <c r="G429" i="4" s="1"/>
  <c r="AB295" i="1"/>
  <c r="G286" i="4" s="1"/>
  <c r="AB510" i="1"/>
  <c r="G502" i="4" s="1"/>
  <c r="AB439" i="1"/>
  <c r="G431" i="4" s="1"/>
  <c r="AB316" i="1"/>
  <c r="G307" i="4" s="1"/>
  <c r="AB515" i="1"/>
  <c r="G507" i="4" s="1"/>
  <c r="AB575" i="1"/>
  <c r="G567" i="4" s="1"/>
  <c r="AB259" i="1"/>
  <c r="G250" i="4" s="1"/>
  <c r="AB618" i="1"/>
  <c r="AB434" i="1"/>
  <c r="G426" i="4" s="1"/>
  <c r="AB564" i="1"/>
  <c r="G556" i="4" s="1"/>
  <c r="AB449" i="1"/>
  <c r="G441" i="4" s="1"/>
  <c r="AB432" i="1"/>
  <c r="G424" i="4" s="1"/>
  <c r="AB647" i="1"/>
  <c r="AB312" i="1"/>
  <c r="G303" i="4" s="1"/>
  <c r="AB641" i="1"/>
  <c r="AB446" i="1"/>
  <c r="G438" i="4" s="1"/>
  <c r="AB253" i="1"/>
  <c r="G244" i="4" s="1"/>
  <c r="AB447" i="1"/>
  <c r="G439" i="4" s="1"/>
  <c r="AB409" i="1"/>
  <c r="G401" i="4" s="1"/>
  <c r="AB486" i="1"/>
  <c r="G478" i="4" s="1"/>
  <c r="AB643" i="1"/>
  <c r="AB568" i="1"/>
  <c r="G560" i="4" s="1"/>
  <c r="AB310" i="1"/>
  <c r="G301" i="4" s="1"/>
  <c r="AB544" i="1"/>
  <c r="G536" i="4" s="1"/>
  <c r="AB250" i="1"/>
  <c r="G241" i="4" s="1"/>
  <c r="AB644" i="1"/>
  <c r="AB249" i="1"/>
  <c r="G240" i="4" s="1"/>
  <c r="AB636" i="1"/>
  <c r="AB300" i="1"/>
  <c r="G291" i="4" s="1"/>
  <c r="AB436" i="1"/>
  <c r="G428" i="4" s="1"/>
  <c r="AB406" i="1"/>
  <c r="G398" i="4" s="1"/>
  <c r="AB298" i="1"/>
  <c r="G289" i="4" s="1"/>
  <c r="AB415" i="1"/>
  <c r="G407" i="4" s="1"/>
  <c r="AB408" i="1"/>
  <c r="G400" i="4" s="1"/>
  <c r="AB255" i="1"/>
  <c r="G246" i="4" s="1"/>
  <c r="AB256" i="1"/>
  <c r="G247" i="4" s="1"/>
  <c r="AB430" i="1"/>
  <c r="G422" i="4" s="1"/>
  <c r="AB441" i="1"/>
  <c r="G433" i="4" s="1"/>
  <c r="AB497" i="1"/>
  <c r="G489" i="4" s="1"/>
  <c r="AB427" i="1"/>
  <c r="G419" i="4" s="1"/>
  <c r="AB403" i="1"/>
  <c r="AB621" i="1"/>
  <c r="AB421" i="1"/>
  <c r="G413" i="4" s="1"/>
  <c r="AB634" i="1"/>
  <c r="AB311" i="1"/>
  <c r="G302" i="4" s="1"/>
  <c r="AB484" i="1"/>
  <c r="G476" i="4" s="1"/>
  <c r="AB258" i="1"/>
  <c r="G249" i="4" s="1"/>
  <c r="AB407" i="1"/>
  <c r="G399" i="4" s="1"/>
  <c r="AB549" i="1"/>
  <c r="G541" i="4" s="1"/>
  <c r="AB516" i="1"/>
  <c r="G508" i="4" s="1"/>
  <c r="AB413" i="1"/>
  <c r="G405" i="4" s="1"/>
  <c r="AB440" i="1"/>
  <c r="G432" i="4" s="1"/>
  <c r="AB417" i="1"/>
  <c r="G409" i="4" s="1"/>
  <c r="AB532" i="1"/>
  <c r="G524" i="4" s="1"/>
  <c r="AB443" i="1"/>
  <c r="G435" i="4" s="1"/>
  <c r="AB567" i="1"/>
  <c r="G559" i="4" s="1"/>
  <c r="AB560" i="1"/>
  <c r="G552" i="4" s="1"/>
  <c r="AB448" i="1"/>
  <c r="G440" i="4" s="1"/>
  <c r="AB405" i="1"/>
  <c r="G397" i="4" s="1"/>
  <c r="AB488" i="1"/>
  <c r="G480" i="4" s="1"/>
  <c r="AB431" i="1"/>
  <c r="G423" i="4" s="1"/>
  <c r="AB640" i="1"/>
  <c r="AB470" i="1"/>
  <c r="G462" i="4" s="1"/>
  <c r="AB297" i="1"/>
  <c r="G288" i="4" s="1"/>
  <c r="AB519" i="1"/>
  <c r="G511" i="4" s="1"/>
  <c r="AB642" i="1"/>
  <c r="AB483" i="1"/>
  <c r="G475" i="4" s="1"/>
  <c r="AB635" i="1"/>
  <c r="AB317" i="1"/>
  <c r="G308" i="4" s="1"/>
  <c r="AB513" i="1"/>
  <c r="G505" i="4" s="1"/>
  <c r="AB425" i="1"/>
  <c r="G417" i="4" s="1"/>
  <c r="AB552" i="1"/>
  <c r="G544" i="4" s="1"/>
  <c r="AB315" i="1"/>
  <c r="G306" i="4" s="1"/>
  <c r="AB523" i="1"/>
  <c r="G515" i="4" s="1"/>
  <c r="AB414" i="1"/>
  <c r="G406" i="4" s="1"/>
  <c r="AB442" i="1"/>
  <c r="G434" i="4" s="1"/>
  <c r="AB445" i="1"/>
  <c r="G437" i="4" s="1"/>
  <c r="AB411" i="1"/>
  <c r="G403" i="4" s="1"/>
  <c r="AB313" i="1"/>
  <c r="G304" i="4" s="1"/>
  <c r="AB527" i="1"/>
  <c r="G519" i="4" s="1"/>
  <c r="AB435" i="1"/>
  <c r="G427" i="4" s="1"/>
  <c r="AB257" i="1"/>
  <c r="G248" i="4" s="1"/>
  <c r="AB474" i="1"/>
  <c r="G466" i="4" s="1"/>
  <c r="AB426" i="1"/>
  <c r="G418" i="4" s="1"/>
  <c r="AB404" i="1"/>
  <c r="G396" i="4" s="1"/>
  <c r="AB412" i="1"/>
  <c r="G404" i="4" s="1"/>
  <c r="AB424" i="1"/>
  <c r="G416" i="4" s="1"/>
  <c r="AB429" i="1"/>
  <c r="G421" i="4" s="1"/>
  <c r="AB645" i="1"/>
  <c r="AB646" i="1"/>
  <c r="AB572" i="1"/>
  <c r="G564" i="4" s="1"/>
  <c r="AB450" i="1"/>
  <c r="G442" i="4" s="1"/>
  <c r="AB433" i="1"/>
  <c r="G425" i="4" s="1"/>
  <c r="AB444" i="1"/>
  <c r="G436" i="4" s="1"/>
  <c r="AB420" i="1"/>
  <c r="G412" i="4" s="1"/>
  <c r="AB493" i="1"/>
  <c r="G485" i="4" s="1"/>
  <c r="AB254" i="1"/>
  <c r="G245" i="4" s="1"/>
  <c r="AB576" i="1"/>
  <c r="G568" i="4" s="1"/>
  <c r="AB533" i="1"/>
  <c r="G525" i="4" s="1"/>
  <c r="AC189" i="1"/>
  <c r="H180" i="4" s="1"/>
  <c r="AC114" i="1"/>
  <c r="H105" i="4" s="1"/>
  <c r="AC24" i="1"/>
  <c r="H15" i="4" s="1"/>
  <c r="S370" i="1"/>
  <c r="S275" i="1"/>
  <c r="S509" i="1"/>
  <c r="S574" i="1"/>
  <c r="S388" i="1"/>
  <c r="S583" i="1"/>
  <c r="S284" i="1"/>
  <c r="S590" i="1"/>
  <c r="S346" i="1"/>
  <c r="S542" i="1"/>
  <c r="S347" i="1"/>
  <c r="S393" i="1"/>
  <c r="S464" i="1"/>
  <c r="S352" i="1"/>
  <c r="S362" i="1"/>
  <c r="S492" i="1"/>
  <c r="S398" i="1"/>
  <c r="S512" i="1"/>
  <c r="S453" i="1"/>
  <c r="S271" i="1"/>
  <c r="S610" i="1"/>
  <c r="S506" i="1"/>
  <c r="S608" i="1"/>
  <c r="S335" i="1"/>
  <c r="S600" i="1"/>
  <c r="S379" i="1"/>
  <c r="S350" i="1"/>
  <c r="S396" i="1"/>
  <c r="S369" i="1"/>
  <c r="S467" i="1"/>
  <c r="S402" i="1"/>
  <c r="S354" i="1"/>
  <c r="S501" i="1"/>
  <c r="S401" i="1"/>
  <c r="S251" i="1"/>
  <c r="S490" i="1"/>
  <c r="S599" i="1"/>
  <c r="S476" i="1"/>
  <c r="S459" i="1"/>
  <c r="S628" i="1"/>
  <c r="S380" i="1"/>
  <c r="S487" i="1"/>
  <c r="S320" i="1"/>
  <c r="S588" i="1"/>
  <c r="S535" i="1"/>
  <c r="S382" i="1"/>
  <c r="S526" i="1"/>
  <c r="S265" i="1"/>
  <c r="S293" i="1"/>
  <c r="S337" i="1"/>
  <c r="S500" i="1"/>
  <c r="S454" i="1"/>
  <c r="S494" i="1"/>
  <c r="S465" i="1"/>
  <c r="S596" i="1"/>
  <c r="S514" i="1"/>
  <c r="S631" i="1"/>
  <c r="S252" i="1"/>
  <c r="S571" i="1"/>
  <c r="S325" i="1"/>
  <c r="S384" i="1"/>
  <c r="S336" i="1"/>
  <c r="S559" i="1"/>
  <c r="S381" i="1"/>
  <c r="S365" i="1"/>
  <c r="S355" i="1"/>
  <c r="S633" i="1"/>
  <c r="S538" i="1"/>
  <c r="S324" i="1"/>
  <c r="S399" i="1"/>
  <c r="S290" i="1"/>
  <c r="S339" i="1"/>
  <c r="S367" i="1"/>
  <c r="S589" i="1"/>
  <c r="S613" i="1"/>
  <c r="S489" i="1"/>
  <c r="S289" i="1"/>
  <c r="S266" i="1"/>
  <c r="S585" i="1"/>
  <c r="S531" i="1"/>
  <c r="S389" i="1"/>
  <c r="S260" i="1"/>
  <c r="S366" i="1"/>
  <c r="S502" i="1"/>
  <c r="S518" i="1"/>
  <c r="S301" i="1"/>
  <c r="S598" i="1"/>
  <c r="S546" i="1"/>
  <c r="S371" i="1"/>
  <c r="S273" i="1"/>
  <c r="S580" i="1"/>
  <c r="S499" i="1"/>
  <c r="S570" i="1"/>
  <c r="S334" i="1"/>
  <c r="S638" i="1"/>
  <c r="S341" i="1"/>
  <c r="S400" i="1"/>
  <c r="S323" i="1"/>
  <c r="S498" i="1"/>
  <c r="S554" i="1"/>
  <c r="S468" i="1"/>
  <c r="S338" i="1"/>
  <c r="S375" i="1"/>
  <c r="S356" i="1"/>
  <c r="S536" i="1"/>
  <c r="S520" i="1"/>
  <c r="S287" i="1"/>
  <c r="S477" i="1"/>
  <c r="S392" i="1"/>
  <c r="S349" i="1"/>
  <c r="S548" i="1"/>
  <c r="S457" i="1"/>
  <c r="S330" i="1"/>
  <c r="S505" i="1"/>
  <c r="S385" i="1"/>
  <c r="S480" i="1"/>
  <c r="S606" i="1"/>
  <c r="S617" i="1"/>
  <c r="S611" i="1"/>
  <c r="S280" i="1"/>
  <c r="S387" i="1"/>
  <c r="S569" i="1"/>
  <c r="S496" i="1"/>
  <c r="S291" i="1"/>
  <c r="S292" i="1"/>
  <c r="S605" i="1"/>
  <c r="S558" i="1"/>
  <c r="S462" i="1"/>
  <c r="S321" i="1"/>
  <c r="S612" i="1"/>
  <c r="S586" i="1"/>
  <c r="S528" i="1"/>
  <c r="S348" i="1"/>
  <c r="S481" i="1"/>
  <c r="S545" i="1"/>
  <c r="S329" i="1"/>
  <c r="S319" i="1"/>
  <c r="S343" i="1"/>
  <c r="S475" i="1"/>
  <c r="S308" i="1"/>
  <c r="S358" i="1"/>
  <c r="S373" i="1"/>
  <c r="S268" i="1"/>
  <c r="S561" i="1"/>
  <c r="S264" i="1"/>
  <c r="S331" i="1"/>
  <c r="S591" i="1"/>
  <c r="S632" i="1"/>
  <c r="S302" i="1"/>
  <c r="S378" i="1"/>
  <c r="S304" i="1"/>
  <c r="S482" i="1"/>
  <c r="S322" i="1"/>
  <c r="S270" i="1"/>
  <c r="S276" i="1"/>
  <c r="S451" i="1"/>
  <c r="S602" i="1"/>
  <c r="S522" i="1"/>
  <c r="S555" i="1"/>
  <c r="S333" i="1"/>
  <c r="S582" i="1"/>
  <c r="S507" i="1"/>
  <c r="S328" i="1"/>
  <c r="S359" i="1"/>
  <c r="S357" i="1"/>
  <c r="S543" i="1"/>
  <c r="S557" i="1"/>
  <c r="S263" i="1"/>
  <c r="S603" i="1"/>
  <c r="S390" i="1"/>
  <c r="S478" i="1"/>
  <c r="S616" i="1"/>
  <c r="S607" i="1"/>
  <c r="S595" i="1"/>
  <c r="S363" i="1"/>
  <c r="S479" i="1"/>
  <c r="S604" i="1"/>
  <c r="S584" i="1"/>
  <c r="S577" i="1"/>
  <c r="S601" i="1"/>
  <c r="S452" i="1"/>
  <c r="S305" i="1"/>
  <c r="S368" i="1"/>
  <c r="S485" i="1"/>
  <c r="S272" i="1"/>
  <c r="S279" i="1"/>
  <c r="S340" i="1"/>
  <c r="S630" i="1"/>
  <c r="S342" i="1"/>
  <c r="S553" i="1"/>
  <c r="S344" i="1"/>
  <c r="S471" i="1"/>
  <c r="S637" i="1"/>
  <c r="S351" i="1"/>
  <c r="S556" i="1"/>
  <c r="S307" i="1"/>
  <c r="S565" i="1"/>
  <c r="S517" i="1"/>
  <c r="S286" i="1"/>
  <c r="S458" i="1"/>
  <c r="S283" i="1"/>
  <c r="S262" i="1"/>
  <c r="S593" i="1"/>
  <c r="S573" i="1"/>
  <c r="S614" i="1"/>
  <c r="S469" i="1"/>
  <c r="S491" i="1"/>
  <c r="S597" i="1"/>
  <c r="S285" i="1"/>
  <c r="S455" i="1"/>
  <c r="S511" i="1"/>
  <c r="S472" i="1"/>
  <c r="S269" i="1"/>
  <c r="S395" i="1"/>
  <c r="S503" i="1"/>
  <c r="S581" i="1"/>
  <c r="S615" i="1"/>
  <c r="S456" i="1"/>
  <c r="S383" i="1"/>
  <c r="S386" i="1"/>
  <c r="S587" i="1"/>
  <c r="S461" i="1"/>
  <c r="S364" i="1"/>
  <c r="S360" i="1"/>
  <c r="S508" i="1"/>
  <c r="S541" i="1"/>
  <c r="S274" i="1"/>
  <c r="S377" i="1"/>
  <c r="S278" i="1"/>
  <c r="S281" i="1"/>
  <c r="S592" i="1"/>
  <c r="S353" i="1"/>
  <c r="S277" i="1"/>
  <c r="S288" i="1"/>
  <c r="S495" i="1"/>
  <c r="S627" i="1"/>
  <c r="S460" i="1"/>
  <c r="S534" i="1"/>
  <c r="S529" i="1"/>
  <c r="S303" i="1"/>
  <c r="S345" i="1"/>
  <c r="S609" i="1"/>
  <c r="S504" i="1"/>
  <c r="S629" i="1"/>
  <c r="S282" i="1"/>
  <c r="S372" i="1"/>
  <c r="S563" i="1"/>
  <c r="S376" i="1"/>
  <c r="S521" i="1"/>
  <c r="S267" i="1"/>
  <c r="S566" i="1"/>
  <c r="S361" i="1"/>
  <c r="S327" i="1"/>
  <c r="S374" i="1"/>
  <c r="S537" i="1"/>
  <c r="S391" i="1"/>
  <c r="S466" i="1"/>
  <c r="S397" i="1"/>
  <c r="S318" i="1"/>
  <c r="S562" i="1"/>
  <c r="S547" i="1"/>
  <c r="S261" i="1"/>
  <c r="S594" i="1"/>
  <c r="S394" i="1"/>
  <c r="S578" i="1"/>
  <c r="S306" i="1"/>
  <c r="S332" i="1"/>
  <c r="S326" i="1"/>
  <c r="S579" i="1"/>
  <c r="S525" i="1"/>
  <c r="S309" i="1"/>
  <c r="S463" i="1"/>
  <c r="AC46" i="1"/>
  <c r="H37" i="4" s="1"/>
  <c r="AC81" i="1"/>
  <c r="H72" i="4" s="1"/>
  <c r="AC225" i="1"/>
  <c r="H216" i="4" s="1"/>
  <c r="AC58" i="1"/>
  <c r="H49" i="4" s="1"/>
  <c r="AC161" i="1"/>
  <c r="H152" i="4" s="1"/>
  <c r="T268" i="1"/>
  <c r="U268" i="1" s="1"/>
  <c r="T345" i="1"/>
  <c r="U345" i="1" s="1"/>
  <c r="T394" i="1"/>
  <c r="U394" i="1" s="1"/>
  <c r="T380" i="1"/>
  <c r="U380" i="1" s="1"/>
  <c r="T307" i="1"/>
  <c r="U307" i="1" s="1"/>
  <c r="T537" i="1"/>
  <c r="U537" i="1" s="1"/>
  <c r="T534" i="1"/>
  <c r="U534" i="1" s="1"/>
  <c r="T391" i="1"/>
  <c r="U391" i="1" s="1"/>
  <c r="T592" i="1"/>
  <c r="U592" i="1" s="1"/>
  <c r="T587" i="1"/>
  <c r="U587" i="1" s="1"/>
  <c r="T395" i="1"/>
  <c r="U395" i="1" s="1"/>
  <c r="T606" i="1"/>
  <c r="U606" i="1" s="1"/>
  <c r="T562" i="1"/>
  <c r="U562" i="1" s="1"/>
  <c r="T333" i="1"/>
  <c r="U333" i="1" s="1"/>
  <c r="T282" i="1"/>
  <c r="U282" i="1" s="1"/>
  <c r="T490" i="1"/>
  <c r="U490" i="1" s="1"/>
  <c r="T500" i="1"/>
  <c r="U500" i="1" s="1"/>
  <c r="T535" i="1"/>
  <c r="U535" i="1" s="1"/>
  <c r="T263" i="1"/>
  <c r="U263" i="1" s="1"/>
  <c r="T531" i="1"/>
  <c r="U531" i="1" s="1"/>
  <c r="T393" i="1"/>
  <c r="U393" i="1" s="1"/>
  <c r="T379" i="1"/>
  <c r="U379" i="1" s="1"/>
  <c r="T451" i="1"/>
  <c r="U451" i="1" s="1"/>
  <c r="T318" i="1"/>
  <c r="U318" i="1" s="1"/>
  <c r="T378" i="1"/>
  <c r="U378" i="1" s="1"/>
  <c r="T352" i="1"/>
  <c r="U352" i="1" s="1"/>
  <c r="T290" i="1"/>
  <c r="U290" i="1" s="1"/>
  <c r="T548" i="1"/>
  <c r="U548" i="1" s="1"/>
  <c r="T602" i="1"/>
  <c r="U602" i="1" s="1"/>
  <c r="T586" i="1"/>
  <c r="U586" i="1" s="1"/>
  <c r="T480" i="1"/>
  <c r="U480" i="1" s="1"/>
  <c r="T617" i="1"/>
  <c r="U617" i="1" s="1"/>
  <c r="T495" i="1"/>
  <c r="U495" i="1" s="1"/>
  <c r="T591" i="1"/>
  <c r="U591" i="1" s="1"/>
  <c r="T472" i="1"/>
  <c r="U472" i="1" s="1"/>
  <c r="T598" i="1"/>
  <c r="U598" i="1" s="1"/>
  <c r="T319" i="1"/>
  <c r="U319" i="1" s="1"/>
  <c r="T320" i="1"/>
  <c r="U320" i="1" s="1"/>
  <c r="T356" i="1"/>
  <c r="U356" i="1" s="1"/>
  <c r="T269" i="1"/>
  <c r="U269" i="1" s="1"/>
  <c r="T603" i="1"/>
  <c r="U603" i="1" s="1"/>
  <c r="T348" i="1"/>
  <c r="U348" i="1" s="1"/>
  <c r="T579" i="1"/>
  <c r="U579" i="1" s="1"/>
  <c r="T503" i="1"/>
  <c r="U503" i="1" s="1"/>
  <c r="T629" i="1"/>
  <c r="U629" i="1" s="1"/>
  <c r="T288" i="1"/>
  <c r="U288" i="1" s="1"/>
  <c r="T570" i="1"/>
  <c r="U570" i="1" s="1"/>
  <c r="T251" i="1"/>
  <c r="U251" i="1" s="1"/>
  <c r="T382" i="1"/>
  <c r="U382" i="1" s="1"/>
  <c r="T494" i="1"/>
  <c r="U494" i="1" s="1"/>
  <c r="T491" i="1"/>
  <c r="U491" i="1" s="1"/>
  <c r="T337" i="1"/>
  <c r="U337" i="1" s="1"/>
  <c r="T588" i="1"/>
  <c r="U588" i="1" s="1"/>
  <c r="T633" i="1"/>
  <c r="U633" i="1" s="1"/>
  <c r="T607" i="1"/>
  <c r="U607" i="1" s="1"/>
  <c r="T468" i="1"/>
  <c r="U468" i="1" s="1"/>
  <c r="T398" i="1"/>
  <c r="U398" i="1" s="1"/>
  <c r="T463" i="1"/>
  <c r="U463" i="1" s="1"/>
  <c r="T324" i="1"/>
  <c r="U324" i="1" s="1"/>
  <c r="T267" i="1"/>
  <c r="U267" i="1" s="1"/>
  <c r="T360" i="1"/>
  <c r="U360" i="1" s="1"/>
  <c r="T512" i="1"/>
  <c r="U512" i="1" s="1"/>
  <c r="T368" i="1"/>
  <c r="U368" i="1" s="1"/>
  <c r="T609" i="1"/>
  <c r="U609" i="1" s="1"/>
  <c r="T338" i="1"/>
  <c r="U338" i="1" s="1"/>
  <c r="T477" i="1"/>
  <c r="U477" i="1" s="1"/>
  <c r="T556" i="1"/>
  <c r="U556" i="1" s="1"/>
  <c r="T331" i="1"/>
  <c r="U331" i="1" s="1"/>
  <c r="T501" i="1"/>
  <c r="U501" i="1" s="1"/>
  <c r="T350" i="1"/>
  <c r="U350" i="1" s="1"/>
  <c r="T554" i="1"/>
  <c r="U554" i="1" s="1"/>
  <c r="T344" i="1"/>
  <c r="U344" i="1" s="1"/>
  <c r="T274" i="1"/>
  <c r="U274" i="1" s="1"/>
  <c r="T543" i="1"/>
  <c r="U543" i="1" s="1"/>
  <c r="T475" i="1"/>
  <c r="U475" i="1" s="1"/>
  <c r="T399" i="1"/>
  <c r="U399" i="1" s="1"/>
  <c r="T373" i="1"/>
  <c r="U373" i="1" s="1"/>
  <c r="T396" i="1"/>
  <c r="U396" i="1" s="1"/>
  <c r="T460" i="1"/>
  <c r="U460" i="1" s="1"/>
  <c r="T525" i="1"/>
  <c r="U525" i="1" s="1"/>
  <c r="T599" i="1"/>
  <c r="U599" i="1" s="1"/>
  <c r="T302" i="1"/>
  <c r="U302" i="1" s="1"/>
  <c r="T520" i="1"/>
  <c r="U520" i="1" s="1"/>
  <c r="T610" i="1"/>
  <c r="U610" i="1" s="1"/>
  <c r="T277" i="1"/>
  <c r="U277" i="1" s="1"/>
  <c r="T455" i="1"/>
  <c r="U455" i="1" s="1"/>
  <c r="T264" i="1"/>
  <c r="U264" i="1" s="1"/>
  <c r="T308" i="1"/>
  <c r="U308" i="1" s="1"/>
  <c r="T558" i="1"/>
  <c r="U558" i="1" s="1"/>
  <c r="T547" i="1"/>
  <c r="U547" i="1" s="1"/>
  <c r="T507" i="1"/>
  <c r="U507" i="1" s="1"/>
  <c r="T279" i="1"/>
  <c r="U279" i="1" s="1"/>
  <c r="T505" i="1"/>
  <c r="U505" i="1" s="1"/>
  <c r="T559" i="1"/>
  <c r="U559" i="1" s="1"/>
  <c r="T628" i="1"/>
  <c r="U628" i="1" s="1"/>
  <c r="T563" i="1"/>
  <c r="U563" i="1" s="1"/>
  <c r="T561" i="1"/>
  <c r="U561" i="1" s="1"/>
  <c r="T283" i="1"/>
  <c r="U283" i="1" s="1"/>
  <c r="T260" i="1"/>
  <c r="U260" i="1" s="1"/>
  <c r="T508" i="1"/>
  <c r="U508" i="1" s="1"/>
  <c r="T325" i="1"/>
  <c r="U325" i="1" s="1"/>
  <c r="T402" i="1"/>
  <c r="U402" i="1" s="1"/>
  <c r="T284" i="1"/>
  <c r="U284" i="1" s="1"/>
  <c r="T285" i="1"/>
  <c r="U285" i="1" s="1"/>
  <c r="T353" i="1"/>
  <c r="U353" i="1" s="1"/>
  <c r="T526" i="1"/>
  <c r="U526" i="1" s="1"/>
  <c r="T275" i="1"/>
  <c r="U275" i="1" s="1"/>
  <c r="T509" i="1"/>
  <c r="U509" i="1" s="1"/>
  <c r="T528" i="1"/>
  <c r="U528" i="1" s="1"/>
  <c r="T596" i="1"/>
  <c r="U596" i="1" s="1"/>
  <c r="T504" i="1"/>
  <c r="U504" i="1" s="1"/>
  <c r="T489" i="1"/>
  <c r="U489" i="1" s="1"/>
  <c r="T582" i="1"/>
  <c r="U582" i="1" s="1"/>
  <c r="T349" i="1"/>
  <c r="U349" i="1" s="1"/>
  <c r="T589" i="1"/>
  <c r="U589" i="1" s="1"/>
  <c r="T339" i="1"/>
  <c r="U339" i="1" s="1"/>
  <c r="T369" i="1"/>
  <c r="U369" i="1" s="1"/>
  <c r="T292" i="1"/>
  <c r="U292" i="1" s="1"/>
  <c r="T289" i="1"/>
  <c r="U289" i="1" s="1"/>
  <c r="T601" i="1"/>
  <c r="U601" i="1" s="1"/>
  <c r="T638" i="1"/>
  <c r="U638" i="1" s="1"/>
  <c r="T471" i="1"/>
  <c r="U471" i="1" s="1"/>
  <c r="T538" i="1"/>
  <c r="U538" i="1" s="1"/>
  <c r="T388" i="1"/>
  <c r="U388" i="1" s="1"/>
  <c r="T321" i="1"/>
  <c r="U321" i="1" s="1"/>
  <c r="T466" i="1"/>
  <c r="U466" i="1" s="1"/>
  <c r="T326" i="1"/>
  <c r="U326" i="1" s="1"/>
  <c r="T272" i="1"/>
  <c r="U272" i="1" s="1"/>
  <c r="T452" i="1"/>
  <c r="U452" i="1" s="1"/>
  <c r="T358" i="1"/>
  <c r="U358" i="1" s="1"/>
  <c r="T615" i="1"/>
  <c r="U615" i="1" s="1"/>
  <c r="T578" i="1"/>
  <c r="U578" i="1" s="1"/>
  <c r="T270" i="1"/>
  <c r="U270" i="1" s="1"/>
  <c r="T335" i="1"/>
  <c r="U335" i="1" s="1"/>
  <c r="T291" i="1"/>
  <c r="U291" i="1" s="1"/>
  <c r="T479" i="1"/>
  <c r="U479" i="1" s="1"/>
  <c r="T573" i="1"/>
  <c r="U573" i="1" s="1"/>
  <c r="T555" i="1"/>
  <c r="U555" i="1" s="1"/>
  <c r="T514" i="1"/>
  <c r="U514" i="1" s="1"/>
  <c r="T542" i="1"/>
  <c r="U542" i="1" s="1"/>
  <c r="T614" i="1"/>
  <c r="U614" i="1" s="1"/>
  <c r="T261" i="1"/>
  <c r="U261" i="1" s="1"/>
  <c r="T340" i="1"/>
  <c r="U340" i="1" s="1"/>
  <c r="T271" i="1"/>
  <c r="U271" i="1" s="1"/>
  <c r="T276" i="1"/>
  <c r="U276" i="1" s="1"/>
  <c r="T608" i="1"/>
  <c r="U608" i="1" s="1"/>
  <c r="T546" i="1"/>
  <c r="U546" i="1" s="1"/>
  <c r="T334" i="1"/>
  <c r="U334" i="1" s="1"/>
  <c r="T293" i="1"/>
  <c r="U293" i="1" s="1"/>
  <c r="T613" i="1"/>
  <c r="U613" i="1" s="1"/>
  <c r="T366" i="1"/>
  <c r="U366" i="1" s="1"/>
  <c r="T571" i="1"/>
  <c r="U571" i="1" s="1"/>
  <c r="T632" i="1"/>
  <c r="U632" i="1" s="1"/>
  <c r="T252" i="1"/>
  <c r="U252" i="1" s="1"/>
  <c r="T390" i="1"/>
  <c r="U390" i="1" s="1"/>
  <c r="T469" i="1"/>
  <c r="U469" i="1" s="1"/>
  <c r="T600" i="1"/>
  <c r="U600" i="1" s="1"/>
  <c r="T577" i="1"/>
  <c r="U577" i="1" s="1"/>
  <c r="T478" i="1"/>
  <c r="U478" i="1" s="1"/>
  <c r="T557" i="1"/>
  <c r="U557" i="1" s="1"/>
  <c r="T359" i="1"/>
  <c r="U359" i="1" s="1"/>
  <c r="T616" i="1"/>
  <c r="U616" i="1" s="1"/>
  <c r="T377" i="1"/>
  <c r="U377" i="1" s="1"/>
  <c r="T487" i="1"/>
  <c r="U487" i="1" s="1"/>
  <c r="T541" i="1"/>
  <c r="U541" i="1" s="1"/>
  <c r="T574" i="1"/>
  <c r="U574" i="1" s="1"/>
  <c r="T355" i="1"/>
  <c r="U355" i="1" s="1"/>
  <c r="T545" i="1"/>
  <c r="U545" i="1" s="1"/>
  <c r="T322" i="1"/>
  <c r="U322" i="1" s="1"/>
  <c r="T595" i="1"/>
  <c r="U595" i="1" s="1"/>
  <c r="T459" i="1"/>
  <c r="U459" i="1" s="1"/>
  <c r="T604" i="1"/>
  <c r="U604" i="1" s="1"/>
  <c r="T465" i="1"/>
  <c r="U465" i="1" s="1"/>
  <c r="T280" i="1"/>
  <c r="U280" i="1" s="1"/>
  <c r="T630" i="1"/>
  <c r="U630" i="1" s="1"/>
  <c r="T365" i="1"/>
  <c r="U365" i="1" s="1"/>
  <c r="T361" i="1"/>
  <c r="U361" i="1" s="1"/>
  <c r="T397" i="1"/>
  <c r="U397" i="1" s="1"/>
  <c r="T569" i="1"/>
  <c r="U569" i="1" s="1"/>
  <c r="T343" i="1"/>
  <c r="U343" i="1" s="1"/>
  <c r="T347" i="1"/>
  <c r="U347" i="1" s="1"/>
  <c r="T372" i="1"/>
  <c r="U372" i="1" s="1"/>
  <c r="T383" i="1"/>
  <c r="U383" i="1" s="1"/>
  <c r="T371" i="1"/>
  <c r="U371" i="1" s="1"/>
  <c r="T457" i="1"/>
  <c r="U457" i="1" s="1"/>
  <c r="T363" i="1"/>
  <c r="U363" i="1" s="1"/>
  <c r="T401" i="1"/>
  <c r="U401" i="1" s="1"/>
  <c r="T511" i="1"/>
  <c r="U511" i="1" s="1"/>
  <c r="T476" i="1"/>
  <c r="U476" i="1" s="1"/>
  <c r="T612" i="1"/>
  <c r="U612" i="1" s="1"/>
  <c r="T287" i="1"/>
  <c r="U287" i="1" s="1"/>
  <c r="T330" i="1"/>
  <c r="U330" i="1" s="1"/>
  <c r="T517" i="1"/>
  <c r="U517" i="1" s="1"/>
  <c r="T336" i="1"/>
  <c r="U336" i="1" s="1"/>
  <c r="T467" i="1"/>
  <c r="U467" i="1" s="1"/>
  <c r="T461" i="1"/>
  <c r="U461" i="1" s="1"/>
  <c r="T303" i="1"/>
  <c r="U303" i="1" s="1"/>
  <c r="T521" i="1"/>
  <c r="U521" i="1" s="1"/>
  <c r="T583" i="1"/>
  <c r="U583" i="1" s="1"/>
  <c r="T367" i="1"/>
  <c r="U367" i="1" s="1"/>
  <c r="T590" i="1"/>
  <c r="U590" i="1" s="1"/>
  <c r="T627" i="1"/>
  <c r="U627" i="1" s="1"/>
  <c r="T364" i="1"/>
  <c r="U364" i="1" s="1"/>
  <c r="T332" i="1"/>
  <c r="U332" i="1" s="1"/>
  <c r="T341" i="1"/>
  <c r="U341" i="1" s="1"/>
  <c r="T499" i="1"/>
  <c r="U499" i="1" s="1"/>
  <c r="T281" i="1"/>
  <c r="U281" i="1" s="1"/>
  <c r="T565" i="1"/>
  <c r="U565" i="1" s="1"/>
  <c r="T389" i="1"/>
  <c r="U389" i="1" s="1"/>
  <c r="T392" i="1"/>
  <c r="U392" i="1" s="1"/>
  <c r="T327" i="1"/>
  <c r="U327" i="1" s="1"/>
  <c r="T265" i="1"/>
  <c r="U265" i="1" s="1"/>
  <c r="T485" i="1"/>
  <c r="U485" i="1" s="1"/>
  <c r="T456" i="1"/>
  <c r="U456" i="1" s="1"/>
  <c r="T481" i="1"/>
  <c r="U481" i="1" s="1"/>
  <c r="T496" i="1"/>
  <c r="U496" i="1" s="1"/>
  <c r="T529" i="1"/>
  <c r="U529" i="1" s="1"/>
  <c r="T482" i="1"/>
  <c r="U482" i="1" s="1"/>
  <c r="T605" i="1"/>
  <c r="U605" i="1" s="1"/>
  <c r="T580" i="1"/>
  <c r="U580" i="1" s="1"/>
  <c r="T462" i="1"/>
  <c r="U462" i="1" s="1"/>
  <c r="T346" i="1"/>
  <c r="U346" i="1" s="1"/>
  <c r="T354" i="1"/>
  <c r="U354" i="1" s="1"/>
  <c r="T301" i="1"/>
  <c r="U301" i="1" s="1"/>
  <c r="T611" i="1"/>
  <c r="U611" i="1" s="1"/>
  <c r="T498" i="1"/>
  <c r="U498" i="1" s="1"/>
  <c r="T522" i="1"/>
  <c r="U522" i="1" s="1"/>
  <c r="T306" i="1"/>
  <c r="U306" i="1" s="1"/>
  <c r="T286" i="1"/>
  <c r="U286" i="1" s="1"/>
  <c r="T305" i="1"/>
  <c r="U305" i="1" s="1"/>
  <c r="T328" i="1"/>
  <c r="U328" i="1" s="1"/>
  <c r="T381" i="1"/>
  <c r="U381" i="1" s="1"/>
  <c r="T357" i="1"/>
  <c r="U357" i="1" s="1"/>
  <c r="T309" i="1"/>
  <c r="U309" i="1" s="1"/>
  <c r="T370" i="1"/>
  <c r="U370" i="1" s="1"/>
  <c r="T342" i="1"/>
  <c r="U342" i="1" s="1"/>
  <c r="T584" i="1"/>
  <c r="U584" i="1" s="1"/>
  <c r="T594" i="1"/>
  <c r="U594" i="1" s="1"/>
  <c r="T581" i="1"/>
  <c r="U581" i="1" s="1"/>
  <c r="T597" i="1"/>
  <c r="U597" i="1" s="1"/>
  <c r="T593" i="1"/>
  <c r="U593" i="1" s="1"/>
  <c r="T273" i="1"/>
  <c r="U273" i="1" s="1"/>
  <c r="T266" i="1"/>
  <c r="U266" i="1" s="1"/>
  <c r="T585" i="1"/>
  <c r="U585" i="1" s="1"/>
  <c r="T631" i="1"/>
  <c r="U631" i="1" s="1"/>
  <c r="T384" i="1"/>
  <c r="U384" i="1" s="1"/>
  <c r="T506" i="1"/>
  <c r="U506" i="1" s="1"/>
  <c r="T536" i="1"/>
  <c r="U536" i="1" s="1"/>
  <c r="T553" i="1"/>
  <c r="U553" i="1" s="1"/>
  <c r="T454" i="1"/>
  <c r="U454" i="1" s="1"/>
  <c r="T464" i="1"/>
  <c r="U464" i="1" s="1"/>
  <c r="T453" i="1"/>
  <c r="U453" i="1" s="1"/>
  <c r="T458" i="1"/>
  <c r="U458" i="1" s="1"/>
  <c r="T323" i="1"/>
  <c r="U323" i="1" s="1"/>
  <c r="T387" i="1"/>
  <c r="U387" i="1" s="1"/>
  <c r="T376" i="1"/>
  <c r="U376" i="1" s="1"/>
  <c r="T374" i="1"/>
  <c r="U374" i="1" s="1"/>
  <c r="T400" i="1"/>
  <c r="U400" i="1" s="1"/>
  <c r="T385" i="1"/>
  <c r="U385" i="1" s="1"/>
  <c r="T386" i="1"/>
  <c r="U386" i="1" s="1"/>
  <c r="T375" i="1"/>
  <c r="U375" i="1" s="1"/>
  <c r="T351" i="1"/>
  <c r="U351" i="1" s="1"/>
  <c r="T304" i="1"/>
  <c r="U304" i="1" s="1"/>
  <c r="T637" i="1"/>
  <c r="U637" i="1" s="1"/>
  <c r="T278" i="1"/>
  <c r="U278" i="1" s="1"/>
  <c r="T262" i="1"/>
  <c r="U262" i="1" s="1"/>
  <c r="T518" i="1"/>
  <c r="U518" i="1" s="1"/>
  <c r="T492" i="1"/>
  <c r="U492" i="1" s="1"/>
  <c r="T362" i="1"/>
  <c r="U362" i="1" s="1"/>
  <c r="T329" i="1"/>
  <c r="U329" i="1" s="1"/>
  <c r="T502" i="1"/>
  <c r="U502" i="1" s="1"/>
  <c r="T566" i="1"/>
  <c r="U566" i="1" s="1"/>
  <c r="Y100" i="1"/>
  <c r="D91" i="4" s="1"/>
  <c r="Y33" i="1"/>
  <c r="D24" i="4" s="1"/>
  <c r="Y187" i="1"/>
  <c r="D178" i="4" s="1"/>
  <c r="Y63" i="1"/>
  <c r="D54" i="4" s="1"/>
  <c r="Y182" i="1"/>
  <c r="D173" i="4" s="1"/>
  <c r="Y227" i="1"/>
  <c r="D218" i="4" s="1"/>
  <c r="Y107" i="1"/>
  <c r="D98" i="4" s="1"/>
  <c r="Y23" i="1"/>
  <c r="D14" i="4" s="1"/>
  <c r="Y131" i="1"/>
  <c r="D122" i="4" s="1"/>
  <c r="Y101" i="1"/>
  <c r="D92" i="4" s="1"/>
  <c r="Y25" i="1"/>
  <c r="D16" i="4" s="1"/>
  <c r="Y56" i="1"/>
  <c r="D47" i="4" s="1"/>
  <c r="Y147" i="1"/>
  <c r="D138" i="4" s="1"/>
  <c r="Y114" i="1"/>
  <c r="D105" i="4" s="1"/>
  <c r="Y234" i="1"/>
  <c r="D225" i="4" s="1"/>
  <c r="Y129" i="1"/>
  <c r="D120" i="4" s="1"/>
  <c r="Y137" i="1"/>
  <c r="D128" i="4" s="1"/>
  <c r="Y21" i="1"/>
  <c r="D12" i="4" s="1"/>
  <c r="Y121" i="1"/>
  <c r="D112" i="4" s="1"/>
  <c r="Y240" i="1"/>
  <c r="D231" i="4" s="1"/>
  <c r="Y168" i="1"/>
  <c r="D159" i="4" s="1"/>
  <c r="Y203" i="1"/>
  <c r="D194" i="4" s="1"/>
  <c r="Y172" i="1"/>
  <c r="D163" i="4" s="1"/>
  <c r="Y40" i="1"/>
  <c r="D31" i="4" s="1"/>
  <c r="Y155" i="1"/>
  <c r="D146" i="4" s="1"/>
  <c r="Y118" i="1"/>
  <c r="D109" i="4" s="1"/>
  <c r="Y164" i="1"/>
  <c r="D155" i="4" s="1"/>
  <c r="Y149" i="1"/>
  <c r="D140" i="4" s="1"/>
  <c r="Y160" i="1"/>
  <c r="D151" i="4" s="1"/>
  <c r="Y16" i="1"/>
  <c r="D7" i="4" s="1"/>
  <c r="Y74" i="1"/>
  <c r="D65" i="4" s="1"/>
  <c r="Y238" i="1"/>
  <c r="D229" i="4" s="1"/>
  <c r="Y144" i="1"/>
  <c r="D135" i="4" s="1"/>
  <c r="Y82" i="1"/>
  <c r="D73" i="4" s="1"/>
  <c r="Y42" i="1"/>
  <c r="D33" i="4" s="1"/>
  <c r="Y221" i="1"/>
  <c r="D212" i="4" s="1"/>
  <c r="Y58" i="1"/>
  <c r="D49" i="4" s="1"/>
  <c r="Y224" i="1"/>
  <c r="D215" i="4" s="1"/>
  <c r="Y11" i="1"/>
  <c r="D2" i="4" s="1"/>
  <c r="Y128" i="1"/>
  <c r="D119" i="4" s="1"/>
  <c r="Y123" i="1"/>
  <c r="D114" i="4" s="1"/>
  <c r="Y244" i="1"/>
  <c r="D235" i="4" s="1"/>
  <c r="Y205" i="1"/>
  <c r="D196" i="4" s="1"/>
  <c r="Y111" i="1"/>
  <c r="D102" i="4" s="1"/>
  <c r="Y217" i="1"/>
  <c r="D208" i="4" s="1"/>
  <c r="Y59" i="1"/>
  <c r="D50" i="4" s="1"/>
  <c r="Y88" i="1"/>
  <c r="D79" i="4" s="1"/>
  <c r="Y116" i="1"/>
  <c r="D107" i="4" s="1"/>
  <c r="Y135" i="1"/>
  <c r="D126" i="4" s="1"/>
  <c r="Y97" i="1"/>
  <c r="D88" i="4" s="1"/>
  <c r="Y90" i="1"/>
  <c r="D81" i="4" s="1"/>
  <c r="Y210" i="1"/>
  <c r="D201" i="4" s="1"/>
  <c r="Y14" i="1"/>
  <c r="D5" i="4" s="1"/>
  <c r="Y93" i="1"/>
  <c r="D84" i="4" s="1"/>
  <c r="Y95" i="1"/>
  <c r="D86" i="4" s="1"/>
  <c r="Y174" i="1"/>
  <c r="D165" i="4" s="1"/>
  <c r="Y44" i="1"/>
  <c r="D35" i="4" s="1"/>
  <c r="Y200" i="1"/>
  <c r="D191" i="4" s="1"/>
  <c r="Y105" i="1"/>
  <c r="D96" i="4" s="1"/>
  <c r="Y61" i="1"/>
  <c r="D52" i="4" s="1"/>
  <c r="Y188" i="1"/>
  <c r="D179" i="4" s="1"/>
  <c r="Y248" i="1"/>
  <c r="D239" i="4" s="1"/>
  <c r="Y29" i="1"/>
  <c r="D20" i="4" s="1"/>
  <c r="Y18" i="1"/>
  <c r="D9" i="4" s="1"/>
  <c r="Y67" i="1"/>
  <c r="D58" i="4" s="1"/>
  <c r="Y166" i="1"/>
  <c r="D157" i="4" s="1"/>
  <c r="Y80" i="1"/>
  <c r="D71" i="4" s="1"/>
  <c r="Y236" i="1"/>
  <c r="D227" i="4" s="1"/>
  <c r="Y133" i="1"/>
  <c r="D124" i="4" s="1"/>
  <c r="Y178" i="1"/>
  <c r="D169" i="4" s="1"/>
  <c r="Y47" i="1"/>
  <c r="D38" i="4" s="1"/>
  <c r="Y69" i="1"/>
  <c r="D60" i="4" s="1"/>
  <c r="Y75" i="1"/>
  <c r="D66" i="4" s="1"/>
  <c r="Y157" i="1"/>
  <c r="D148" i="4" s="1"/>
  <c r="Y242" i="1"/>
  <c r="D233" i="4" s="1"/>
  <c r="Y226" i="1"/>
  <c r="D217" i="4" s="1"/>
  <c r="Y184" i="1"/>
  <c r="D175" i="4" s="1"/>
  <c r="Y96" i="1"/>
  <c r="D87" i="4" s="1"/>
  <c r="Y229" i="1"/>
  <c r="D220" i="4" s="1"/>
  <c r="Y214" i="1"/>
  <c r="D205" i="4" s="1"/>
  <c r="Y186" i="1"/>
  <c r="D177" i="4" s="1"/>
  <c r="Y171" i="1"/>
  <c r="D162" i="4" s="1"/>
  <c r="Y46" i="1"/>
  <c r="D37" i="4" s="1"/>
  <c r="Y176" i="1"/>
  <c r="D167" i="4" s="1"/>
  <c r="Y151" i="1"/>
  <c r="D142" i="4" s="1"/>
  <c r="Y102" i="1"/>
  <c r="D93" i="4" s="1"/>
  <c r="Y38" i="1"/>
  <c r="D29" i="4" s="1"/>
  <c r="Y180" i="1"/>
  <c r="D171" i="4" s="1"/>
  <c r="Y194" i="1"/>
  <c r="D185" i="4" s="1"/>
  <c r="Y146" i="1"/>
  <c r="D137" i="4" s="1"/>
  <c r="Y52" i="1"/>
  <c r="D43" i="4" s="1"/>
  <c r="Y198" i="1"/>
  <c r="D189" i="4" s="1"/>
  <c r="Y139" i="1"/>
  <c r="D130" i="4" s="1"/>
  <c r="Y245" i="1"/>
  <c r="D236" i="4" s="1"/>
  <c r="Y159" i="1"/>
  <c r="D150" i="4" s="1"/>
  <c r="Y219" i="1"/>
  <c r="D210" i="4" s="1"/>
  <c r="Y162" i="1"/>
  <c r="D153" i="4" s="1"/>
  <c r="Y72" i="1"/>
  <c r="D63" i="4" s="1"/>
  <c r="Y204" i="1"/>
  <c r="D195" i="4" s="1"/>
  <c r="Y216" i="1"/>
  <c r="D207" i="4" s="1"/>
  <c r="Y196" i="1"/>
  <c r="D187" i="4" s="1"/>
  <c r="Y232" i="1"/>
  <c r="D223" i="4" s="1"/>
  <c r="Y64" i="1"/>
  <c r="D55" i="4" s="1"/>
  <c r="Y12" i="1"/>
  <c r="D3" i="4" s="1"/>
  <c r="Y30" i="1"/>
  <c r="D21" i="4" s="1"/>
  <c r="Y34" i="1"/>
  <c r="D25" i="4" s="1"/>
  <c r="Y85" i="1"/>
  <c r="D76" i="4" s="1"/>
  <c r="Y192" i="1"/>
  <c r="D183" i="4" s="1"/>
  <c r="Y49" i="1"/>
  <c r="D40" i="4" s="1"/>
  <c r="Y109" i="1"/>
  <c r="D100" i="4" s="1"/>
  <c r="Y142" i="1"/>
  <c r="D133" i="4" s="1"/>
  <c r="Y208" i="1"/>
  <c r="D199" i="4" s="1"/>
  <c r="Y78" i="1"/>
  <c r="D69" i="4" s="1"/>
  <c r="Y170" i="1"/>
  <c r="D161" i="4" s="1"/>
  <c r="Y161" i="1"/>
  <c r="D152" i="4" s="1"/>
  <c r="Y99" i="1"/>
  <c r="D90" i="4" s="1"/>
  <c r="Y26" i="1"/>
  <c r="D17" i="4" s="1"/>
  <c r="Y231" i="1"/>
  <c r="D222" i="4" s="1"/>
  <c r="Y189" i="1"/>
  <c r="D180" i="4" s="1"/>
  <c r="Y92" i="1"/>
  <c r="D83" i="4" s="1"/>
  <c r="Y148" i="1"/>
  <c r="D139" i="4" s="1"/>
  <c r="Y154" i="1"/>
  <c r="D145" i="4" s="1"/>
  <c r="Y175" i="1"/>
  <c r="D166" i="4" s="1"/>
  <c r="Y190" i="1"/>
  <c r="D181" i="4" s="1"/>
  <c r="Y241" i="1"/>
  <c r="D232" i="4" s="1"/>
  <c r="Y124" i="1"/>
  <c r="D115" i="4" s="1"/>
  <c r="Y207" i="1"/>
  <c r="D198" i="4" s="1"/>
  <c r="Y45" i="1"/>
  <c r="D36" i="4" s="1"/>
  <c r="Y247" i="1"/>
  <c r="D238" i="4" s="1"/>
  <c r="Y54" i="1"/>
  <c r="D45" i="4" s="1"/>
  <c r="Y48" i="1"/>
  <c r="D39" i="4" s="1"/>
  <c r="Y66" i="1"/>
  <c r="D57" i="4" s="1"/>
  <c r="Y73" i="1"/>
  <c r="D64" i="4" s="1"/>
  <c r="Y110" i="1"/>
  <c r="D101" i="4" s="1"/>
  <c r="Y120" i="1"/>
  <c r="D111" i="4" s="1"/>
  <c r="Y130" i="1"/>
  <c r="D121" i="4" s="1"/>
  <c r="Y153" i="1"/>
  <c r="D144" i="4" s="1"/>
  <c r="Y201" i="1"/>
  <c r="D192" i="4" s="1"/>
  <c r="Y223" i="1"/>
  <c r="D214" i="4" s="1"/>
  <c r="Y235" i="1"/>
  <c r="D226" i="4" s="1"/>
  <c r="Y158" i="1"/>
  <c r="D149" i="4" s="1"/>
  <c r="Y86" i="1"/>
  <c r="D77" i="4" s="1"/>
  <c r="Y84" i="1"/>
  <c r="D75" i="4" s="1"/>
  <c r="Y237" i="1"/>
  <c r="D228" i="4" s="1"/>
  <c r="Y246" i="1"/>
  <c r="D237" i="4" s="1"/>
  <c r="Y35" i="1"/>
  <c r="D26" i="4" s="1"/>
  <c r="Y50" i="1"/>
  <c r="D41" i="4" s="1"/>
  <c r="Y125" i="1"/>
  <c r="D116" i="4" s="1"/>
  <c r="Y65" i="1"/>
  <c r="D56" i="4" s="1"/>
  <c r="Y20" i="1"/>
  <c r="D11" i="4" s="1"/>
  <c r="Y27" i="1"/>
  <c r="D18" i="4" s="1"/>
  <c r="Y43" i="1"/>
  <c r="D34" i="4" s="1"/>
  <c r="Y39" i="1"/>
  <c r="D30" i="4" s="1"/>
  <c r="Y62" i="1"/>
  <c r="D53" i="4" s="1"/>
  <c r="Y71" i="1"/>
  <c r="D62" i="4" s="1"/>
  <c r="Y76" i="1"/>
  <c r="D67" i="4" s="1"/>
  <c r="Y83" i="1"/>
  <c r="D74" i="4" s="1"/>
  <c r="Y104" i="1"/>
  <c r="D95" i="4" s="1"/>
  <c r="Y150" i="1"/>
  <c r="D141" i="4" s="1"/>
  <c r="Y156" i="1"/>
  <c r="D147" i="4" s="1"/>
  <c r="Y163" i="1"/>
  <c r="D154" i="4" s="1"/>
  <c r="Y181" i="1"/>
  <c r="D172" i="4" s="1"/>
  <c r="Y173" i="1"/>
  <c r="D164" i="4" s="1"/>
  <c r="Y183" i="1"/>
  <c r="D174" i="4" s="1"/>
  <c r="Y185" i="1"/>
  <c r="D176" i="4" s="1"/>
  <c r="Y191" i="1"/>
  <c r="D182" i="4" s="1"/>
  <c r="Y211" i="1"/>
  <c r="D202" i="4" s="1"/>
  <c r="Y220" i="1"/>
  <c r="D211" i="4" s="1"/>
  <c r="Y218" i="1"/>
  <c r="D209" i="4" s="1"/>
  <c r="Y239" i="1"/>
  <c r="D230" i="4" s="1"/>
  <c r="Y233" i="1"/>
  <c r="D224" i="4" s="1"/>
  <c r="Y197" i="1"/>
  <c r="D188" i="4" s="1"/>
  <c r="Y98" i="1"/>
  <c r="D89" i="4" s="1"/>
  <c r="Y53" i="1"/>
  <c r="D44" i="4" s="1"/>
  <c r="Y225" i="1"/>
  <c r="D216" i="4" s="1"/>
  <c r="Y55" i="1"/>
  <c r="D46" i="4" s="1"/>
  <c r="Y212" i="1"/>
  <c r="D203" i="4" s="1"/>
  <c r="Y41" i="1"/>
  <c r="D32" i="4" s="1"/>
  <c r="Y68" i="1"/>
  <c r="D59" i="4" s="1"/>
  <c r="Y89" i="1"/>
  <c r="D80" i="4" s="1"/>
  <c r="Y113" i="1"/>
  <c r="D104" i="4" s="1"/>
  <c r="Y126" i="1"/>
  <c r="D117" i="4" s="1"/>
  <c r="Y141" i="1"/>
  <c r="D132" i="4" s="1"/>
  <c r="Y177" i="1"/>
  <c r="D168" i="4" s="1"/>
  <c r="Y22" i="1"/>
  <c r="D13" i="4" s="1"/>
  <c r="Y213" i="1"/>
  <c r="D204" i="4" s="1"/>
  <c r="Y127" i="1"/>
  <c r="D118" i="4" s="1"/>
  <c r="Y57" i="1"/>
  <c r="D48" i="4" s="1"/>
  <c r="Y60" i="1"/>
  <c r="D51" i="4" s="1"/>
  <c r="Y87" i="1"/>
  <c r="D78" i="4" s="1"/>
  <c r="Y199" i="1"/>
  <c r="D190" i="4" s="1"/>
  <c r="Y145" i="1"/>
  <c r="D136" i="4" s="1"/>
  <c r="Y115" i="1"/>
  <c r="D106" i="4" s="1"/>
  <c r="Y122" i="1"/>
  <c r="D113" i="4" s="1"/>
  <c r="Y112" i="1"/>
  <c r="D103" i="4" s="1"/>
  <c r="Y15" i="1"/>
  <c r="D6" i="4" s="1"/>
  <c r="Y51" i="1"/>
  <c r="D42" i="4" s="1"/>
  <c r="Y117" i="1"/>
  <c r="D108" i="4" s="1"/>
  <c r="Y136" i="1"/>
  <c r="D127" i="4" s="1"/>
  <c r="Y143" i="1"/>
  <c r="D134" i="4" s="1"/>
  <c r="Y193" i="1"/>
  <c r="D184" i="4" s="1"/>
  <c r="Y243" i="1"/>
  <c r="D234" i="4" s="1"/>
  <c r="Y103" i="1"/>
  <c r="D94" i="4" s="1"/>
  <c r="Y138" i="1"/>
  <c r="D129" i="4" s="1"/>
  <c r="Y195" i="1"/>
  <c r="D186" i="4" s="1"/>
  <c r="Y165" i="1"/>
  <c r="D156" i="4" s="1"/>
  <c r="Y81" i="1"/>
  <c r="D72" i="4" s="1"/>
  <c r="Y215" i="1"/>
  <c r="D206" i="4" s="1"/>
  <c r="Y202" i="1"/>
  <c r="D193" i="4" s="1"/>
  <c r="Y152" i="1"/>
  <c r="D143" i="4" s="1"/>
  <c r="Y119" i="1"/>
  <c r="D110" i="4" s="1"/>
  <c r="Y28" i="1"/>
  <c r="D19" i="4" s="1"/>
  <c r="Y17" i="1"/>
  <c r="D8" i="4" s="1"/>
  <c r="Y13" i="1"/>
  <c r="D4" i="4" s="1"/>
  <c r="Y19" i="1"/>
  <c r="D10" i="4" s="1"/>
  <c r="Y32" i="1"/>
  <c r="D23" i="4" s="1"/>
  <c r="Y37" i="1"/>
  <c r="D28" i="4" s="1"/>
  <c r="Y77" i="1"/>
  <c r="D68" i="4" s="1"/>
  <c r="Y94" i="1"/>
  <c r="D85" i="4" s="1"/>
  <c r="Y134" i="1"/>
  <c r="D125" i="4" s="1"/>
  <c r="Y132" i="1"/>
  <c r="D123" i="4" s="1"/>
  <c r="Y140" i="1"/>
  <c r="D131" i="4" s="1"/>
  <c r="Y167" i="1"/>
  <c r="D158" i="4" s="1"/>
  <c r="Y179" i="1"/>
  <c r="D170" i="4" s="1"/>
  <c r="Y206" i="1"/>
  <c r="D197" i="4" s="1"/>
  <c r="Y230" i="1"/>
  <c r="D221" i="4" s="1"/>
  <c r="Y24" i="1"/>
  <c r="D15" i="4" s="1"/>
  <c r="Y31" i="1"/>
  <c r="D22" i="4" s="1"/>
  <c r="Y222" i="1"/>
  <c r="D213" i="4" s="1"/>
  <c r="Y91" i="1"/>
  <c r="D82" i="4" s="1"/>
  <c r="Y70" i="1"/>
  <c r="D61" i="4" s="1"/>
  <c r="Y106" i="1"/>
  <c r="D97" i="4" s="1"/>
  <c r="Y36" i="1"/>
  <c r="D27" i="4" s="1"/>
  <c r="Y79" i="1"/>
  <c r="D70" i="4" s="1"/>
  <c r="Y108" i="1"/>
  <c r="D99" i="4" s="1"/>
  <c r="Y169" i="1"/>
  <c r="D160" i="4" s="1"/>
  <c r="Y209" i="1"/>
  <c r="D200" i="4" s="1"/>
  <c r="Y228" i="1"/>
  <c r="D219" i="4" s="1"/>
  <c r="AC44" i="1"/>
  <c r="H35" i="4" s="1"/>
  <c r="AC216" i="1"/>
  <c r="H207" i="4" s="1"/>
  <c r="AC214" i="1"/>
  <c r="H205" i="4" s="1"/>
  <c r="AC149" i="1"/>
  <c r="H140" i="4" s="1"/>
  <c r="AC142" i="1"/>
  <c r="H133" i="4" s="1"/>
  <c r="AC139" i="1"/>
  <c r="H130" i="4" s="1"/>
  <c r="AC107" i="1"/>
  <c r="H98" i="4" s="1"/>
  <c r="AC224" i="1"/>
  <c r="H215" i="4" s="1"/>
  <c r="AC69" i="1"/>
  <c r="H60" i="4" s="1"/>
  <c r="AC168" i="1"/>
  <c r="H159" i="4" s="1"/>
  <c r="AC204" i="1"/>
  <c r="H195" i="4" s="1"/>
  <c r="AC33" i="1"/>
  <c r="H24" i="4" s="1"/>
  <c r="AC174" i="1"/>
  <c r="H165" i="4" s="1"/>
  <c r="AC135" i="1"/>
  <c r="H126" i="4" s="1"/>
  <c r="AC74" i="1"/>
  <c r="H65" i="4" s="1"/>
  <c r="AC118" i="1"/>
  <c r="H109" i="4" s="1"/>
  <c r="AC52" i="1"/>
  <c r="H43" i="4" s="1"/>
  <c r="AC85" i="1"/>
  <c r="H76" i="4" s="1"/>
  <c r="AC25" i="1"/>
  <c r="H16" i="4" s="1"/>
  <c r="AC159" i="1"/>
  <c r="H150" i="4" s="1"/>
  <c r="AC205" i="1"/>
  <c r="H196" i="4" s="1"/>
  <c r="AC129" i="1"/>
  <c r="H120" i="4" s="1"/>
  <c r="AC42" i="1"/>
  <c r="H33" i="4" s="1"/>
  <c r="AC61" i="1"/>
  <c r="H52" i="4" s="1"/>
  <c r="AC226" i="1"/>
  <c r="H217" i="4" s="1"/>
  <c r="AC146" i="1"/>
  <c r="H137" i="4" s="1"/>
  <c r="AC178" i="1"/>
  <c r="H169" i="4" s="1"/>
  <c r="AC203" i="1"/>
  <c r="H194" i="4" s="1"/>
  <c r="AC229" i="1"/>
  <c r="H220" i="4" s="1"/>
  <c r="AC172" i="1"/>
  <c r="H163" i="4" s="1"/>
  <c r="AC244" i="1"/>
  <c r="H235" i="4" s="1"/>
  <c r="AC208" i="1"/>
  <c r="H199" i="4" s="1"/>
  <c r="AC188" i="1"/>
  <c r="H179" i="4" s="1"/>
  <c r="AC186" i="1"/>
  <c r="H177" i="4" s="1"/>
  <c r="AC180" i="1"/>
  <c r="H171" i="4" s="1"/>
  <c r="AC219" i="1"/>
  <c r="H210" i="4" s="1"/>
  <c r="AC192" i="1"/>
  <c r="H183" i="4" s="1"/>
  <c r="AC47" i="1"/>
  <c r="H38" i="4" s="1"/>
  <c r="AC18" i="1"/>
  <c r="H9" i="4" s="1"/>
  <c r="AC96" i="1"/>
  <c r="H87" i="4" s="1"/>
  <c r="AC248" i="1"/>
  <c r="H239" i="4" s="1"/>
  <c r="AC200" i="1"/>
  <c r="H191" i="4" s="1"/>
  <c r="AC38" i="1"/>
  <c r="H29" i="4" s="1"/>
  <c r="AC64" i="1"/>
  <c r="H55" i="4" s="1"/>
  <c r="AC155" i="1"/>
  <c r="H146" i="4" s="1"/>
  <c r="AC238" i="1"/>
  <c r="H229" i="4" s="1"/>
  <c r="AC75" i="1"/>
  <c r="H66" i="4" s="1"/>
  <c r="AC109" i="1"/>
  <c r="H100" i="4" s="1"/>
  <c r="AC162" i="1"/>
  <c r="H153" i="4" s="1"/>
  <c r="AC40" i="1"/>
  <c r="H31" i="4" s="1"/>
  <c r="AC160" i="1"/>
  <c r="H151" i="4" s="1"/>
  <c r="AC88" i="1"/>
  <c r="H79" i="4" s="1"/>
  <c r="AC82" i="1"/>
  <c r="H73" i="4" s="1"/>
  <c r="AC14" i="1"/>
  <c r="H5" i="4" s="1"/>
  <c r="AC196" i="1"/>
  <c r="H187" i="4" s="1"/>
  <c r="AC144" i="1"/>
  <c r="H135" i="4" s="1"/>
  <c r="AC121" i="1"/>
  <c r="H112" i="4" s="1"/>
  <c r="AC210" i="1"/>
  <c r="H201" i="4" s="1"/>
  <c r="AC105" i="1"/>
  <c r="H96" i="4" s="1"/>
  <c r="AC198" i="1"/>
  <c r="H189" i="4" s="1"/>
  <c r="AC111" i="1"/>
  <c r="H102" i="4" s="1"/>
  <c r="AC67" i="1"/>
  <c r="H58" i="4" s="1"/>
  <c r="AC93" i="1"/>
  <c r="H84" i="4" s="1"/>
  <c r="AC240" i="1"/>
  <c r="H231" i="4" s="1"/>
  <c r="AC59" i="1"/>
  <c r="H50" i="4" s="1"/>
  <c r="AC137" i="1"/>
  <c r="H128" i="4" s="1"/>
  <c r="AC11" i="1"/>
  <c r="H2" i="4" s="1"/>
  <c r="AC128" i="1"/>
  <c r="H119" i="4" s="1"/>
  <c r="AC56" i="1"/>
  <c r="H47" i="4" s="1"/>
  <c r="AC221" i="1"/>
  <c r="H212" i="4" s="1"/>
  <c r="AC95" i="1"/>
  <c r="H86" i="4" s="1"/>
  <c r="AC176" i="1"/>
  <c r="H167" i="4" s="1"/>
  <c r="AC87" i="1"/>
  <c r="H78" i="4" s="1"/>
  <c r="AC131" i="1"/>
  <c r="H122" i="4" s="1"/>
  <c r="AC145" i="1"/>
  <c r="H136" i="4" s="1"/>
  <c r="AC166" i="1"/>
  <c r="H157" i="4" s="1"/>
  <c r="AC90" i="1"/>
  <c r="H81" i="4" s="1"/>
  <c r="AC29" i="1"/>
  <c r="H20" i="4" s="1"/>
  <c r="AC232" i="1"/>
  <c r="H223" i="4" s="1"/>
  <c r="AC123" i="1"/>
  <c r="H114" i="4" s="1"/>
  <c r="AC164" i="1"/>
  <c r="H155" i="4" s="1"/>
  <c r="AC49" i="1"/>
  <c r="H40" i="4" s="1"/>
  <c r="AC151" i="1"/>
  <c r="H142" i="4" s="1"/>
  <c r="AC12" i="1"/>
  <c r="H3" i="4" s="1"/>
  <c r="AC16" i="1"/>
  <c r="H7" i="4" s="1"/>
  <c r="AC101" i="1"/>
  <c r="H92" i="4" s="1"/>
  <c r="AC72" i="1"/>
  <c r="H63" i="4" s="1"/>
  <c r="AC78" i="1"/>
  <c r="H69" i="4" s="1"/>
  <c r="AC170" i="1"/>
  <c r="H161" i="4" s="1"/>
  <c r="AC133" i="1"/>
  <c r="H124" i="4" s="1"/>
  <c r="AC97" i="1"/>
  <c r="H88" i="4" s="1"/>
  <c r="AC30" i="1"/>
  <c r="H21" i="4" s="1"/>
  <c r="AC242" i="1"/>
  <c r="H233" i="4" s="1"/>
  <c r="AC157" i="1"/>
  <c r="H148" i="4" s="1"/>
  <c r="AC21" i="1"/>
  <c r="H12" i="4" s="1"/>
  <c r="AC236" i="1"/>
  <c r="H227" i="4" s="1"/>
  <c r="AC194" i="1"/>
  <c r="H185" i="4" s="1"/>
  <c r="AC171" i="1"/>
  <c r="H162" i="4" s="1"/>
  <c r="AC80" i="1"/>
  <c r="H71" i="4" s="1"/>
  <c r="AC116" i="1"/>
  <c r="H107" i="4" s="1"/>
  <c r="AC147" i="1"/>
  <c r="H138" i="4" s="1"/>
  <c r="AC23" i="1"/>
  <c r="H14" i="4" s="1"/>
  <c r="AC245" i="1"/>
  <c r="H236" i="4" s="1"/>
  <c r="AC217" i="1"/>
  <c r="H208" i="4" s="1"/>
  <c r="AC234" i="1"/>
  <c r="H225" i="4" s="1"/>
  <c r="AC102" i="1"/>
  <c r="H93" i="4" s="1"/>
  <c r="AC184" i="1"/>
  <c r="H175" i="4" s="1"/>
  <c r="AC92" i="1"/>
  <c r="H83" i="4" s="1"/>
  <c r="AC73" i="1"/>
  <c r="H64" i="4" s="1"/>
  <c r="AC230" i="1"/>
  <c r="H221" i="4" s="1"/>
  <c r="AC50" i="1"/>
  <c r="H41" i="4" s="1"/>
  <c r="AC132" i="1"/>
  <c r="H123" i="4" s="1"/>
  <c r="AC99" i="1"/>
  <c r="H90" i="4" s="1"/>
  <c r="AC231" i="1"/>
  <c r="H222" i="4" s="1"/>
  <c r="AC84" i="1"/>
  <c r="H75" i="4" s="1"/>
  <c r="AC177" i="1"/>
  <c r="H168" i="4" s="1"/>
  <c r="AC17" i="1"/>
  <c r="H8" i="4" s="1"/>
  <c r="AC26" i="1"/>
  <c r="H17" i="4" s="1"/>
  <c r="AC115" i="1"/>
  <c r="H106" i="4" s="1"/>
  <c r="AC202" i="1"/>
  <c r="H193" i="4" s="1"/>
  <c r="AC15" i="1"/>
  <c r="H6" i="4" s="1"/>
  <c r="AC27" i="1"/>
  <c r="H18" i="4" s="1"/>
  <c r="AC43" i="1"/>
  <c r="H34" i="4" s="1"/>
  <c r="AC77" i="1"/>
  <c r="H68" i="4" s="1"/>
  <c r="AC136" i="1"/>
  <c r="H127" i="4" s="1"/>
  <c r="AC163" i="1"/>
  <c r="H154" i="4" s="1"/>
  <c r="AC181" i="1"/>
  <c r="H172" i="4" s="1"/>
  <c r="AC213" i="1"/>
  <c r="H204" i="4" s="1"/>
  <c r="AC89" i="1"/>
  <c r="H80" i="4" s="1"/>
  <c r="AC138" i="1"/>
  <c r="H129" i="4" s="1"/>
  <c r="AC148" i="1"/>
  <c r="H139" i="4" s="1"/>
  <c r="AC154" i="1"/>
  <c r="H145" i="4" s="1"/>
  <c r="AC207" i="1"/>
  <c r="H198" i="4" s="1"/>
  <c r="AC247" i="1"/>
  <c r="H238" i="4" s="1"/>
  <c r="AC119" i="1"/>
  <c r="H110" i="4" s="1"/>
  <c r="AC54" i="1"/>
  <c r="H45" i="4" s="1"/>
  <c r="AC36" i="1"/>
  <c r="H27" i="4" s="1"/>
  <c r="AC37" i="1"/>
  <c r="H28" i="4" s="1"/>
  <c r="AC48" i="1"/>
  <c r="H39" i="4" s="1"/>
  <c r="AC68" i="1"/>
  <c r="H59" i="4" s="1"/>
  <c r="AC79" i="1"/>
  <c r="H70" i="4" s="1"/>
  <c r="AC113" i="1"/>
  <c r="H104" i="4" s="1"/>
  <c r="AC120" i="1"/>
  <c r="H111" i="4" s="1"/>
  <c r="AC167" i="1"/>
  <c r="H158" i="4" s="1"/>
  <c r="AC22" i="1"/>
  <c r="H13" i="4" s="1"/>
  <c r="AC31" i="1"/>
  <c r="H22" i="4" s="1"/>
  <c r="AC222" i="1"/>
  <c r="H213" i="4" s="1"/>
  <c r="AC187" i="1"/>
  <c r="H178" i="4" s="1"/>
  <c r="AC127" i="1"/>
  <c r="H118" i="4" s="1"/>
  <c r="AC45" i="1"/>
  <c r="H36" i="4" s="1"/>
  <c r="AC152" i="1"/>
  <c r="H143" i="4" s="1"/>
  <c r="AC65" i="1"/>
  <c r="H56" i="4" s="1"/>
  <c r="AC19" i="1"/>
  <c r="H10" i="4" s="1"/>
  <c r="AC94" i="1"/>
  <c r="H85" i="4" s="1"/>
  <c r="AC134" i="1"/>
  <c r="H125" i="4" s="1"/>
  <c r="AC153" i="1"/>
  <c r="H144" i="4" s="1"/>
  <c r="AC169" i="1"/>
  <c r="H160" i="4" s="1"/>
  <c r="AC185" i="1"/>
  <c r="H176" i="4" s="1"/>
  <c r="AC206" i="1"/>
  <c r="H197" i="4" s="1"/>
  <c r="AC223" i="1"/>
  <c r="H214" i="4" s="1"/>
  <c r="AC228" i="1"/>
  <c r="H219" i="4" s="1"/>
  <c r="AC100" i="1"/>
  <c r="H91" i="4" s="1"/>
  <c r="AC141" i="1"/>
  <c r="H132" i="4" s="1"/>
  <c r="AC175" i="1"/>
  <c r="H166" i="4" s="1"/>
  <c r="AC190" i="1"/>
  <c r="H181" i="4" s="1"/>
  <c r="AC195" i="1"/>
  <c r="H186" i="4" s="1"/>
  <c r="AC241" i="1"/>
  <c r="H232" i="4" s="1"/>
  <c r="AC237" i="1"/>
  <c r="H228" i="4" s="1"/>
  <c r="AC35" i="1"/>
  <c r="H26" i="4" s="1"/>
  <c r="AC165" i="1"/>
  <c r="H156" i="4" s="1"/>
  <c r="AC227" i="1"/>
  <c r="H218" i="4" s="1"/>
  <c r="AC63" i="1"/>
  <c r="H54" i="4" s="1"/>
  <c r="AC125" i="1"/>
  <c r="H116" i="4" s="1"/>
  <c r="AC106" i="1"/>
  <c r="H97" i="4" s="1"/>
  <c r="AC32" i="1"/>
  <c r="H23" i="4" s="1"/>
  <c r="AC66" i="1"/>
  <c r="H57" i="4" s="1"/>
  <c r="AC76" i="1"/>
  <c r="H67" i="4" s="1"/>
  <c r="AC104" i="1"/>
  <c r="H95" i="4" s="1"/>
  <c r="AC130" i="1"/>
  <c r="H121" i="4" s="1"/>
  <c r="AC173" i="1"/>
  <c r="H164" i="4" s="1"/>
  <c r="AC201" i="1"/>
  <c r="H192" i="4" s="1"/>
  <c r="AC209" i="1"/>
  <c r="H200" i="4" s="1"/>
  <c r="AC235" i="1"/>
  <c r="H226" i="4" s="1"/>
  <c r="AC197" i="1"/>
  <c r="H188" i="4" s="1"/>
  <c r="AC86" i="1"/>
  <c r="H77" i="4" s="1"/>
  <c r="AC53" i="1"/>
  <c r="H44" i="4" s="1"/>
  <c r="AC57" i="1"/>
  <c r="H48" i="4" s="1"/>
  <c r="AC60" i="1"/>
  <c r="H51" i="4" s="1"/>
  <c r="AC199" i="1"/>
  <c r="H190" i="4" s="1"/>
  <c r="AC246" i="1"/>
  <c r="H237" i="4" s="1"/>
  <c r="AC103" i="1"/>
  <c r="H94" i="4" s="1"/>
  <c r="AC182" i="1"/>
  <c r="H173" i="4" s="1"/>
  <c r="AC122" i="1"/>
  <c r="H113" i="4" s="1"/>
  <c r="AC112" i="1"/>
  <c r="H103" i="4" s="1"/>
  <c r="AC91" i="1"/>
  <c r="H82" i="4" s="1"/>
  <c r="AC70" i="1"/>
  <c r="H61" i="4" s="1"/>
  <c r="AC212" i="1"/>
  <c r="H203" i="4" s="1"/>
  <c r="AC41" i="1"/>
  <c r="H32" i="4" s="1"/>
  <c r="AC62" i="1"/>
  <c r="H53" i="4" s="1"/>
  <c r="AC83" i="1"/>
  <c r="H74" i="4" s="1"/>
  <c r="AC110" i="1"/>
  <c r="H101" i="4" s="1"/>
  <c r="AC126" i="1"/>
  <c r="H117" i="4" s="1"/>
  <c r="AC143" i="1"/>
  <c r="H134" i="4" s="1"/>
  <c r="AC150" i="1"/>
  <c r="H141" i="4" s="1"/>
  <c r="AC156" i="1"/>
  <c r="H147" i="4" s="1"/>
  <c r="AC183" i="1"/>
  <c r="H174" i="4" s="1"/>
  <c r="AC191" i="1"/>
  <c r="H182" i="4" s="1"/>
  <c r="AC211" i="1"/>
  <c r="H202" i="4" s="1"/>
  <c r="AC218" i="1"/>
  <c r="H209" i="4" s="1"/>
  <c r="AC239" i="1"/>
  <c r="H230" i="4" s="1"/>
  <c r="AC233" i="1"/>
  <c r="H224" i="4" s="1"/>
  <c r="AC158" i="1"/>
  <c r="H149" i="4" s="1"/>
  <c r="AC98" i="1"/>
  <c r="H89" i="4" s="1"/>
  <c r="AC215" i="1"/>
  <c r="H206" i="4" s="1"/>
  <c r="AC55" i="1"/>
  <c r="H46" i="4" s="1"/>
  <c r="AC28" i="1"/>
  <c r="H19" i="4" s="1"/>
  <c r="AC13" i="1"/>
  <c r="H4" i="4" s="1"/>
  <c r="AC20" i="1"/>
  <c r="H11" i="4" s="1"/>
  <c r="AC39" i="1"/>
  <c r="H30" i="4" s="1"/>
  <c r="AC51" i="1"/>
  <c r="H42" i="4" s="1"/>
  <c r="AC71" i="1"/>
  <c r="H62" i="4" s="1"/>
  <c r="AC117" i="1"/>
  <c r="H108" i="4" s="1"/>
  <c r="AC140" i="1"/>
  <c r="H131" i="4" s="1"/>
  <c r="AC179" i="1"/>
  <c r="H170" i="4" s="1"/>
  <c r="AC193" i="1"/>
  <c r="H184" i="4" s="1"/>
  <c r="AC220" i="1"/>
  <c r="H211" i="4" s="1"/>
  <c r="AC243" i="1"/>
  <c r="H234" i="4" s="1"/>
  <c r="AC34" i="1"/>
  <c r="H25" i="4" s="1"/>
  <c r="AC124" i="1"/>
  <c r="H115" i="4" s="1"/>
  <c r="AA319" i="1"/>
  <c r="F310" i="4" s="1"/>
  <c r="AA602" i="1"/>
  <c r="F594" i="4" s="1"/>
  <c r="AA453" i="1"/>
  <c r="F445" i="4" s="1"/>
  <c r="AA454" i="1"/>
  <c r="F446" i="4" s="1"/>
  <c r="AA381" i="1"/>
  <c r="F373" i="4" s="1"/>
  <c r="AA392" i="1"/>
  <c r="F384" i="4" s="1"/>
  <c r="AA547" i="1"/>
  <c r="F539" i="4" s="1"/>
  <c r="AA336" i="1"/>
  <c r="F327" i="4" s="1"/>
  <c r="AA535" i="1"/>
  <c r="F527" i="4" s="1"/>
  <c r="AA587" i="1"/>
  <c r="F579" i="4" s="1"/>
  <c r="AA355" i="1"/>
  <c r="F347" i="4" s="1"/>
  <c r="AA306" i="1"/>
  <c r="F297" i="4" s="1"/>
  <c r="AA288" i="1"/>
  <c r="F279" i="4" s="1"/>
  <c r="AA329" i="1"/>
  <c r="F320" i="4" s="1"/>
  <c r="AA386" i="1"/>
  <c r="F378" i="4" s="1"/>
  <c r="AA562" i="1"/>
  <c r="F554" i="4" s="1"/>
  <c r="AA522" i="1"/>
  <c r="F514" i="4" s="1"/>
  <c r="AA341" i="1"/>
  <c r="F332" i="4" s="1"/>
  <c r="AA308" i="1"/>
  <c r="F299" i="4" s="1"/>
  <c r="AA360" i="1"/>
  <c r="F352" i="4" s="1"/>
  <c r="AA475" i="1"/>
  <c r="F467" i="4" s="1"/>
  <c r="AA369" i="1"/>
  <c r="F361" i="4" s="1"/>
  <c r="AA611" i="1"/>
  <c r="F603" i="4" s="1"/>
  <c r="AA458" i="1"/>
  <c r="F450" i="4" s="1"/>
  <c r="AA505" i="1"/>
  <c r="F497" i="4" s="1"/>
  <c r="AA345" i="1"/>
  <c r="F336" i="4" s="1"/>
  <c r="AA372" i="1"/>
  <c r="F364" i="4" s="1"/>
  <c r="AA595" i="1"/>
  <c r="F587" i="4" s="1"/>
  <c r="AA590" i="1"/>
  <c r="F582" i="4" s="1"/>
  <c r="AA279" i="1"/>
  <c r="F270" i="4" s="1"/>
  <c r="AA391" i="1"/>
  <c r="F383" i="4" s="1"/>
  <c r="AA382" i="1"/>
  <c r="F374" i="4" s="1"/>
  <c r="AA605" i="1"/>
  <c r="F597" i="4" s="1"/>
  <c r="AA384" i="1"/>
  <c r="F376" i="4" s="1"/>
  <c r="AA324" i="1"/>
  <c r="F315" i="4" s="1"/>
  <c r="AA269" i="1"/>
  <c r="F260" i="4" s="1"/>
  <c r="AA578" i="1"/>
  <c r="F570" i="4" s="1"/>
  <c r="AA277" i="1"/>
  <c r="F268" i="4" s="1"/>
  <c r="AA305" i="1"/>
  <c r="F296" i="4" s="1"/>
  <c r="AA363" i="1"/>
  <c r="F355" i="4" s="1"/>
  <c r="AA332" i="1"/>
  <c r="F323" i="4" s="1"/>
  <c r="AA601" i="1"/>
  <c r="F593" i="4" s="1"/>
  <c r="AA583" i="1"/>
  <c r="F575" i="4" s="1"/>
  <c r="AA610" i="1"/>
  <c r="F602" i="4" s="1"/>
  <c r="AA272" i="1"/>
  <c r="F263" i="4" s="1"/>
  <c r="AA480" i="1"/>
  <c r="F472" i="4" s="1"/>
  <c r="AA508" i="1"/>
  <c r="F500" i="4" s="1"/>
  <c r="AA481" i="1"/>
  <c r="F473" i="4" s="1"/>
  <c r="AA323" i="1"/>
  <c r="F314" i="4" s="1"/>
  <c r="AA511" i="1"/>
  <c r="F503" i="4" s="1"/>
  <c r="AA593" i="1"/>
  <c r="F585" i="4" s="1"/>
  <c r="AA270" i="1"/>
  <c r="F261" i="4" s="1"/>
  <c r="AA517" i="1"/>
  <c r="F509" i="4" s="1"/>
  <c r="AA617" i="1"/>
  <c r="F346" i="4" s="1"/>
  <c r="AA283" i="1"/>
  <c r="F274" i="4" s="1"/>
  <c r="AA477" i="1"/>
  <c r="F469" i="4" s="1"/>
  <c r="AA585" i="1"/>
  <c r="F577" i="4" s="1"/>
  <c r="AA503" i="1"/>
  <c r="F495" i="4" s="1"/>
  <c r="AA342" i="1"/>
  <c r="F333" i="4" s="1"/>
  <c r="AA565" i="1"/>
  <c r="F557" i="4" s="1"/>
  <c r="AA260" i="1"/>
  <c r="F251" i="4" s="1"/>
  <c r="AA292" i="1"/>
  <c r="F283" i="4" s="1"/>
  <c r="AA281" i="1"/>
  <c r="F272" i="4" s="1"/>
  <c r="AA339" i="1"/>
  <c r="F330" i="4" s="1"/>
  <c r="AA613" i="1"/>
  <c r="F605" i="4" s="1"/>
  <c r="AA558" i="1"/>
  <c r="F550" i="4" s="1"/>
  <c r="AA343" i="1"/>
  <c r="F334" i="4" s="1"/>
  <c r="AA350" i="1"/>
  <c r="F341" i="4" s="1"/>
  <c r="AA479" i="1"/>
  <c r="F471" i="4" s="1"/>
  <c r="AA331" i="1"/>
  <c r="F322" i="4" s="1"/>
  <c r="AA456" i="1"/>
  <c r="F448" i="4" s="1"/>
  <c r="AA366" i="1"/>
  <c r="F358" i="4" s="1"/>
  <c r="AA291" i="1"/>
  <c r="F282" i="4" s="1"/>
  <c r="AA361" i="1"/>
  <c r="F353" i="4" s="1"/>
  <c r="AA284" i="1"/>
  <c r="F275" i="4" s="1"/>
  <c r="AA563" i="1"/>
  <c r="F555" i="4" s="1"/>
  <c r="AA364" i="1"/>
  <c r="F356" i="4" s="1"/>
  <c r="AA548" i="1"/>
  <c r="F540" i="4" s="1"/>
  <c r="AA580" i="1"/>
  <c r="F572" i="4" s="1"/>
  <c r="AA482" i="1"/>
  <c r="F474" i="4" s="1"/>
  <c r="AA251" i="1"/>
  <c r="F242" i="4" s="1"/>
  <c r="AA471" i="1"/>
  <c r="F463" i="4" s="1"/>
  <c r="AA577" i="1"/>
  <c r="F569" i="4" s="1"/>
  <c r="AA571" i="1"/>
  <c r="F563" i="4" s="1"/>
  <c r="AA461" i="1"/>
  <c r="F453" i="4" s="1"/>
  <c r="AA570" i="1"/>
  <c r="F562" i="4" s="1"/>
  <c r="AA536" i="1"/>
  <c r="F528" i="4" s="1"/>
  <c r="AA512" i="1"/>
  <c r="F504" i="4" s="1"/>
  <c r="AA538" i="1"/>
  <c r="F530" i="4" s="1"/>
  <c r="AA468" i="1"/>
  <c r="F460" i="4" s="1"/>
  <c r="AA514" i="1"/>
  <c r="F506" i="4" s="1"/>
  <c r="AA287" i="1"/>
  <c r="F278" i="4" s="1"/>
  <c r="AA478" i="1"/>
  <c r="F470" i="4" s="1"/>
  <c r="AA628" i="1"/>
  <c r="AA589" i="1"/>
  <c r="F581" i="4" s="1"/>
  <c r="AA591" i="1"/>
  <c r="F583" i="4" s="1"/>
  <c r="AA326" i="1"/>
  <c r="F317" i="4" s="1"/>
  <c r="AA600" i="1"/>
  <c r="F592" i="4" s="1"/>
  <c r="AA556" i="1"/>
  <c r="F548" i="4" s="1"/>
  <c r="AA252" i="1"/>
  <c r="F243" i="4" s="1"/>
  <c r="AA507" i="1"/>
  <c r="F499" i="4" s="1"/>
  <c r="AA586" i="1"/>
  <c r="F578" i="4" s="1"/>
  <c r="AA357" i="1"/>
  <c r="F349" i="4" s="1"/>
  <c r="AA282" i="1"/>
  <c r="F273" i="4" s="1"/>
  <c r="AA264" i="1"/>
  <c r="F255" i="4" s="1"/>
  <c r="AA546" i="1"/>
  <c r="F538" i="4" s="1"/>
  <c r="AA554" i="1"/>
  <c r="F546" i="4" s="1"/>
  <c r="AA265" i="1"/>
  <c r="F256" i="4" s="1"/>
  <c r="AA607" i="1"/>
  <c r="F599" i="4" s="1"/>
  <c r="AA598" i="1"/>
  <c r="F590" i="4" s="1"/>
  <c r="AA399" i="1"/>
  <c r="F391" i="4" s="1"/>
  <c r="AA379" i="1"/>
  <c r="F371" i="4" s="1"/>
  <c r="AA559" i="1"/>
  <c r="F551" i="4" s="1"/>
  <c r="AA463" i="1"/>
  <c r="F455" i="4" s="1"/>
  <c r="AA588" i="1"/>
  <c r="F580" i="4" s="1"/>
  <c r="AA485" i="1"/>
  <c r="F477" i="4" s="1"/>
  <c r="AA528" i="1"/>
  <c r="F520" i="4" s="1"/>
  <c r="AA469" i="1"/>
  <c r="F461" i="4" s="1"/>
  <c r="AA334" i="1"/>
  <c r="F325" i="4" s="1"/>
  <c r="AA302" i="1"/>
  <c r="F293" i="4" s="1"/>
  <c r="AA476" i="1"/>
  <c r="F468" i="4" s="1"/>
  <c r="AA330" i="1"/>
  <c r="F321" i="4" s="1"/>
  <c r="AA574" i="1"/>
  <c r="F566" i="4" s="1"/>
  <c r="AA494" i="1"/>
  <c r="F486" i="4" s="1"/>
  <c r="AA365" i="1"/>
  <c r="F357" i="4" s="1"/>
  <c r="AA377" i="1"/>
  <c r="F369" i="4" s="1"/>
  <c r="AA537" i="1"/>
  <c r="F529" i="4" s="1"/>
  <c r="AA390" i="1"/>
  <c r="F382" i="4" s="1"/>
  <c r="AA509" i="1"/>
  <c r="F501" i="4" s="1"/>
  <c r="AA495" i="1"/>
  <c r="F487" i="4" s="1"/>
  <c r="AA541" i="1"/>
  <c r="F533" i="4" s="1"/>
  <c r="AA359" i="1"/>
  <c r="F351" i="4" s="1"/>
  <c r="AA555" i="1"/>
  <c r="F547" i="4" s="1"/>
  <c r="AA402" i="1"/>
  <c r="F394" i="4" s="1"/>
  <c r="AA609" i="1"/>
  <c r="F601" i="4" s="1"/>
  <c r="AA320" i="1"/>
  <c r="F311" i="4" s="1"/>
  <c r="AA301" i="1"/>
  <c r="F292" i="4" s="1"/>
  <c r="AA262" i="1"/>
  <c r="F253" i="4" s="1"/>
  <c r="AA543" i="1"/>
  <c r="F535" i="4" s="1"/>
  <c r="AA275" i="1"/>
  <c r="F266" i="4" s="1"/>
  <c r="AA498" i="1"/>
  <c r="F490" i="4" s="1"/>
  <c r="AA490" i="1"/>
  <c r="F482" i="4" s="1"/>
  <c r="AA545" i="1"/>
  <c r="F537" i="4" s="1"/>
  <c r="AA612" i="1"/>
  <c r="F604" i="4" s="1"/>
  <c r="AA632" i="1"/>
  <c r="AA261" i="1"/>
  <c r="F252" i="4" s="1"/>
  <c r="AA592" i="1"/>
  <c r="F584" i="4" s="1"/>
  <c r="AA290" i="1"/>
  <c r="F281" i="4" s="1"/>
  <c r="AA335" i="1"/>
  <c r="F326" i="4" s="1"/>
  <c r="AA525" i="1"/>
  <c r="F517" i="4" s="1"/>
  <c r="AA455" i="1"/>
  <c r="F447" i="4" s="1"/>
  <c r="AA338" i="1"/>
  <c r="F329" i="4" s="1"/>
  <c r="AA327" i="1"/>
  <c r="F318" i="4" s="1"/>
  <c r="AA389" i="1"/>
  <c r="F381" i="4" s="1"/>
  <c r="AA534" i="1"/>
  <c r="F526" i="4" s="1"/>
  <c r="AA506" i="1"/>
  <c r="F498" i="4" s="1"/>
  <c r="AA615" i="1"/>
  <c r="F607" i="4" s="1"/>
  <c r="AA616" i="1"/>
  <c r="F608" i="4" s="1"/>
  <c r="AA354" i="1"/>
  <c r="F345" i="4" s="1"/>
  <c r="AA496" i="1"/>
  <c r="F488" i="4" s="1"/>
  <c r="AA464" i="1"/>
  <c r="F456" i="4" s="1"/>
  <c r="AA347" i="1"/>
  <c r="F338" i="4" s="1"/>
  <c r="AA280" i="1"/>
  <c r="F271" i="4" s="1"/>
  <c r="AA371" i="1"/>
  <c r="F363" i="4" s="1"/>
  <c r="AA318" i="1"/>
  <c r="F309" i="4" s="1"/>
  <c r="AA353" i="1"/>
  <c r="F344" i="4" s="1"/>
  <c r="AA358" i="1"/>
  <c r="F350" i="4" s="1"/>
  <c r="AA263" i="1"/>
  <c r="F254" i="4" s="1"/>
  <c r="AA582" i="1"/>
  <c r="F574" i="4" s="1"/>
  <c r="AA289" i="1"/>
  <c r="F280" i="4" s="1"/>
  <c r="AA629" i="1"/>
  <c r="AA504" i="1"/>
  <c r="F496" i="4" s="1"/>
  <c r="AA599" i="1"/>
  <c r="F591" i="4" s="1"/>
  <c r="AA349" i="1"/>
  <c r="F340" i="4" s="1"/>
  <c r="AA395" i="1"/>
  <c r="F387" i="4" s="1"/>
  <c r="AA321" i="1"/>
  <c r="F312" i="4" s="1"/>
  <c r="AA561" i="1"/>
  <c r="F553" i="4" s="1"/>
  <c r="AA385" i="1"/>
  <c r="F377" i="4" s="1"/>
  <c r="AA529" i="1"/>
  <c r="F521" i="4" s="1"/>
  <c r="AA328" i="1"/>
  <c r="F319" i="4" s="1"/>
  <c r="AA472" i="1"/>
  <c r="F464" i="4" s="1"/>
  <c r="AA451" i="1"/>
  <c r="F443" i="4" s="1"/>
  <c r="AA608" i="1"/>
  <c r="F600" i="4" s="1"/>
  <c r="AA633" i="1"/>
  <c r="AA614" i="1"/>
  <c r="F606" i="4" s="1"/>
  <c r="AA569" i="1"/>
  <c r="F561" i="4" s="1"/>
  <c r="AA293" i="1"/>
  <c r="F284" i="4" s="1"/>
  <c r="AA467" i="1"/>
  <c r="F459" i="4" s="1"/>
  <c r="AA579" i="1"/>
  <c r="F571" i="4" s="1"/>
  <c r="AA367" i="1"/>
  <c r="F359" i="4" s="1"/>
  <c r="AA603" i="1"/>
  <c r="F595" i="4" s="1"/>
  <c r="AA333" i="1"/>
  <c r="F324" i="4" s="1"/>
  <c r="AA638" i="1"/>
  <c r="AA276" i="1"/>
  <c r="F267" i="4" s="1"/>
  <c r="AA500" i="1"/>
  <c r="F492" i="4" s="1"/>
  <c r="AA348" i="1"/>
  <c r="F339" i="4" s="1"/>
  <c r="AA487" i="1"/>
  <c r="F479" i="4" s="1"/>
  <c r="AA387" i="1"/>
  <c r="F379" i="4" s="1"/>
  <c r="AA631" i="1"/>
  <c r="AA376" i="1"/>
  <c r="F368" i="4" s="1"/>
  <c r="AA400" i="1"/>
  <c r="F392" i="4" s="1"/>
  <c r="AA375" i="1"/>
  <c r="F367" i="4" s="1"/>
  <c r="AA380" i="1"/>
  <c r="F372" i="4" s="1"/>
  <c r="AA378" i="1"/>
  <c r="F370" i="4" s="1"/>
  <c r="AA351" i="1"/>
  <c r="F342" i="4" s="1"/>
  <c r="AA370" i="1"/>
  <c r="F362" i="4" s="1"/>
  <c r="AA304" i="1"/>
  <c r="F295" i="4" s="1"/>
  <c r="AA584" i="1"/>
  <c r="F576" i="4" s="1"/>
  <c r="AA594" i="1"/>
  <c r="F586" i="4" s="1"/>
  <c r="AA278" i="1"/>
  <c r="F269" i="4" s="1"/>
  <c r="AA274" i="1"/>
  <c r="F265" i="4" s="1"/>
  <c r="AA268" i="1"/>
  <c r="F259" i="4" s="1"/>
  <c r="AA452" i="1"/>
  <c r="F444" i="4" s="1"/>
  <c r="AA401" i="1"/>
  <c r="F393" i="4" s="1"/>
  <c r="AA286" i="1"/>
  <c r="F277" i="4" s="1"/>
  <c r="AA557" i="1"/>
  <c r="F549" i="4" s="1"/>
  <c r="AA542" i="1"/>
  <c r="F534" i="4" s="1"/>
  <c r="AA573" i="1"/>
  <c r="F565" i="4" s="1"/>
  <c r="AA266" i="1"/>
  <c r="F257" i="4" s="1"/>
  <c r="AA368" i="1"/>
  <c r="F360" i="4" s="1"/>
  <c r="AA373" i="1"/>
  <c r="F365" i="4" s="1"/>
  <c r="AA337" i="1"/>
  <c r="F328" i="4" s="1"/>
  <c r="AA526" i="1"/>
  <c r="F518" i="4" s="1"/>
  <c r="AA520" i="1"/>
  <c r="F512" i="4" s="1"/>
  <c r="AA393" i="1"/>
  <c r="F385" i="4" s="1"/>
  <c r="AA637" i="1"/>
  <c r="AA346" i="1"/>
  <c r="F337" i="4" s="1"/>
  <c r="AA362" i="1"/>
  <c r="F354" i="4" s="1"/>
  <c r="AA518" i="1"/>
  <c r="F510" i="4" s="1"/>
  <c r="AA566" i="1"/>
  <c r="F558" i="4" s="1"/>
  <c r="AA492" i="1"/>
  <c r="F484" i="4" s="1"/>
  <c r="AA466" i="1"/>
  <c r="F458" i="4" s="1"/>
  <c r="AA457" i="1"/>
  <c r="F449" i="4" s="1"/>
  <c r="AA459" i="1"/>
  <c r="F451" i="4" s="1"/>
  <c r="AA388" i="1"/>
  <c r="F380" i="4" s="1"/>
  <c r="AA383" i="1"/>
  <c r="F375" i="4" s="1"/>
  <c r="AA489" i="1"/>
  <c r="F481" i="4" s="1"/>
  <c r="AA502" i="1"/>
  <c r="F494" i="4" s="1"/>
  <c r="AA604" i="1"/>
  <c r="F596" i="4" s="1"/>
  <c r="AA322" i="1"/>
  <c r="F313" i="4" s="1"/>
  <c r="AA285" i="1"/>
  <c r="F276" i="4" s="1"/>
  <c r="AA465" i="1"/>
  <c r="F457" i="4" s="1"/>
  <c r="AA340" i="1"/>
  <c r="F331" i="4" s="1"/>
  <c r="AA267" i="1"/>
  <c r="F258" i="4" s="1"/>
  <c r="AA356" i="1"/>
  <c r="F348" i="4" s="1"/>
  <c r="AA271" i="1"/>
  <c r="F262" i="4" s="1"/>
  <c r="AA630" i="1"/>
  <c r="AA374" i="1"/>
  <c r="F366" i="4" s="1"/>
  <c r="AA394" i="1"/>
  <c r="F386" i="4" s="1"/>
  <c r="AA352" i="1"/>
  <c r="F343" i="4" s="1"/>
  <c r="AA309" i="1"/>
  <c r="F300" i="4" s="1"/>
  <c r="AA303" i="1"/>
  <c r="F294" i="4" s="1"/>
  <c r="AA307" i="1"/>
  <c r="F298" i="4" s="1"/>
  <c r="AA597" i="1"/>
  <c r="F589" i="4" s="1"/>
  <c r="AA273" i="1"/>
  <c r="F264" i="4" s="1"/>
  <c r="AA325" i="1"/>
  <c r="F316" i="4" s="1"/>
  <c r="AA596" i="1"/>
  <c r="F588" i="4" s="1"/>
  <c r="AA501" i="1"/>
  <c r="F493" i="4" s="1"/>
  <c r="AA581" i="1"/>
  <c r="F573" i="4" s="1"/>
  <c r="AA491" i="1"/>
  <c r="F483" i="4" s="1"/>
  <c r="AA499" i="1"/>
  <c r="F491" i="4" s="1"/>
  <c r="AA531" i="1"/>
  <c r="F523" i="4" s="1"/>
  <c r="AA344" i="1"/>
  <c r="F335" i="4" s="1"/>
  <c r="AA398" i="1"/>
  <c r="F390" i="4" s="1"/>
  <c r="AA606" i="1"/>
  <c r="F598" i="4" s="1"/>
  <c r="AA521" i="1"/>
  <c r="F513" i="4" s="1"/>
  <c r="AA460" i="1"/>
  <c r="F452" i="4" s="1"/>
  <c r="AA627" i="1"/>
  <c r="AA397" i="1"/>
  <c r="F389" i="4" s="1"/>
  <c r="AA396" i="1"/>
  <c r="F388" i="4" s="1"/>
  <c r="AA553" i="1"/>
  <c r="F545" i="4" s="1"/>
  <c r="AA462" i="1"/>
  <c r="F454" i="4" s="1"/>
  <c r="H395" i="4" l="1"/>
  <c r="H395" i="6"/>
  <c r="G395" i="4"/>
  <c r="G395" i="6"/>
  <c r="D395" i="4"/>
  <c r="D395" i="6"/>
  <c r="E395" i="4"/>
  <c r="E395" i="6"/>
  <c r="AA413" i="1"/>
  <c r="F405" i="4" s="1"/>
  <c r="AA618" i="1"/>
  <c r="AA431" i="1"/>
  <c r="F423" i="4" s="1"/>
  <c r="AA406" i="1"/>
  <c r="F398" i="4" s="1"/>
  <c r="AA447" i="1"/>
  <c r="F439" i="4" s="1"/>
  <c r="AA256" i="1"/>
  <c r="F247" i="4" s="1"/>
  <c r="AA450" i="1"/>
  <c r="F442" i="4" s="1"/>
  <c r="AA564" i="1"/>
  <c r="F556" i="4" s="1"/>
  <c r="AA532" i="1"/>
  <c r="F524" i="4" s="1"/>
  <c r="AA550" i="1"/>
  <c r="F542" i="4" s="1"/>
  <c r="AA449" i="1"/>
  <c r="F441" i="4" s="1"/>
  <c r="AA530" i="1"/>
  <c r="F522" i="4" s="1"/>
  <c r="AA437" i="1"/>
  <c r="F429" i="4" s="1"/>
  <c r="AA484" i="1"/>
  <c r="F476" i="4" s="1"/>
  <c r="AA510" i="1"/>
  <c r="F502" i="4" s="1"/>
  <c r="AA254" i="1"/>
  <c r="F245" i="4" s="1"/>
  <c r="AA568" i="1"/>
  <c r="F560" i="4" s="1"/>
  <c r="AA515" i="1"/>
  <c r="F507" i="4" s="1"/>
  <c r="AA527" i="1"/>
  <c r="F519" i="4" s="1"/>
  <c r="AA430" i="1"/>
  <c r="F422" i="4" s="1"/>
  <c r="AA436" i="1"/>
  <c r="F428" i="4" s="1"/>
  <c r="AA425" i="1"/>
  <c r="F417" i="4" s="1"/>
  <c r="AA640" i="1"/>
  <c r="AA448" i="1"/>
  <c r="F440" i="4" s="1"/>
  <c r="AA497" i="1"/>
  <c r="F489" i="4" s="1"/>
  <c r="AA294" i="1"/>
  <c r="F285" i="4" s="1"/>
  <c r="AA417" i="1"/>
  <c r="F409" i="4" s="1"/>
  <c r="AA442" i="1"/>
  <c r="F434" i="4" s="1"/>
  <c r="AA549" i="1"/>
  <c r="F541" i="4" s="1"/>
  <c r="AA410" i="1"/>
  <c r="F402" i="4" s="1"/>
  <c r="AA424" i="1"/>
  <c r="F416" i="4" s="1"/>
  <c r="AA295" i="1"/>
  <c r="F286" i="4" s="1"/>
  <c r="AA552" i="1"/>
  <c r="F544" i="4" s="1"/>
  <c r="AA533" i="1"/>
  <c r="F525" i="4" s="1"/>
  <c r="AA408" i="1"/>
  <c r="F400" i="4" s="1"/>
  <c r="AA539" i="1"/>
  <c r="F531" i="4" s="1"/>
  <c r="AA420" i="1"/>
  <c r="F412" i="4" s="1"/>
  <c r="AA519" i="1"/>
  <c r="F511" i="4" s="1"/>
  <c r="AA316" i="1"/>
  <c r="F307" i="4" s="1"/>
  <c r="AA639" i="1"/>
  <c r="AA560" i="1"/>
  <c r="F552" i="4" s="1"/>
  <c r="AA483" i="1"/>
  <c r="F475" i="4" s="1"/>
  <c r="AA317" i="1"/>
  <c r="F308" i="4" s="1"/>
  <c r="AA576" i="1"/>
  <c r="F568" i="4" s="1"/>
  <c r="AA432" i="1"/>
  <c r="F424" i="4" s="1"/>
  <c r="AA299" i="1"/>
  <c r="F290" i="4" s="1"/>
  <c r="AA433" i="1"/>
  <c r="F425" i="4" s="1"/>
  <c r="AA641" i="1"/>
  <c r="AA313" i="1"/>
  <c r="F304" i="4" s="1"/>
  <c r="AA407" i="1"/>
  <c r="F399" i="4" s="1"/>
  <c r="AA422" i="1"/>
  <c r="F414" i="4" s="1"/>
  <c r="AA544" i="1"/>
  <c r="F536" i="4" s="1"/>
  <c r="AA312" i="1"/>
  <c r="F303" i="4" s="1"/>
  <c r="AA524" i="1"/>
  <c r="F516" i="4" s="1"/>
  <c r="AA575" i="1"/>
  <c r="F567" i="4" s="1"/>
  <c r="AA428" i="1"/>
  <c r="F420" i="4" s="1"/>
  <c r="AA444" i="1"/>
  <c r="F436" i="4" s="1"/>
  <c r="AA404" i="1"/>
  <c r="F396" i="4" s="1"/>
  <c r="AA643" i="1"/>
  <c r="AA634" i="1"/>
  <c r="AA635" i="1"/>
  <c r="AA540" i="1"/>
  <c r="F532" i="4" s="1"/>
  <c r="AA443" i="1"/>
  <c r="F435" i="4" s="1"/>
  <c r="AA409" i="1"/>
  <c r="F401" i="4" s="1"/>
  <c r="AA488" i="1"/>
  <c r="F480" i="4" s="1"/>
  <c r="AA426" i="1"/>
  <c r="F418" i="4" s="1"/>
  <c r="AA403" i="1"/>
  <c r="AA493" i="1"/>
  <c r="F485" i="4" s="1"/>
  <c r="AA257" i="1"/>
  <c r="F248" i="4" s="1"/>
  <c r="AA439" i="1"/>
  <c r="F431" i="4" s="1"/>
  <c r="AA486" i="1"/>
  <c r="F478" i="4" s="1"/>
  <c r="AA513" i="1"/>
  <c r="F505" i="4" s="1"/>
  <c r="AA567" i="1"/>
  <c r="F559" i="4" s="1"/>
  <c r="AA474" i="1"/>
  <c r="F466" i="4" s="1"/>
  <c r="AA411" i="1"/>
  <c r="F403" i="4" s="1"/>
  <c r="AA440" i="1"/>
  <c r="F432" i="4" s="1"/>
  <c r="AA427" i="1"/>
  <c r="F419" i="4" s="1"/>
  <c r="AA423" i="1"/>
  <c r="F415" i="4" s="1"/>
  <c r="AA636" i="1"/>
  <c r="AA647" i="1"/>
  <c r="AA441" i="1"/>
  <c r="F433" i="4" s="1"/>
  <c r="AA435" i="1"/>
  <c r="F427" i="4" s="1"/>
  <c r="AA516" i="1"/>
  <c r="F508" i="4" s="1"/>
  <c r="AA297" i="1"/>
  <c r="F288" i="4" s="1"/>
  <c r="AA429" i="1"/>
  <c r="F421" i="4" s="1"/>
  <c r="AA644" i="1"/>
  <c r="AA418" i="1"/>
  <c r="F410" i="4" s="1"/>
  <c r="AA253" i="1"/>
  <c r="F244" i="4" s="1"/>
  <c r="AA470" i="1"/>
  <c r="F462" i="4" s="1"/>
  <c r="AA646" i="1"/>
  <c r="AA315" i="1"/>
  <c r="F306" i="4" s="1"/>
  <c r="AA412" i="1"/>
  <c r="F404" i="4" s="1"/>
  <c r="AA311" i="1"/>
  <c r="F302" i="4" s="1"/>
  <c r="AA250" i="1"/>
  <c r="F241" i="4" s="1"/>
  <c r="AA296" i="1"/>
  <c r="F287" i="4" s="1"/>
  <c r="AA445" i="1"/>
  <c r="F437" i="4" s="1"/>
  <c r="AA446" i="1"/>
  <c r="F438" i="4" s="1"/>
  <c r="AA421" i="1"/>
  <c r="F413" i="4" s="1"/>
  <c r="AA258" i="1"/>
  <c r="F249" i="4" s="1"/>
  <c r="AA414" i="1"/>
  <c r="F406" i="4" s="1"/>
  <c r="AA314" i="1"/>
  <c r="F305" i="4" s="1"/>
  <c r="AA300" i="1"/>
  <c r="F291" i="4" s="1"/>
  <c r="AA551" i="1"/>
  <c r="F543" i="4" s="1"/>
  <c r="AA473" i="1"/>
  <c r="F465" i="4" s="1"/>
  <c r="AA648" i="1"/>
  <c r="AA298" i="1"/>
  <c r="F289" i="4" s="1"/>
  <c r="AA415" i="1"/>
  <c r="F407" i="4" s="1"/>
  <c r="AA416" i="1"/>
  <c r="F408" i="4" s="1"/>
  <c r="AA249" i="1"/>
  <c r="F240" i="4" s="1"/>
  <c r="AA438" i="1"/>
  <c r="F430" i="4" s="1"/>
  <c r="AA434" i="1"/>
  <c r="F426" i="4" s="1"/>
  <c r="AA259" i="1"/>
  <c r="F250" i="4" s="1"/>
  <c r="AA642" i="1"/>
  <c r="AA255" i="1"/>
  <c r="F246" i="4" s="1"/>
  <c r="T618" i="1"/>
  <c r="U618" i="1" s="1"/>
  <c r="V618" i="1" s="1"/>
  <c r="W618" i="1" s="1"/>
  <c r="T572" i="1"/>
  <c r="U572" i="1" s="1"/>
  <c r="V572" i="1" s="1"/>
  <c r="W572" i="1" s="1"/>
  <c r="T540" i="1"/>
  <c r="U540" i="1" s="1"/>
  <c r="V540" i="1" s="1"/>
  <c r="W540" i="1" s="1"/>
  <c r="T552" i="1"/>
  <c r="U552" i="1" s="1"/>
  <c r="V552" i="1" s="1"/>
  <c r="W552" i="1" s="1"/>
  <c r="T409" i="1"/>
  <c r="U409" i="1" s="1"/>
  <c r="V409" i="1" s="1"/>
  <c r="W409" i="1" s="1"/>
  <c r="T527" i="1"/>
  <c r="U527" i="1" s="1"/>
  <c r="V527" i="1" s="1"/>
  <c r="W527" i="1" s="1"/>
  <c r="T438" i="1"/>
  <c r="U438" i="1" s="1"/>
  <c r="V438" i="1" s="1"/>
  <c r="W438" i="1" s="1"/>
  <c r="T403" i="1"/>
  <c r="U403" i="1" s="1"/>
  <c r="V403" i="1" s="1"/>
  <c r="W403" i="1" s="1"/>
  <c r="T515" i="1"/>
  <c r="U515" i="1" s="1"/>
  <c r="V515" i="1" s="1"/>
  <c r="W515" i="1" s="1"/>
  <c r="T313" i="1"/>
  <c r="U313" i="1" s="1"/>
  <c r="V313" i="1" s="1"/>
  <c r="W313" i="1" s="1"/>
  <c r="T519" i="1"/>
  <c r="U519" i="1" s="1"/>
  <c r="V519" i="1" s="1"/>
  <c r="W519" i="1" s="1"/>
  <c r="T419" i="1"/>
  <c r="U419" i="1" s="1"/>
  <c r="V419" i="1" s="1"/>
  <c r="W419" i="1" s="1"/>
  <c r="T404" i="1"/>
  <c r="U404" i="1" s="1"/>
  <c r="V404" i="1" s="1"/>
  <c r="W404" i="1" s="1"/>
  <c r="T295" i="1"/>
  <c r="U295" i="1" s="1"/>
  <c r="V295" i="1" s="1"/>
  <c r="W295" i="1" s="1"/>
  <c r="T257" i="1"/>
  <c r="U257" i="1" s="1"/>
  <c r="V257" i="1" s="1"/>
  <c r="W257" i="1" s="1"/>
  <c r="T484" i="1"/>
  <c r="U484" i="1" s="1"/>
  <c r="V484" i="1" s="1"/>
  <c r="W484" i="1" s="1"/>
  <c r="T530" i="1"/>
  <c r="U530" i="1" s="1"/>
  <c r="V530" i="1" s="1"/>
  <c r="W530" i="1" s="1"/>
  <c r="T568" i="1"/>
  <c r="U568" i="1" s="1"/>
  <c r="V568" i="1" s="1"/>
  <c r="W568" i="1" s="1"/>
  <c r="T532" i="1"/>
  <c r="U532" i="1" s="1"/>
  <c r="V532" i="1" s="1"/>
  <c r="W532" i="1" s="1"/>
  <c r="T645" i="1"/>
  <c r="U645" i="1" s="1"/>
  <c r="V645" i="1" s="1"/>
  <c r="W645" i="1" s="1"/>
  <c r="T635" i="1"/>
  <c r="U635" i="1" s="1"/>
  <c r="V635" i="1" s="1"/>
  <c r="W635" i="1" s="1"/>
  <c r="T422" i="1"/>
  <c r="U422" i="1" s="1"/>
  <c r="V422" i="1" s="1"/>
  <c r="W422" i="1" s="1"/>
  <c r="T429" i="1"/>
  <c r="U429" i="1" s="1"/>
  <c r="V429" i="1" s="1"/>
  <c r="W429" i="1" s="1"/>
  <c r="T648" i="1"/>
  <c r="U648" i="1" s="1"/>
  <c r="V648" i="1" s="1"/>
  <c r="T254" i="1"/>
  <c r="U254" i="1" s="1"/>
  <c r="V254" i="1" s="1"/>
  <c r="W254" i="1" s="1"/>
  <c r="T576" i="1"/>
  <c r="U576" i="1" s="1"/>
  <c r="V576" i="1" s="1"/>
  <c r="W576" i="1" s="1"/>
  <c r="T493" i="1"/>
  <c r="U493" i="1" s="1"/>
  <c r="V493" i="1" s="1"/>
  <c r="W493" i="1" s="1"/>
  <c r="T432" i="1"/>
  <c r="U432" i="1" s="1"/>
  <c r="V432" i="1" s="1"/>
  <c r="W432" i="1" s="1"/>
  <c r="T473" i="1"/>
  <c r="U473" i="1" s="1"/>
  <c r="V473" i="1" s="1"/>
  <c r="W473" i="1" s="1"/>
  <c r="T311" i="1"/>
  <c r="U311" i="1" s="1"/>
  <c r="V311" i="1" s="1"/>
  <c r="W311" i="1" s="1"/>
  <c r="T316" i="1"/>
  <c r="U316" i="1" s="1"/>
  <c r="V316" i="1" s="1"/>
  <c r="W316" i="1" s="1"/>
  <c r="T315" i="1"/>
  <c r="U315" i="1" s="1"/>
  <c r="V315" i="1" s="1"/>
  <c r="W315" i="1" s="1"/>
  <c r="T483" i="1"/>
  <c r="U483" i="1" s="1"/>
  <c r="V483" i="1" s="1"/>
  <c r="W483" i="1" s="1"/>
  <c r="T408" i="1"/>
  <c r="U408" i="1" s="1"/>
  <c r="V408" i="1" s="1"/>
  <c r="W408" i="1" s="1"/>
  <c r="T474" i="1"/>
  <c r="U474" i="1" s="1"/>
  <c r="V474" i="1" s="1"/>
  <c r="W474" i="1" s="1"/>
  <c r="T298" i="1"/>
  <c r="U298" i="1" s="1"/>
  <c r="V298" i="1" s="1"/>
  <c r="W298" i="1" s="1"/>
  <c r="T647" i="1"/>
  <c r="U647" i="1" s="1"/>
  <c r="V647" i="1" s="1"/>
  <c r="W647" i="1" s="1"/>
  <c r="T641" i="1"/>
  <c r="U641" i="1" s="1"/>
  <c r="V641" i="1" s="1"/>
  <c r="W641" i="1" s="1"/>
  <c r="T575" i="1"/>
  <c r="U575" i="1" s="1"/>
  <c r="V575" i="1" s="1"/>
  <c r="W575" i="1" s="1"/>
  <c r="T549" i="1"/>
  <c r="U549" i="1" s="1"/>
  <c r="V549" i="1" s="1"/>
  <c r="W549" i="1" s="1"/>
  <c r="T314" i="1"/>
  <c r="U314" i="1" s="1"/>
  <c r="V314" i="1" s="1"/>
  <c r="W314" i="1" s="1"/>
  <c r="T486" i="1"/>
  <c r="U486" i="1" s="1"/>
  <c r="V486" i="1" s="1"/>
  <c r="W486" i="1" s="1"/>
  <c r="T434" i="1"/>
  <c r="U434" i="1" s="1"/>
  <c r="V434" i="1" s="1"/>
  <c r="W434" i="1" s="1"/>
  <c r="T443" i="1"/>
  <c r="U443" i="1" s="1"/>
  <c r="V443" i="1" s="1"/>
  <c r="W443" i="1" s="1"/>
  <c r="T418" i="1"/>
  <c r="U418" i="1" s="1"/>
  <c r="V418" i="1" s="1"/>
  <c r="W418" i="1" s="1"/>
  <c r="T449" i="1"/>
  <c r="U449" i="1" s="1"/>
  <c r="V449" i="1" s="1"/>
  <c r="W449" i="1" s="1"/>
  <c r="T497" i="1"/>
  <c r="U497" i="1" s="1"/>
  <c r="V497" i="1" s="1"/>
  <c r="W497" i="1" s="1"/>
  <c r="T410" i="1"/>
  <c r="U410" i="1" s="1"/>
  <c r="V410" i="1" s="1"/>
  <c r="W410" i="1" s="1"/>
  <c r="T406" i="1"/>
  <c r="U406" i="1" s="1"/>
  <c r="V406" i="1" s="1"/>
  <c r="W406" i="1" s="1"/>
  <c r="T412" i="1"/>
  <c r="U412" i="1" s="1"/>
  <c r="V412" i="1" s="1"/>
  <c r="W412" i="1" s="1"/>
  <c r="T420" i="1"/>
  <c r="U420" i="1" s="1"/>
  <c r="V420" i="1" s="1"/>
  <c r="W420" i="1" s="1"/>
  <c r="T551" i="1"/>
  <c r="U551" i="1" s="1"/>
  <c r="V551" i="1" s="1"/>
  <c r="W551" i="1" s="1"/>
  <c r="T643" i="1"/>
  <c r="U643" i="1" s="1"/>
  <c r="V643" i="1" s="1"/>
  <c r="W643" i="1" s="1"/>
  <c r="T299" i="1"/>
  <c r="U299" i="1" s="1"/>
  <c r="V299" i="1" s="1"/>
  <c r="W299" i="1" s="1"/>
  <c r="T294" i="1"/>
  <c r="U294" i="1" s="1"/>
  <c r="V294" i="1" s="1"/>
  <c r="W294" i="1" s="1"/>
  <c r="T249" i="1"/>
  <c r="U249" i="1" s="1"/>
  <c r="V249" i="1" s="1"/>
  <c r="W249" i="1" s="1"/>
  <c r="T317" i="1"/>
  <c r="U317" i="1" s="1"/>
  <c r="V317" i="1" s="1"/>
  <c r="W317" i="1" s="1"/>
  <c r="T297" i="1"/>
  <c r="U297" i="1" s="1"/>
  <c r="V297" i="1" s="1"/>
  <c r="W297" i="1" s="1"/>
  <c r="T642" i="1"/>
  <c r="U642" i="1" s="1"/>
  <c r="V642" i="1" s="1"/>
  <c r="W642" i="1" s="1"/>
  <c r="T439" i="1"/>
  <c r="U439" i="1" s="1"/>
  <c r="V439" i="1" s="1"/>
  <c r="W439" i="1" s="1"/>
  <c r="T425" i="1"/>
  <c r="U425" i="1" s="1"/>
  <c r="V425" i="1" s="1"/>
  <c r="W425" i="1" s="1"/>
  <c r="T405" i="1"/>
  <c r="U405" i="1" s="1"/>
  <c r="V405" i="1" s="1"/>
  <c r="W405" i="1" s="1"/>
  <c r="T428" i="1"/>
  <c r="U428" i="1" s="1"/>
  <c r="V428" i="1" s="1"/>
  <c r="W428" i="1" s="1"/>
  <c r="T564" i="1"/>
  <c r="U564" i="1" s="1"/>
  <c r="V564" i="1" s="1"/>
  <c r="W564" i="1" s="1"/>
  <c r="T450" i="1"/>
  <c r="U450" i="1" s="1"/>
  <c r="V450" i="1" s="1"/>
  <c r="W450" i="1" s="1"/>
  <c r="T524" i="1"/>
  <c r="U524" i="1" s="1"/>
  <c r="V524" i="1" s="1"/>
  <c r="W524" i="1" s="1"/>
  <c r="T523" i="1"/>
  <c r="U523" i="1" s="1"/>
  <c r="V523" i="1" s="1"/>
  <c r="W523" i="1" s="1"/>
  <c r="T431" i="1"/>
  <c r="U431" i="1" s="1"/>
  <c r="V431" i="1" s="1"/>
  <c r="W431" i="1" s="1"/>
  <c r="T544" i="1"/>
  <c r="U544" i="1" s="1"/>
  <c r="V544" i="1" s="1"/>
  <c r="W544" i="1" s="1"/>
  <c r="T426" i="1"/>
  <c r="U426" i="1" s="1"/>
  <c r="V426" i="1" s="1"/>
  <c r="W426" i="1" s="1"/>
  <c r="T567" i="1"/>
  <c r="U567" i="1" s="1"/>
  <c r="V567" i="1" s="1"/>
  <c r="W567" i="1" s="1"/>
  <c r="T510" i="1"/>
  <c r="U510" i="1" s="1"/>
  <c r="V510" i="1" s="1"/>
  <c r="W510" i="1" s="1"/>
  <c r="T433" i="1"/>
  <c r="U433" i="1" s="1"/>
  <c r="V433" i="1" s="1"/>
  <c r="W433" i="1" s="1"/>
  <c r="T539" i="1"/>
  <c r="U539" i="1" s="1"/>
  <c r="V539" i="1" s="1"/>
  <c r="W539" i="1" s="1"/>
  <c r="T488" i="1"/>
  <c r="U488" i="1" s="1"/>
  <c r="V488" i="1" s="1"/>
  <c r="W488" i="1" s="1"/>
  <c r="T441" i="1"/>
  <c r="U441" i="1" s="1"/>
  <c r="V441" i="1" s="1"/>
  <c r="W441" i="1" s="1"/>
  <c r="T560" i="1"/>
  <c r="U560" i="1" s="1"/>
  <c r="V560" i="1" s="1"/>
  <c r="W560" i="1" s="1"/>
  <c r="T407" i="1"/>
  <c r="U407" i="1" s="1"/>
  <c r="V407" i="1" s="1"/>
  <c r="W407" i="1" s="1"/>
  <c r="T640" i="1"/>
  <c r="U640" i="1" s="1"/>
  <c r="V640" i="1" s="1"/>
  <c r="W640" i="1" s="1"/>
  <c r="T256" i="1"/>
  <c r="U256" i="1" s="1"/>
  <c r="V256" i="1" s="1"/>
  <c r="W256" i="1" s="1"/>
  <c r="T644" i="1"/>
  <c r="U644" i="1" s="1"/>
  <c r="V644" i="1" s="1"/>
  <c r="W644" i="1" s="1"/>
  <c r="T513" i="1"/>
  <c r="U513" i="1" s="1"/>
  <c r="V513" i="1" s="1"/>
  <c r="W513" i="1" s="1"/>
  <c r="T550" i="1"/>
  <c r="U550" i="1" s="1"/>
  <c r="V550" i="1" s="1"/>
  <c r="W550" i="1" s="1"/>
  <c r="T250" i="1"/>
  <c r="U250" i="1" s="1"/>
  <c r="V250" i="1" s="1"/>
  <c r="W250" i="1" s="1"/>
  <c r="T516" i="1"/>
  <c r="U516" i="1" s="1"/>
  <c r="V516" i="1" s="1"/>
  <c r="W516" i="1" s="1"/>
  <c r="T470" i="1"/>
  <c r="U470" i="1" s="1"/>
  <c r="V470" i="1" s="1"/>
  <c r="W470" i="1" s="1"/>
  <c r="T533" i="1"/>
  <c r="U533" i="1" s="1"/>
  <c r="V533" i="1" s="1"/>
  <c r="W533" i="1" s="1"/>
  <c r="T296" i="1"/>
  <c r="U296" i="1" s="1"/>
  <c r="V296" i="1" s="1"/>
  <c r="W296" i="1" s="1"/>
  <c r="T437" i="1"/>
  <c r="U437" i="1" s="1"/>
  <c r="V437" i="1" s="1"/>
  <c r="W437" i="1" s="1"/>
  <c r="T312" i="1"/>
  <c r="U312" i="1" s="1"/>
  <c r="V312" i="1" s="1"/>
  <c r="W312" i="1" s="1"/>
  <c r="T639" i="1"/>
  <c r="U639" i="1" s="1"/>
  <c r="V639" i="1" s="1"/>
  <c r="W639" i="1" s="1"/>
  <c r="T258" i="1"/>
  <c r="U258" i="1" s="1"/>
  <c r="V258" i="1" s="1"/>
  <c r="W258" i="1" s="1"/>
  <c r="T440" i="1"/>
  <c r="U440" i="1" s="1"/>
  <c r="V440" i="1" s="1"/>
  <c r="W440" i="1" s="1"/>
  <c r="T444" i="1"/>
  <c r="U444" i="1" s="1"/>
  <c r="V444" i="1" s="1"/>
  <c r="W444" i="1" s="1"/>
  <c r="T413" i="1"/>
  <c r="U413" i="1" s="1"/>
  <c r="V413" i="1" s="1"/>
  <c r="W413" i="1" s="1"/>
  <c r="T259" i="1"/>
  <c r="U259" i="1" s="1"/>
  <c r="V259" i="1" s="1"/>
  <c r="W259" i="1" s="1"/>
  <c r="T634" i="1"/>
  <c r="U634" i="1" s="1"/>
  <c r="V634" i="1" s="1"/>
  <c r="W634" i="1" s="1"/>
  <c r="T442" i="1"/>
  <c r="U442" i="1" s="1"/>
  <c r="V442" i="1" s="1"/>
  <c r="W442" i="1" s="1"/>
  <c r="T430" i="1"/>
  <c r="U430" i="1" s="1"/>
  <c r="V430" i="1" s="1"/>
  <c r="W430" i="1" s="1"/>
  <c r="T447" i="1"/>
  <c r="U447" i="1" s="1"/>
  <c r="V447" i="1" s="1"/>
  <c r="W447" i="1" s="1"/>
  <c r="T415" i="1"/>
  <c r="U415" i="1" s="1"/>
  <c r="V415" i="1" s="1"/>
  <c r="W415" i="1" s="1"/>
  <c r="T253" i="1"/>
  <c r="U253" i="1" s="1"/>
  <c r="V253" i="1" s="1"/>
  <c r="W253" i="1" s="1"/>
  <c r="T636" i="1"/>
  <c r="U636" i="1" s="1"/>
  <c r="V636" i="1" s="1"/>
  <c r="W636" i="1" s="1"/>
  <c r="T435" i="1"/>
  <c r="U435" i="1" s="1"/>
  <c r="V435" i="1" s="1"/>
  <c r="W435" i="1" s="1"/>
  <c r="T416" i="1"/>
  <c r="U416" i="1" s="1"/>
  <c r="V416" i="1" s="1"/>
  <c r="W416" i="1" s="1"/>
  <c r="T300" i="1"/>
  <c r="U300" i="1" s="1"/>
  <c r="V300" i="1" s="1"/>
  <c r="W300" i="1" s="1"/>
  <c r="T445" i="1"/>
  <c r="U445" i="1" s="1"/>
  <c r="V445" i="1" s="1"/>
  <c r="W445" i="1" s="1"/>
  <c r="T446" i="1"/>
  <c r="U446" i="1" s="1"/>
  <c r="V446" i="1" s="1"/>
  <c r="W446" i="1" s="1"/>
  <c r="T646" i="1"/>
  <c r="U646" i="1" s="1"/>
  <c r="V646" i="1" s="1"/>
  <c r="W646" i="1" s="1"/>
  <c r="T436" i="1"/>
  <c r="U436" i="1" s="1"/>
  <c r="V436" i="1" s="1"/>
  <c r="W436" i="1" s="1"/>
  <c r="T414" i="1"/>
  <c r="U414" i="1" s="1"/>
  <c r="V414" i="1" s="1"/>
  <c r="W414" i="1" s="1"/>
  <c r="T255" i="1"/>
  <c r="U255" i="1" s="1"/>
  <c r="V255" i="1" s="1"/>
  <c r="W255" i="1" s="1"/>
  <c r="T310" i="1"/>
  <c r="U310" i="1" s="1"/>
  <c r="V310" i="1" s="1"/>
  <c r="W310" i="1" s="1"/>
  <c r="T417" i="1"/>
  <c r="U417" i="1" s="1"/>
  <c r="V417" i="1" s="1"/>
  <c r="W417" i="1" s="1"/>
  <c r="T448" i="1"/>
  <c r="U448" i="1" s="1"/>
  <c r="V448" i="1" s="1"/>
  <c r="W448" i="1" s="1"/>
  <c r="T421" i="1"/>
  <c r="U421" i="1" s="1"/>
  <c r="V421" i="1" s="1"/>
  <c r="W421" i="1" s="1"/>
  <c r="T427" i="1"/>
  <c r="U427" i="1" s="1"/>
  <c r="V427" i="1" s="1"/>
  <c r="W427" i="1" s="1"/>
  <c r="T423" i="1"/>
  <c r="U423" i="1" s="1"/>
  <c r="V423" i="1" s="1"/>
  <c r="W423" i="1" s="1"/>
  <c r="T411" i="1"/>
  <c r="U411" i="1" s="1"/>
  <c r="V411" i="1" s="1"/>
  <c r="W411" i="1" s="1"/>
  <c r="T424" i="1"/>
  <c r="U424" i="1" s="1"/>
  <c r="V424" i="1" s="1"/>
  <c r="W424" i="1" s="1"/>
  <c r="V460" i="1"/>
  <c r="W460" i="1" s="1"/>
  <c r="V603" i="1"/>
  <c r="W603" i="1" s="1"/>
  <c r="V602" i="1"/>
  <c r="W602" i="1" s="1"/>
  <c r="V504" i="1"/>
  <c r="W504" i="1" s="1"/>
  <c r="V368" i="1"/>
  <c r="W368" i="1" s="1"/>
  <c r="T186" i="1"/>
  <c r="U186" i="1" s="1"/>
  <c r="V186" i="1" s="1"/>
  <c r="W186" i="1" s="1"/>
  <c r="T27" i="1"/>
  <c r="U27" i="1" s="1"/>
  <c r="V27" i="1" s="1"/>
  <c r="W27" i="1" s="1"/>
  <c r="T119" i="1"/>
  <c r="U119" i="1" s="1"/>
  <c r="V119" i="1" s="1"/>
  <c r="W119" i="1" s="1"/>
  <c r="T38" i="1"/>
  <c r="U38" i="1" s="1"/>
  <c r="V38" i="1" s="1"/>
  <c r="W38" i="1" s="1"/>
  <c r="T210" i="1"/>
  <c r="U210" i="1" s="1"/>
  <c r="V210" i="1" s="1"/>
  <c r="W210" i="1" s="1"/>
  <c r="T204" i="1"/>
  <c r="U204" i="1" s="1"/>
  <c r="V204" i="1" s="1"/>
  <c r="W204" i="1" s="1"/>
  <c r="T157" i="1"/>
  <c r="U157" i="1" s="1"/>
  <c r="V157" i="1" s="1"/>
  <c r="W157" i="1" s="1"/>
  <c r="T200" i="1"/>
  <c r="U200" i="1" s="1"/>
  <c r="V200" i="1" s="1"/>
  <c r="W200" i="1" s="1"/>
  <c r="T88" i="1"/>
  <c r="U88" i="1" s="1"/>
  <c r="V88" i="1" s="1"/>
  <c r="W88" i="1" s="1"/>
  <c r="T40" i="1"/>
  <c r="U40" i="1" s="1"/>
  <c r="V40" i="1" s="1"/>
  <c r="W40" i="1" s="1"/>
  <c r="T234" i="1"/>
  <c r="U234" i="1" s="1"/>
  <c r="V234" i="1" s="1"/>
  <c r="W234" i="1" s="1"/>
  <c r="T121" i="1"/>
  <c r="U121" i="1" s="1"/>
  <c r="V121" i="1" s="1"/>
  <c r="W121" i="1" s="1"/>
  <c r="T229" i="1"/>
  <c r="U229" i="1" s="1"/>
  <c r="V229" i="1" s="1"/>
  <c r="W229" i="1" s="1"/>
  <c r="T172" i="1"/>
  <c r="U172" i="1" s="1"/>
  <c r="V172" i="1" s="1"/>
  <c r="W172" i="1" s="1"/>
  <c r="T64" i="1"/>
  <c r="U64" i="1" s="1"/>
  <c r="V64" i="1" s="1"/>
  <c r="W64" i="1" s="1"/>
  <c r="T123" i="1"/>
  <c r="U123" i="1" s="1"/>
  <c r="V123" i="1" s="1"/>
  <c r="W123" i="1" s="1"/>
  <c r="T203" i="1"/>
  <c r="U203" i="1" s="1"/>
  <c r="V203" i="1" s="1"/>
  <c r="W203" i="1" s="1"/>
  <c r="T170" i="1"/>
  <c r="U170" i="1" s="1"/>
  <c r="V170" i="1" s="1"/>
  <c r="W170" i="1" s="1"/>
  <c r="T33" i="1"/>
  <c r="U33" i="1" s="1"/>
  <c r="V33" i="1" s="1"/>
  <c r="W33" i="1" s="1"/>
  <c r="T139" i="1"/>
  <c r="U139" i="1" s="1"/>
  <c r="V139" i="1" s="1"/>
  <c r="W139" i="1" s="1"/>
  <c r="T216" i="1"/>
  <c r="U216" i="1" s="1"/>
  <c r="V216" i="1" s="1"/>
  <c r="W216" i="1" s="1"/>
  <c r="T12" i="1"/>
  <c r="U12" i="1" s="1"/>
  <c r="V12" i="1" s="1"/>
  <c r="W12" i="1" s="1"/>
  <c r="T146" i="1"/>
  <c r="U146" i="1" s="1"/>
  <c r="V146" i="1" s="1"/>
  <c r="W146" i="1" s="1"/>
  <c r="T85" i="1"/>
  <c r="U85" i="1" s="1"/>
  <c r="V85" i="1" s="1"/>
  <c r="W85" i="1" s="1"/>
  <c r="T196" i="1"/>
  <c r="U196" i="1" s="1"/>
  <c r="V196" i="1" s="1"/>
  <c r="W196" i="1" s="1"/>
  <c r="T93" i="1"/>
  <c r="U93" i="1" s="1"/>
  <c r="V93" i="1" s="1"/>
  <c r="W93" i="1" s="1"/>
  <c r="T160" i="1"/>
  <c r="U160" i="1" s="1"/>
  <c r="V160" i="1" s="1"/>
  <c r="W160" i="1" s="1"/>
  <c r="T143" i="1"/>
  <c r="U143" i="1" s="1"/>
  <c r="V143" i="1" s="1"/>
  <c r="W143" i="1" s="1"/>
  <c r="T44" i="1"/>
  <c r="U44" i="1" s="1"/>
  <c r="V44" i="1" s="1"/>
  <c r="W44" i="1" s="1"/>
  <c r="T34" i="1"/>
  <c r="U34" i="1" s="1"/>
  <c r="V34" i="1" s="1"/>
  <c r="W34" i="1" s="1"/>
  <c r="T191" i="1"/>
  <c r="U191" i="1" s="1"/>
  <c r="V191" i="1" s="1"/>
  <c r="W191" i="1" s="1"/>
  <c r="T66" i="1"/>
  <c r="U66" i="1" s="1"/>
  <c r="V66" i="1" s="1"/>
  <c r="W66" i="1" s="1"/>
  <c r="T183" i="1"/>
  <c r="U183" i="1" s="1"/>
  <c r="V183" i="1" s="1"/>
  <c r="W183" i="1" s="1"/>
  <c r="T187" i="1"/>
  <c r="U187" i="1" s="1"/>
  <c r="V187" i="1" s="1"/>
  <c r="W187" i="1" s="1"/>
  <c r="T150" i="1"/>
  <c r="U150" i="1" s="1"/>
  <c r="V150" i="1" s="1"/>
  <c r="W150" i="1" s="1"/>
  <c r="T71" i="1"/>
  <c r="U71" i="1" s="1"/>
  <c r="V71" i="1" s="1"/>
  <c r="W71" i="1" s="1"/>
  <c r="T94" i="1"/>
  <c r="U94" i="1" s="1"/>
  <c r="V94" i="1" s="1"/>
  <c r="W94" i="1" s="1"/>
  <c r="T103" i="1"/>
  <c r="U103" i="1" s="1"/>
  <c r="V103" i="1" s="1"/>
  <c r="W103" i="1" s="1"/>
  <c r="T161" i="1"/>
  <c r="U161" i="1" s="1"/>
  <c r="V161" i="1" s="1"/>
  <c r="W161" i="1" s="1"/>
  <c r="T206" i="1"/>
  <c r="U206" i="1" s="1"/>
  <c r="V206" i="1" s="1"/>
  <c r="W206" i="1" s="1"/>
  <c r="T197" i="1"/>
  <c r="U197" i="1" s="1"/>
  <c r="V197" i="1" s="1"/>
  <c r="W197" i="1" s="1"/>
  <c r="T230" i="1"/>
  <c r="U230" i="1" s="1"/>
  <c r="V230" i="1" s="1"/>
  <c r="W230" i="1" s="1"/>
  <c r="T108" i="1"/>
  <c r="U108" i="1" s="1"/>
  <c r="V108" i="1" s="1"/>
  <c r="W108" i="1" s="1"/>
  <c r="T115" i="1"/>
  <c r="U115" i="1" s="1"/>
  <c r="V115" i="1" s="1"/>
  <c r="W115" i="1" s="1"/>
  <c r="T81" i="1"/>
  <c r="U81" i="1" s="1"/>
  <c r="V81" i="1" s="1"/>
  <c r="W81" i="1" s="1"/>
  <c r="T225" i="1"/>
  <c r="U225" i="1" s="1"/>
  <c r="V225" i="1" s="1"/>
  <c r="W225" i="1" s="1"/>
  <c r="T17" i="1"/>
  <c r="U17" i="1" s="1"/>
  <c r="V17" i="1" s="1"/>
  <c r="W17" i="1" s="1"/>
  <c r="T214" i="1"/>
  <c r="U214" i="1" s="1"/>
  <c r="V214" i="1" s="1"/>
  <c r="W214" i="1" s="1"/>
  <c r="T235" i="1"/>
  <c r="U235" i="1" s="1"/>
  <c r="V235" i="1" s="1"/>
  <c r="W235" i="1" s="1"/>
  <c r="T208" i="1"/>
  <c r="U208" i="1" s="1"/>
  <c r="V208" i="1" s="1"/>
  <c r="W208" i="1" s="1"/>
  <c r="T61" i="1"/>
  <c r="U61" i="1" s="1"/>
  <c r="V61" i="1" s="1"/>
  <c r="W61" i="1" s="1"/>
  <c r="T16" i="1"/>
  <c r="U16" i="1" s="1"/>
  <c r="V16" i="1" s="1"/>
  <c r="W16" i="1" s="1"/>
  <c r="T221" i="1"/>
  <c r="U221" i="1" s="1"/>
  <c r="V221" i="1" s="1"/>
  <c r="W221" i="1" s="1"/>
  <c r="T147" i="1"/>
  <c r="U147" i="1" s="1"/>
  <c r="V147" i="1" s="1"/>
  <c r="W147" i="1" s="1"/>
  <c r="T219" i="1"/>
  <c r="U219" i="1" s="1"/>
  <c r="V219" i="1" s="1"/>
  <c r="W219" i="1" s="1"/>
  <c r="T194" i="1"/>
  <c r="U194" i="1" s="1"/>
  <c r="V194" i="1" s="1"/>
  <c r="W194" i="1" s="1"/>
  <c r="T14" i="1"/>
  <c r="U14" i="1" s="1"/>
  <c r="V14" i="1" s="1"/>
  <c r="W14" i="1" s="1"/>
  <c r="T180" i="1"/>
  <c r="U180" i="1" s="1"/>
  <c r="V180" i="1" s="1"/>
  <c r="W180" i="1" s="1"/>
  <c r="T188" i="1"/>
  <c r="U188" i="1" s="1"/>
  <c r="V188" i="1" s="1"/>
  <c r="W188" i="1" s="1"/>
  <c r="T176" i="1"/>
  <c r="U176" i="1" s="1"/>
  <c r="V176" i="1" s="1"/>
  <c r="W176" i="1" s="1"/>
  <c r="T164" i="1"/>
  <c r="U164" i="1" s="1"/>
  <c r="V164" i="1" s="1"/>
  <c r="W164" i="1" s="1"/>
  <c r="T102" i="1"/>
  <c r="U102" i="1" s="1"/>
  <c r="V102" i="1" s="1"/>
  <c r="W102" i="1" s="1"/>
  <c r="T142" i="1"/>
  <c r="U142" i="1" s="1"/>
  <c r="V142" i="1" s="1"/>
  <c r="W142" i="1" s="1"/>
  <c r="T184" i="1"/>
  <c r="U184" i="1" s="1"/>
  <c r="V184" i="1" s="1"/>
  <c r="W184" i="1" s="1"/>
  <c r="T46" i="1"/>
  <c r="U46" i="1" s="1"/>
  <c r="V46" i="1" s="1"/>
  <c r="W46" i="1" s="1"/>
  <c r="T67" i="1"/>
  <c r="U67" i="1" s="1"/>
  <c r="V67" i="1" s="1"/>
  <c r="W67" i="1" s="1"/>
  <c r="T107" i="1"/>
  <c r="U107" i="1" s="1"/>
  <c r="V107" i="1" s="1"/>
  <c r="W107" i="1" s="1"/>
  <c r="T217" i="1"/>
  <c r="U217" i="1" s="1"/>
  <c r="V217" i="1" s="1"/>
  <c r="W217" i="1" s="1"/>
  <c r="T245" i="1"/>
  <c r="U245" i="1" s="1"/>
  <c r="V245" i="1" s="1"/>
  <c r="W245" i="1" s="1"/>
  <c r="T127" i="1"/>
  <c r="U127" i="1" s="1"/>
  <c r="V127" i="1" s="1"/>
  <c r="W127" i="1" s="1"/>
  <c r="T239" i="1"/>
  <c r="U239" i="1" s="1"/>
  <c r="V239" i="1" s="1"/>
  <c r="W239" i="1" s="1"/>
  <c r="T99" i="1"/>
  <c r="U99" i="1" s="1"/>
  <c r="V99" i="1" s="1"/>
  <c r="W99" i="1" s="1"/>
  <c r="T132" i="1"/>
  <c r="U132" i="1" s="1"/>
  <c r="V132" i="1" s="1"/>
  <c r="W132" i="1" s="1"/>
  <c r="T113" i="1"/>
  <c r="U113" i="1" s="1"/>
  <c r="V113" i="1" s="1"/>
  <c r="W113" i="1" s="1"/>
  <c r="T213" i="1"/>
  <c r="U213" i="1" s="1"/>
  <c r="V213" i="1" s="1"/>
  <c r="W213" i="1" s="1"/>
  <c r="T243" i="1"/>
  <c r="U243" i="1" s="1"/>
  <c r="V243" i="1" s="1"/>
  <c r="W243" i="1" s="1"/>
  <c r="T57" i="1"/>
  <c r="U57" i="1" s="1"/>
  <c r="V57" i="1" s="1"/>
  <c r="W57" i="1" s="1"/>
  <c r="T76" i="1"/>
  <c r="U76" i="1" s="1"/>
  <c r="V76" i="1" s="1"/>
  <c r="W76" i="1" s="1"/>
  <c r="T130" i="1"/>
  <c r="U130" i="1" s="1"/>
  <c r="V130" i="1" s="1"/>
  <c r="W130" i="1" s="1"/>
  <c r="T190" i="1"/>
  <c r="U190" i="1" s="1"/>
  <c r="V190" i="1" s="1"/>
  <c r="W190" i="1" s="1"/>
  <c r="T145" i="1"/>
  <c r="U145" i="1" s="1"/>
  <c r="V145" i="1" s="1"/>
  <c r="W145" i="1" s="1"/>
  <c r="T26" i="1"/>
  <c r="U26" i="1" s="1"/>
  <c r="V26" i="1" s="1"/>
  <c r="W26" i="1" s="1"/>
  <c r="T207" i="1"/>
  <c r="U207" i="1" s="1"/>
  <c r="V207" i="1" s="1"/>
  <c r="W207" i="1" s="1"/>
  <c r="T45" i="1"/>
  <c r="U45" i="1" s="1"/>
  <c r="V45" i="1" s="1"/>
  <c r="W45" i="1" s="1"/>
  <c r="T128" i="1"/>
  <c r="U128" i="1" s="1"/>
  <c r="V128" i="1" s="1"/>
  <c r="W128" i="1" s="1"/>
  <c r="T144" i="1"/>
  <c r="U144" i="1" s="1"/>
  <c r="V144" i="1" s="1"/>
  <c r="W144" i="1" s="1"/>
  <c r="T23" i="1"/>
  <c r="U23" i="1" s="1"/>
  <c r="V23" i="1" s="1"/>
  <c r="W23" i="1" s="1"/>
  <c r="T105" i="1"/>
  <c r="U105" i="1" s="1"/>
  <c r="V105" i="1" s="1"/>
  <c r="W105" i="1" s="1"/>
  <c r="T59" i="1"/>
  <c r="U59" i="1" s="1"/>
  <c r="V59" i="1" s="1"/>
  <c r="W59" i="1" s="1"/>
  <c r="T80" i="1"/>
  <c r="U80" i="1" s="1"/>
  <c r="V80" i="1" s="1"/>
  <c r="W80" i="1" s="1"/>
  <c r="T240" i="1"/>
  <c r="U240" i="1" s="1"/>
  <c r="V240" i="1" s="1"/>
  <c r="W240" i="1" s="1"/>
  <c r="T78" i="1"/>
  <c r="U78" i="1" s="1"/>
  <c r="V78" i="1" s="1"/>
  <c r="W78" i="1" s="1"/>
  <c r="T159" i="1"/>
  <c r="U159" i="1" s="1"/>
  <c r="V159" i="1" s="1"/>
  <c r="W159" i="1" s="1"/>
  <c r="T90" i="1"/>
  <c r="U90" i="1" s="1"/>
  <c r="V90" i="1" s="1"/>
  <c r="W90" i="1" s="1"/>
  <c r="T177" i="1"/>
  <c r="U177" i="1" s="1"/>
  <c r="V177" i="1" s="1"/>
  <c r="W177" i="1" s="1"/>
  <c r="T162" i="1"/>
  <c r="U162" i="1" s="1"/>
  <c r="V162" i="1" s="1"/>
  <c r="W162" i="1" s="1"/>
  <c r="T236" i="1"/>
  <c r="U236" i="1" s="1"/>
  <c r="V236" i="1" s="1"/>
  <c r="W236" i="1" s="1"/>
  <c r="T174" i="1"/>
  <c r="U174" i="1" s="1"/>
  <c r="V174" i="1" s="1"/>
  <c r="W174" i="1" s="1"/>
  <c r="T232" i="1"/>
  <c r="U232" i="1" s="1"/>
  <c r="V232" i="1" s="1"/>
  <c r="W232" i="1" s="1"/>
  <c r="T52" i="1"/>
  <c r="U52" i="1" s="1"/>
  <c r="V52" i="1" s="1"/>
  <c r="W52" i="1" s="1"/>
  <c r="T171" i="1"/>
  <c r="U171" i="1" s="1"/>
  <c r="V171" i="1" s="1"/>
  <c r="W171" i="1" s="1"/>
  <c r="T248" i="1"/>
  <c r="U248" i="1" s="1"/>
  <c r="V248" i="1" s="1"/>
  <c r="W248" i="1" s="1"/>
  <c r="T179" i="1"/>
  <c r="U179" i="1" s="1"/>
  <c r="V179" i="1" s="1"/>
  <c r="W179" i="1" s="1"/>
  <c r="T86" i="1"/>
  <c r="U86" i="1" s="1"/>
  <c r="V86" i="1" s="1"/>
  <c r="W86" i="1" s="1"/>
  <c r="T224" i="1"/>
  <c r="U224" i="1" s="1"/>
  <c r="V224" i="1" s="1"/>
  <c r="W224" i="1" s="1"/>
  <c r="T74" i="1"/>
  <c r="U74" i="1" s="1"/>
  <c r="V74" i="1" s="1"/>
  <c r="W74" i="1" s="1"/>
  <c r="T29" i="1"/>
  <c r="U29" i="1" s="1"/>
  <c r="V29" i="1" s="1"/>
  <c r="W29" i="1" s="1"/>
  <c r="T47" i="1"/>
  <c r="U47" i="1" s="1"/>
  <c r="V47" i="1" s="1"/>
  <c r="W47" i="1" s="1"/>
  <c r="T168" i="1"/>
  <c r="U168" i="1" s="1"/>
  <c r="V168" i="1" s="1"/>
  <c r="W168" i="1" s="1"/>
  <c r="T244" i="1"/>
  <c r="U244" i="1" s="1"/>
  <c r="V244" i="1" s="1"/>
  <c r="W244" i="1" s="1"/>
  <c r="T101" i="1"/>
  <c r="U101" i="1" s="1"/>
  <c r="V101" i="1" s="1"/>
  <c r="W101" i="1" s="1"/>
  <c r="T242" i="1"/>
  <c r="U242" i="1" s="1"/>
  <c r="V242" i="1" s="1"/>
  <c r="W242" i="1" s="1"/>
  <c r="T75" i="1"/>
  <c r="U75" i="1" s="1"/>
  <c r="V75" i="1" s="1"/>
  <c r="W75" i="1" s="1"/>
  <c r="T129" i="1"/>
  <c r="U129" i="1" s="1"/>
  <c r="V129" i="1" s="1"/>
  <c r="W129" i="1" s="1"/>
  <c r="T72" i="1"/>
  <c r="U72" i="1" s="1"/>
  <c r="V72" i="1" s="1"/>
  <c r="W72" i="1" s="1"/>
  <c r="T98" i="1"/>
  <c r="U98" i="1" s="1"/>
  <c r="V98" i="1" s="1"/>
  <c r="W98" i="1" s="1"/>
  <c r="T163" i="1"/>
  <c r="U163" i="1" s="1"/>
  <c r="V163" i="1" s="1"/>
  <c r="W163" i="1" s="1"/>
  <c r="T100" i="1"/>
  <c r="U100" i="1" s="1"/>
  <c r="V100" i="1" s="1"/>
  <c r="W100" i="1" s="1"/>
  <c r="T53" i="1"/>
  <c r="U53" i="1" s="1"/>
  <c r="V53" i="1" s="1"/>
  <c r="W53" i="1" s="1"/>
  <c r="T167" i="1"/>
  <c r="U167" i="1" s="1"/>
  <c r="V167" i="1" s="1"/>
  <c r="W167" i="1" s="1"/>
  <c r="T54" i="1"/>
  <c r="U54" i="1" s="1"/>
  <c r="V54" i="1" s="1"/>
  <c r="W54" i="1" s="1"/>
  <c r="T189" i="1"/>
  <c r="U189" i="1" s="1"/>
  <c r="V189" i="1" s="1"/>
  <c r="W189" i="1" s="1"/>
  <c r="T199" i="1"/>
  <c r="U199" i="1" s="1"/>
  <c r="V199" i="1" s="1"/>
  <c r="W199" i="1" s="1"/>
  <c r="T13" i="1"/>
  <c r="U13" i="1" s="1"/>
  <c r="V13" i="1" s="1"/>
  <c r="W13" i="1" s="1"/>
  <c r="T50" i="1"/>
  <c r="U50" i="1" s="1"/>
  <c r="V50" i="1" s="1"/>
  <c r="W50" i="1" s="1"/>
  <c r="T231" i="1"/>
  <c r="U231" i="1" s="1"/>
  <c r="V231" i="1" s="1"/>
  <c r="W231" i="1" s="1"/>
  <c r="T19" i="1"/>
  <c r="U19" i="1" s="1"/>
  <c r="V19" i="1" s="1"/>
  <c r="W19" i="1" s="1"/>
  <c r="T68" i="1"/>
  <c r="U68" i="1" s="1"/>
  <c r="V68" i="1" s="1"/>
  <c r="W68" i="1" s="1"/>
  <c r="T185" i="1"/>
  <c r="U185" i="1" s="1"/>
  <c r="V185" i="1" s="1"/>
  <c r="W185" i="1" s="1"/>
  <c r="T193" i="1"/>
  <c r="U193" i="1" s="1"/>
  <c r="V193" i="1" s="1"/>
  <c r="W193" i="1" s="1"/>
  <c r="T211" i="1"/>
  <c r="U211" i="1" s="1"/>
  <c r="V211" i="1" s="1"/>
  <c r="W211" i="1" s="1"/>
  <c r="T31" i="1"/>
  <c r="U31" i="1" s="1"/>
  <c r="V31" i="1" s="1"/>
  <c r="W31" i="1" s="1"/>
  <c r="T124" i="1"/>
  <c r="U124" i="1" s="1"/>
  <c r="V124" i="1" s="1"/>
  <c r="W124" i="1" s="1"/>
  <c r="T182" i="1"/>
  <c r="U182" i="1" s="1"/>
  <c r="V182" i="1" s="1"/>
  <c r="W182" i="1" s="1"/>
  <c r="T152" i="1"/>
  <c r="U152" i="1" s="1"/>
  <c r="V152" i="1" s="1"/>
  <c r="W152" i="1" s="1"/>
  <c r="T136" i="1"/>
  <c r="U136" i="1" s="1"/>
  <c r="V136" i="1" s="1"/>
  <c r="W136" i="1" s="1"/>
  <c r="T156" i="1"/>
  <c r="U156" i="1" s="1"/>
  <c r="V156" i="1" s="1"/>
  <c r="W156" i="1" s="1"/>
  <c r="T205" i="1"/>
  <c r="U205" i="1" s="1"/>
  <c r="V205" i="1" s="1"/>
  <c r="W205" i="1" s="1"/>
  <c r="T226" i="1"/>
  <c r="U226" i="1" s="1"/>
  <c r="V226" i="1" s="1"/>
  <c r="W226" i="1" s="1"/>
  <c r="T198" i="1"/>
  <c r="U198" i="1" s="1"/>
  <c r="V198" i="1" s="1"/>
  <c r="W198" i="1" s="1"/>
  <c r="T114" i="1"/>
  <c r="U114" i="1" s="1"/>
  <c r="V114" i="1" s="1"/>
  <c r="W114" i="1" s="1"/>
  <c r="T21" i="1"/>
  <c r="U21" i="1" s="1"/>
  <c r="V21" i="1" s="1"/>
  <c r="W21" i="1" s="1"/>
  <c r="T131" i="1"/>
  <c r="U131" i="1" s="1"/>
  <c r="V131" i="1" s="1"/>
  <c r="W131" i="1" s="1"/>
  <c r="T109" i="1"/>
  <c r="U109" i="1" s="1"/>
  <c r="V109" i="1" s="1"/>
  <c r="W109" i="1" s="1"/>
  <c r="T95" i="1"/>
  <c r="U95" i="1" s="1"/>
  <c r="V95" i="1" s="1"/>
  <c r="W95" i="1" s="1"/>
  <c r="T30" i="1"/>
  <c r="U30" i="1" s="1"/>
  <c r="V30" i="1" s="1"/>
  <c r="W30" i="1" s="1"/>
  <c r="T25" i="1"/>
  <c r="U25" i="1" s="1"/>
  <c r="V25" i="1" s="1"/>
  <c r="W25" i="1" s="1"/>
  <c r="T135" i="1"/>
  <c r="U135" i="1" s="1"/>
  <c r="V135" i="1" s="1"/>
  <c r="W135" i="1" s="1"/>
  <c r="T125" i="1"/>
  <c r="U125" i="1" s="1"/>
  <c r="V125" i="1" s="1"/>
  <c r="W125" i="1" s="1"/>
  <c r="T178" i="1"/>
  <c r="U178" i="1" s="1"/>
  <c r="V178" i="1" s="1"/>
  <c r="W178" i="1" s="1"/>
  <c r="T96" i="1"/>
  <c r="U96" i="1" s="1"/>
  <c r="V96" i="1" s="1"/>
  <c r="W96" i="1" s="1"/>
  <c r="T149" i="1"/>
  <c r="U149" i="1" s="1"/>
  <c r="V149" i="1" s="1"/>
  <c r="W149" i="1" s="1"/>
  <c r="T133" i="1"/>
  <c r="U133" i="1" s="1"/>
  <c r="V133" i="1" s="1"/>
  <c r="W133" i="1" s="1"/>
  <c r="T82" i="1"/>
  <c r="U82" i="1" s="1"/>
  <c r="V82" i="1" s="1"/>
  <c r="W82" i="1" s="1"/>
  <c r="T83" i="1"/>
  <c r="U83" i="1" s="1"/>
  <c r="V83" i="1" s="1"/>
  <c r="W83" i="1" s="1"/>
  <c r="T48" i="1"/>
  <c r="U48" i="1" s="1"/>
  <c r="V48" i="1" s="1"/>
  <c r="W48" i="1" s="1"/>
  <c r="T202" i="1"/>
  <c r="U202" i="1" s="1"/>
  <c r="V202" i="1" s="1"/>
  <c r="W202" i="1" s="1"/>
  <c r="T92" i="1"/>
  <c r="U92" i="1" s="1"/>
  <c r="V92" i="1" s="1"/>
  <c r="W92" i="1" s="1"/>
  <c r="T158" i="1"/>
  <c r="U158" i="1" s="1"/>
  <c r="V158" i="1" s="1"/>
  <c r="W158" i="1" s="1"/>
  <c r="T51" i="1"/>
  <c r="U51" i="1" s="1"/>
  <c r="V51" i="1" s="1"/>
  <c r="W51" i="1" s="1"/>
  <c r="T91" i="1"/>
  <c r="U91" i="1" s="1"/>
  <c r="V91" i="1" s="1"/>
  <c r="W91" i="1" s="1"/>
  <c r="T215" i="1"/>
  <c r="U215" i="1" s="1"/>
  <c r="V215" i="1" s="1"/>
  <c r="W215" i="1" s="1"/>
  <c r="T166" i="1"/>
  <c r="U166" i="1" s="1"/>
  <c r="V166" i="1" s="1"/>
  <c r="W166" i="1" s="1"/>
  <c r="T42" i="1"/>
  <c r="U42" i="1" s="1"/>
  <c r="V42" i="1" s="1"/>
  <c r="W42" i="1" s="1"/>
  <c r="T56" i="1"/>
  <c r="U56" i="1" s="1"/>
  <c r="V56" i="1" s="1"/>
  <c r="W56" i="1" s="1"/>
  <c r="T192" i="1"/>
  <c r="U192" i="1" s="1"/>
  <c r="V192" i="1" s="1"/>
  <c r="W192" i="1" s="1"/>
  <c r="T118" i="1"/>
  <c r="U118" i="1" s="1"/>
  <c r="V118" i="1" s="1"/>
  <c r="W118" i="1" s="1"/>
  <c r="T137" i="1"/>
  <c r="U137" i="1" s="1"/>
  <c r="V137" i="1" s="1"/>
  <c r="T134" i="1"/>
  <c r="U134" i="1" s="1"/>
  <c r="V134" i="1" s="1"/>
  <c r="W134" i="1" s="1"/>
  <c r="T246" i="1"/>
  <c r="U246" i="1" s="1"/>
  <c r="V246" i="1" s="1"/>
  <c r="W246" i="1" s="1"/>
  <c r="T165" i="1"/>
  <c r="U165" i="1" s="1"/>
  <c r="V165" i="1" s="1"/>
  <c r="W165" i="1" s="1"/>
  <c r="T227" i="1"/>
  <c r="U227" i="1" s="1"/>
  <c r="V227" i="1" s="1"/>
  <c r="W227" i="1" s="1"/>
  <c r="T58" i="1"/>
  <c r="U58" i="1" s="1"/>
  <c r="V58" i="1" s="1"/>
  <c r="W58" i="1" s="1"/>
  <c r="T18" i="1"/>
  <c r="U18" i="1" s="1"/>
  <c r="V18" i="1" s="1"/>
  <c r="W18" i="1" s="1"/>
  <c r="T49" i="1"/>
  <c r="U49" i="1" s="1"/>
  <c r="V49" i="1" s="1"/>
  <c r="W49" i="1" s="1"/>
  <c r="T97" i="1"/>
  <c r="U97" i="1" s="1"/>
  <c r="V97" i="1" s="1"/>
  <c r="W97" i="1" s="1"/>
  <c r="T222" i="1"/>
  <c r="U222" i="1" s="1"/>
  <c r="V222" i="1" s="1"/>
  <c r="W222" i="1" s="1"/>
  <c r="T116" i="1"/>
  <c r="U116" i="1" s="1"/>
  <c r="V116" i="1" s="1"/>
  <c r="W116" i="1" s="1"/>
  <c r="T151" i="1"/>
  <c r="U151" i="1" s="1"/>
  <c r="V151" i="1" s="1"/>
  <c r="W151" i="1" s="1"/>
  <c r="T155" i="1"/>
  <c r="U155" i="1" s="1"/>
  <c r="V155" i="1" s="1"/>
  <c r="W155" i="1" s="1"/>
  <c r="T69" i="1"/>
  <c r="U69" i="1" s="1"/>
  <c r="V69" i="1" s="1"/>
  <c r="W69" i="1" s="1"/>
  <c r="T238" i="1"/>
  <c r="U238" i="1" s="1"/>
  <c r="V238" i="1" s="1"/>
  <c r="W238" i="1" s="1"/>
  <c r="T15" i="1"/>
  <c r="U15" i="1" s="1"/>
  <c r="V15" i="1" s="1"/>
  <c r="W15" i="1" s="1"/>
  <c r="T24" i="1"/>
  <c r="U24" i="1" s="1"/>
  <c r="V24" i="1" s="1"/>
  <c r="W24" i="1" s="1"/>
  <c r="T201" i="1"/>
  <c r="U201" i="1" s="1"/>
  <c r="V201" i="1" s="1"/>
  <c r="W201" i="1" s="1"/>
  <c r="T43" i="1"/>
  <c r="U43" i="1" s="1"/>
  <c r="V43" i="1" s="1"/>
  <c r="W43" i="1" s="1"/>
  <c r="T111" i="1"/>
  <c r="U111" i="1" s="1"/>
  <c r="V111" i="1" s="1"/>
  <c r="W111" i="1" s="1"/>
  <c r="T11" i="1"/>
  <c r="U11" i="1" s="1"/>
  <c r="V11" i="1" s="1"/>
  <c r="W11" i="1" s="1"/>
  <c r="T220" i="1"/>
  <c r="U220" i="1" s="1"/>
  <c r="V220" i="1" s="1"/>
  <c r="W220" i="1" s="1"/>
  <c r="T117" i="1"/>
  <c r="U117" i="1" s="1"/>
  <c r="V117" i="1" s="1"/>
  <c r="W117" i="1" s="1"/>
  <c r="T126" i="1"/>
  <c r="U126" i="1" s="1"/>
  <c r="V126" i="1" s="1"/>
  <c r="W126" i="1" s="1"/>
  <c r="T104" i="1"/>
  <c r="U104" i="1" s="1"/>
  <c r="V104" i="1" s="1"/>
  <c r="W104" i="1" s="1"/>
  <c r="T141" i="1"/>
  <c r="U141" i="1" s="1"/>
  <c r="V141" i="1" s="1"/>
  <c r="W141" i="1" s="1"/>
  <c r="T63" i="1"/>
  <c r="U63" i="1" s="1"/>
  <c r="V63" i="1" s="1"/>
  <c r="W63" i="1" s="1"/>
  <c r="T87" i="1"/>
  <c r="U87" i="1" s="1"/>
  <c r="V87" i="1" s="1"/>
  <c r="W87" i="1" s="1"/>
  <c r="T110" i="1"/>
  <c r="U110" i="1" s="1"/>
  <c r="V110" i="1" s="1"/>
  <c r="W110" i="1" s="1"/>
  <c r="T20" i="1"/>
  <c r="U20" i="1" s="1"/>
  <c r="V20" i="1" s="1"/>
  <c r="W20" i="1" s="1"/>
  <c r="T62" i="1"/>
  <c r="U62" i="1" s="1"/>
  <c r="V62" i="1" s="1"/>
  <c r="W62" i="1" s="1"/>
  <c r="T41" i="1"/>
  <c r="U41" i="1" s="1"/>
  <c r="V41" i="1" s="1"/>
  <c r="W41" i="1" s="1"/>
  <c r="T241" i="1"/>
  <c r="U241" i="1" s="1"/>
  <c r="V241" i="1" s="1"/>
  <c r="W241" i="1" s="1"/>
  <c r="T169" i="1"/>
  <c r="U169" i="1" s="1"/>
  <c r="V169" i="1" s="1"/>
  <c r="W169" i="1" s="1"/>
  <c r="T22" i="1"/>
  <c r="U22" i="1" s="1"/>
  <c r="V22" i="1" s="1"/>
  <c r="W22" i="1" s="1"/>
  <c r="T112" i="1"/>
  <c r="U112" i="1" s="1"/>
  <c r="V112" i="1" s="1"/>
  <c r="W112" i="1" s="1"/>
  <c r="T181" i="1"/>
  <c r="U181" i="1" s="1"/>
  <c r="V181" i="1" s="1"/>
  <c r="W181" i="1" s="1"/>
  <c r="T247" i="1"/>
  <c r="U247" i="1" s="1"/>
  <c r="V247" i="1" s="1"/>
  <c r="W247" i="1" s="1"/>
  <c r="T106" i="1"/>
  <c r="U106" i="1" s="1"/>
  <c r="V106" i="1" s="1"/>
  <c r="W106" i="1" s="1"/>
  <c r="T36" i="1"/>
  <c r="U36" i="1" s="1"/>
  <c r="V36" i="1" s="1"/>
  <c r="W36" i="1" s="1"/>
  <c r="T60" i="1"/>
  <c r="U60" i="1" s="1"/>
  <c r="V60" i="1" s="1"/>
  <c r="W60" i="1" s="1"/>
  <c r="T35" i="1"/>
  <c r="U35" i="1" s="1"/>
  <c r="V35" i="1" s="1"/>
  <c r="W35" i="1" s="1"/>
  <c r="T195" i="1"/>
  <c r="U195" i="1" s="1"/>
  <c r="V195" i="1" s="1"/>
  <c r="W195" i="1" s="1"/>
  <c r="T175" i="1"/>
  <c r="U175" i="1" s="1"/>
  <c r="V175" i="1" s="1"/>
  <c r="W175" i="1" s="1"/>
  <c r="T84" i="1"/>
  <c r="U84" i="1" s="1"/>
  <c r="V84" i="1" s="1"/>
  <c r="W84" i="1" s="1"/>
  <c r="T122" i="1"/>
  <c r="U122" i="1" s="1"/>
  <c r="V122" i="1" s="1"/>
  <c r="W122" i="1" s="1"/>
  <c r="T237" i="1"/>
  <c r="U237" i="1" s="1"/>
  <c r="V237" i="1" s="1"/>
  <c r="W237" i="1" s="1"/>
  <c r="T120" i="1"/>
  <c r="U120" i="1" s="1"/>
  <c r="V120" i="1" s="1"/>
  <c r="W120" i="1" s="1"/>
  <c r="T79" i="1"/>
  <c r="U79" i="1" s="1"/>
  <c r="V79" i="1" s="1"/>
  <c r="W79" i="1" s="1"/>
  <c r="T223" i="1"/>
  <c r="U223" i="1" s="1"/>
  <c r="V223" i="1" s="1"/>
  <c r="W223" i="1" s="1"/>
  <c r="T70" i="1"/>
  <c r="U70" i="1" s="1"/>
  <c r="V70" i="1" s="1"/>
  <c r="W70" i="1" s="1"/>
  <c r="T173" i="1"/>
  <c r="U173" i="1" s="1"/>
  <c r="V173" i="1" s="1"/>
  <c r="W173" i="1" s="1"/>
  <c r="T73" i="1"/>
  <c r="U73" i="1" s="1"/>
  <c r="V73" i="1" s="1"/>
  <c r="W73" i="1" s="1"/>
  <c r="T138" i="1"/>
  <c r="U138" i="1" s="1"/>
  <c r="V138" i="1" s="1"/>
  <c r="T209" i="1"/>
  <c r="U209" i="1" s="1"/>
  <c r="V209" i="1" s="1"/>
  <c r="W209" i="1" s="1"/>
  <c r="T77" i="1"/>
  <c r="U77" i="1" s="1"/>
  <c r="V77" i="1" s="1"/>
  <c r="W77" i="1" s="1"/>
  <c r="T37" i="1"/>
  <c r="U37" i="1" s="1"/>
  <c r="V37" i="1" s="1"/>
  <c r="W37" i="1" s="1"/>
  <c r="T233" i="1"/>
  <c r="U233" i="1" s="1"/>
  <c r="V233" i="1" s="1"/>
  <c r="W233" i="1" s="1"/>
  <c r="T154" i="1"/>
  <c r="U154" i="1" s="1"/>
  <c r="V154" i="1" s="1"/>
  <c r="W154" i="1" s="1"/>
  <c r="T148" i="1"/>
  <c r="U148" i="1" s="1"/>
  <c r="V148" i="1" s="1"/>
  <c r="W148" i="1" s="1"/>
  <c r="T212" i="1"/>
  <c r="U212" i="1" s="1"/>
  <c r="V212" i="1" s="1"/>
  <c r="W212" i="1" s="1"/>
  <c r="T153" i="1"/>
  <c r="U153" i="1" s="1"/>
  <c r="V153" i="1" s="1"/>
  <c r="W153" i="1" s="1"/>
  <c r="T65" i="1"/>
  <c r="U65" i="1" s="1"/>
  <c r="V65" i="1" s="1"/>
  <c r="W65" i="1" s="1"/>
  <c r="T39" i="1"/>
  <c r="U39" i="1" s="1"/>
  <c r="V39" i="1" s="1"/>
  <c r="W39" i="1" s="1"/>
  <c r="T140" i="1"/>
  <c r="U140" i="1" s="1"/>
  <c r="V140" i="1" s="1"/>
  <c r="W140" i="1" s="1"/>
  <c r="T28" i="1"/>
  <c r="U28" i="1" s="1"/>
  <c r="V28" i="1" s="1"/>
  <c r="W28" i="1" s="1"/>
  <c r="T89" i="1"/>
  <c r="U89" i="1" s="1"/>
  <c r="V89" i="1" s="1"/>
  <c r="W89" i="1" s="1"/>
  <c r="T218" i="1"/>
  <c r="U218" i="1" s="1"/>
  <c r="V218" i="1" s="1"/>
  <c r="W218" i="1" s="1"/>
  <c r="T55" i="1"/>
  <c r="U55" i="1" s="1"/>
  <c r="V55" i="1" s="1"/>
  <c r="W55" i="1" s="1"/>
  <c r="T228" i="1"/>
  <c r="U228" i="1" s="1"/>
  <c r="V228" i="1" s="1"/>
  <c r="W228" i="1" s="1"/>
  <c r="T32" i="1"/>
  <c r="U32" i="1" s="1"/>
  <c r="V32" i="1" s="1"/>
  <c r="W32" i="1" s="1"/>
  <c r="AA87" i="1"/>
  <c r="F78" i="4" s="1"/>
  <c r="AA114" i="1"/>
  <c r="F105" i="4" s="1"/>
  <c r="AA204" i="1"/>
  <c r="F195" i="4" s="1"/>
  <c r="AA184" i="1"/>
  <c r="F175" i="4" s="1"/>
  <c r="AA46" i="1"/>
  <c r="F37" i="4" s="1"/>
  <c r="AA102" i="1"/>
  <c r="F93" i="4" s="1"/>
  <c r="AA111" i="1"/>
  <c r="F102" i="4" s="1"/>
  <c r="AA85" i="1"/>
  <c r="F76" i="4" s="1"/>
  <c r="AA42" i="1"/>
  <c r="F33" i="4" s="1"/>
  <c r="AA245" i="1"/>
  <c r="F236" i="4" s="1"/>
  <c r="AA40" i="1"/>
  <c r="F31" i="4" s="1"/>
  <c r="AA118" i="1"/>
  <c r="F109" i="4" s="1"/>
  <c r="AA23" i="1"/>
  <c r="F14" i="4" s="1"/>
  <c r="AA229" i="1"/>
  <c r="F220" i="4" s="1"/>
  <c r="AA236" i="1"/>
  <c r="F227" i="4" s="1"/>
  <c r="AA224" i="1"/>
  <c r="F215" i="4" s="1"/>
  <c r="AA159" i="1"/>
  <c r="F150" i="4" s="1"/>
  <c r="AA107" i="1"/>
  <c r="F98" i="4" s="1"/>
  <c r="AA208" i="1"/>
  <c r="F199" i="4" s="1"/>
  <c r="AA21" i="1"/>
  <c r="F12" i="4" s="1"/>
  <c r="AA59" i="1"/>
  <c r="F50" i="4" s="1"/>
  <c r="AA219" i="1"/>
  <c r="F210" i="4" s="1"/>
  <c r="AA135" i="1"/>
  <c r="F126" i="4" s="1"/>
  <c r="AA33" i="1"/>
  <c r="F24" i="4" s="1"/>
  <c r="AA220" i="1"/>
  <c r="F211" i="4" s="1"/>
  <c r="AA147" i="1"/>
  <c r="F138" i="4" s="1"/>
  <c r="AA29" i="1"/>
  <c r="F20" i="4" s="1"/>
  <c r="AA170" i="1"/>
  <c r="F161" i="4" s="1"/>
  <c r="AA160" i="1"/>
  <c r="F151" i="4" s="1"/>
  <c r="AA233" i="1"/>
  <c r="F224" i="4" s="1"/>
  <c r="AA66" i="1"/>
  <c r="F57" i="4" s="1"/>
  <c r="AA140" i="1"/>
  <c r="F131" i="4" s="1"/>
  <c r="AA113" i="1"/>
  <c r="F104" i="4" s="1"/>
  <c r="AA108" i="1"/>
  <c r="F99" i="4" s="1"/>
  <c r="AA230" i="1"/>
  <c r="F221" i="4" s="1"/>
  <c r="AA13" i="1"/>
  <c r="F4" i="4" s="1"/>
  <c r="AA167" i="1"/>
  <c r="F158" i="4" s="1"/>
  <c r="AA117" i="1"/>
  <c r="F108" i="4" s="1"/>
  <c r="AA39" i="1"/>
  <c r="F30" i="4" s="1"/>
  <c r="AA79" i="1"/>
  <c r="F70" i="4" s="1"/>
  <c r="AA15" i="1"/>
  <c r="F6" i="4" s="1"/>
  <c r="AA47" i="1"/>
  <c r="F38" i="4" s="1"/>
  <c r="AA241" i="1"/>
  <c r="F232" i="4" s="1"/>
  <c r="AA121" i="1"/>
  <c r="F112" i="4" s="1"/>
  <c r="AA123" i="1"/>
  <c r="F114" i="4" s="1"/>
  <c r="AA149" i="1"/>
  <c r="F140" i="4" s="1"/>
  <c r="AA172" i="1"/>
  <c r="F163" i="4" s="1"/>
  <c r="AA49" i="1"/>
  <c r="F40" i="4" s="1"/>
  <c r="AA157" i="1"/>
  <c r="F148" i="4" s="1"/>
  <c r="AA194" i="1"/>
  <c r="F185" i="4" s="1"/>
  <c r="AA78" i="1"/>
  <c r="F69" i="4" s="1"/>
  <c r="AA105" i="1"/>
  <c r="F96" i="4" s="1"/>
  <c r="AA97" i="1"/>
  <c r="F88" i="4" s="1"/>
  <c r="AA151" i="1"/>
  <c r="F142" i="4" s="1"/>
  <c r="AA198" i="1"/>
  <c r="F189" i="4" s="1"/>
  <c r="AA203" i="1"/>
  <c r="F194" i="4" s="1"/>
  <c r="AA74" i="1"/>
  <c r="F65" i="4" s="1"/>
  <c r="AA96" i="1"/>
  <c r="F87" i="4" s="1"/>
  <c r="AA16" i="1"/>
  <c r="F7" i="4" s="1"/>
  <c r="AA52" i="1"/>
  <c r="F43" i="4" s="1"/>
  <c r="AA12" i="1"/>
  <c r="F3" i="4" s="1"/>
  <c r="AA186" i="1"/>
  <c r="F177" i="4" s="1"/>
  <c r="AA24" i="1"/>
  <c r="F15" i="4" s="1"/>
  <c r="AA237" i="1"/>
  <c r="F228" i="4" s="1"/>
  <c r="AA213" i="1"/>
  <c r="F204" i="4" s="1"/>
  <c r="AA218" i="1"/>
  <c r="F209" i="4" s="1"/>
  <c r="AA120" i="1"/>
  <c r="F111" i="4" s="1"/>
  <c r="AA156" i="1"/>
  <c r="F147" i="4" s="1"/>
  <c r="AA183" i="1"/>
  <c r="F174" i="4" s="1"/>
  <c r="AA37" i="1"/>
  <c r="F28" i="4" s="1"/>
  <c r="AA77" i="1"/>
  <c r="F68" i="4" s="1"/>
  <c r="AA110" i="1"/>
  <c r="F101" i="4" s="1"/>
  <c r="AA181" i="1"/>
  <c r="F172" i="4" s="1"/>
  <c r="AA211" i="1"/>
  <c r="F202" i="4" s="1"/>
  <c r="AA31" i="1"/>
  <c r="F22" i="4" s="1"/>
  <c r="AA35" i="1"/>
  <c r="F26" i="4" s="1"/>
  <c r="AA50" i="1"/>
  <c r="F41" i="4" s="1"/>
  <c r="AA55" i="1"/>
  <c r="F46" i="4" s="1"/>
  <c r="AA70" i="1"/>
  <c r="F61" i="4" s="1"/>
  <c r="AA91" i="1"/>
  <c r="F82" i="4" s="1"/>
  <c r="AA168" i="1"/>
  <c r="F159" i="4" s="1"/>
  <c r="AA129" i="1"/>
  <c r="F120" i="4" s="1"/>
  <c r="AA142" i="1"/>
  <c r="F133" i="4" s="1"/>
  <c r="AA80" i="1"/>
  <c r="F71" i="4" s="1"/>
  <c r="AA133" i="1"/>
  <c r="F124" i="4" s="1"/>
  <c r="AA200" i="1"/>
  <c r="F191" i="4" s="1"/>
  <c r="AA64" i="1"/>
  <c r="F55" i="4" s="1"/>
  <c r="AA51" i="1"/>
  <c r="F42" i="4" s="1"/>
  <c r="AA164" i="1"/>
  <c r="F155" i="4" s="1"/>
  <c r="AA72" i="1"/>
  <c r="F63" i="4" s="1"/>
  <c r="AA38" i="1"/>
  <c r="F29" i="4" s="1"/>
  <c r="AA221" i="1"/>
  <c r="F212" i="4" s="1"/>
  <c r="AA14" i="1"/>
  <c r="F5" i="4" s="1"/>
  <c r="AA145" i="1"/>
  <c r="F136" i="4" s="1"/>
  <c r="AA56" i="1"/>
  <c r="F47" i="4" s="1"/>
  <c r="AA93" i="1"/>
  <c r="F84" i="4" s="1"/>
  <c r="AA240" i="1"/>
  <c r="F231" i="4" s="1"/>
  <c r="AA178" i="1"/>
  <c r="F169" i="4" s="1"/>
  <c r="AA137" i="1"/>
  <c r="F128" i="4" s="1"/>
  <c r="AA61" i="1"/>
  <c r="F52" i="4" s="1"/>
  <c r="AA231" i="1"/>
  <c r="F222" i="4" s="1"/>
  <c r="AA174" i="1"/>
  <c r="F165" i="4" s="1"/>
  <c r="AA131" i="1"/>
  <c r="F122" i="4" s="1"/>
  <c r="AA30" i="1"/>
  <c r="F21" i="4" s="1"/>
  <c r="AA44" i="1"/>
  <c r="F35" i="4" s="1"/>
  <c r="AA90" i="1"/>
  <c r="F81" i="4" s="1"/>
  <c r="AA196" i="1"/>
  <c r="F187" i="4" s="1"/>
  <c r="AA95" i="1"/>
  <c r="F86" i="4" s="1"/>
  <c r="AA155" i="1"/>
  <c r="F146" i="4" s="1"/>
  <c r="AA34" i="1"/>
  <c r="F25" i="4" s="1"/>
  <c r="AA176" i="1"/>
  <c r="F167" i="4" s="1"/>
  <c r="AA88" i="1"/>
  <c r="F79" i="4" s="1"/>
  <c r="AA242" i="1"/>
  <c r="F233" i="4" s="1"/>
  <c r="AA126" i="1"/>
  <c r="F117" i="4" s="1"/>
  <c r="AA60" i="1"/>
  <c r="F51" i="4" s="1"/>
  <c r="AA136" i="1"/>
  <c r="F127" i="4" s="1"/>
  <c r="AA193" i="1"/>
  <c r="F184" i="4" s="1"/>
  <c r="AA209" i="1"/>
  <c r="F200" i="4" s="1"/>
  <c r="AA143" i="1"/>
  <c r="F134" i="4" s="1"/>
  <c r="AA225" i="1"/>
  <c r="F216" i="4" s="1"/>
  <c r="AA36" i="1"/>
  <c r="F27" i="4" s="1"/>
  <c r="AA41" i="1"/>
  <c r="F32" i="4" s="1"/>
  <c r="AA104" i="1"/>
  <c r="F95" i="4" s="1"/>
  <c r="AA154" i="1"/>
  <c r="F145" i="4" s="1"/>
  <c r="AA175" i="1"/>
  <c r="F166" i="4" s="1"/>
  <c r="AA22" i="1"/>
  <c r="F13" i="4" s="1"/>
  <c r="AA103" i="1"/>
  <c r="F94" i="4" s="1"/>
  <c r="AA26" i="1"/>
  <c r="F17" i="4" s="1"/>
  <c r="AA112" i="1"/>
  <c r="F103" i="4" s="1"/>
  <c r="AA152" i="1"/>
  <c r="F143" i="4" s="1"/>
  <c r="AA180" i="1"/>
  <c r="F171" i="4" s="1"/>
  <c r="AA68" i="1"/>
  <c r="F59" i="4" s="1"/>
  <c r="AA75" i="1"/>
  <c r="F66" i="4" s="1"/>
  <c r="AA216" i="1"/>
  <c r="F207" i="4" s="1"/>
  <c r="AA18" i="1"/>
  <c r="F9" i="4" s="1"/>
  <c r="AA171" i="1"/>
  <c r="F162" i="4" s="1"/>
  <c r="AA234" i="1"/>
  <c r="F225" i="4" s="1"/>
  <c r="AA210" i="1"/>
  <c r="F201" i="4" s="1"/>
  <c r="AA188" i="1"/>
  <c r="F179" i="4" s="1"/>
  <c r="AA217" i="1"/>
  <c r="F208" i="4" s="1"/>
  <c r="AA166" i="1"/>
  <c r="F157" i="4" s="1"/>
  <c r="AA205" i="1"/>
  <c r="F196" i="4" s="1"/>
  <c r="AA146" i="1"/>
  <c r="F137" i="4" s="1"/>
  <c r="AA163" i="1"/>
  <c r="F154" i="4" s="1"/>
  <c r="AA169" i="1"/>
  <c r="F160" i="4" s="1"/>
  <c r="AA116" i="1"/>
  <c r="F107" i="4" s="1"/>
  <c r="AA244" i="1"/>
  <c r="F235" i="4" s="1"/>
  <c r="AA25" i="1"/>
  <c r="F16" i="4" s="1"/>
  <c r="AA101" i="1"/>
  <c r="F92" i="4" s="1"/>
  <c r="AA232" i="1"/>
  <c r="F223" i="4" s="1"/>
  <c r="AA228" i="1"/>
  <c r="F219" i="4" s="1"/>
  <c r="AA32" i="1"/>
  <c r="F23" i="4" s="1"/>
  <c r="AA27" i="1"/>
  <c r="F18" i="4" s="1"/>
  <c r="AA124" i="1"/>
  <c r="F115" i="4" s="1"/>
  <c r="AA76" i="1"/>
  <c r="F67" i="4" s="1"/>
  <c r="AA89" i="1"/>
  <c r="F80" i="4" s="1"/>
  <c r="AA173" i="1"/>
  <c r="F164" i="4" s="1"/>
  <c r="AA195" i="1"/>
  <c r="F186" i="4" s="1"/>
  <c r="AA63" i="1"/>
  <c r="F54" i="4" s="1"/>
  <c r="AA215" i="1"/>
  <c r="F206" i="4" s="1"/>
  <c r="AA134" i="1"/>
  <c r="F125" i="4" s="1"/>
  <c r="AA127" i="1"/>
  <c r="F118" i="4" s="1"/>
  <c r="AA182" i="1"/>
  <c r="F173" i="4" s="1"/>
  <c r="AA17" i="1"/>
  <c r="F8" i="4" s="1"/>
  <c r="AA165" i="1"/>
  <c r="F156" i="4" s="1"/>
  <c r="AA122" i="1"/>
  <c r="F113" i="4" s="1"/>
  <c r="AA100" i="1"/>
  <c r="F91" i="4" s="1"/>
  <c r="AA144" i="1"/>
  <c r="F135" i="4" s="1"/>
  <c r="AA67" i="1"/>
  <c r="F58" i="4" s="1"/>
  <c r="AA248" i="1"/>
  <c r="F239" i="4" s="1"/>
  <c r="AA69" i="1"/>
  <c r="F60" i="4" s="1"/>
  <c r="AA138" i="1"/>
  <c r="F129" i="4" s="1"/>
  <c r="AA73" i="1"/>
  <c r="F64" i="4" s="1"/>
  <c r="AA246" i="1"/>
  <c r="F237" i="4" s="1"/>
  <c r="AA83" i="1"/>
  <c r="F74" i="4" s="1"/>
  <c r="AA197" i="1"/>
  <c r="F188" i="4" s="1"/>
  <c r="AA57" i="1"/>
  <c r="F48" i="4" s="1"/>
  <c r="AA148" i="1"/>
  <c r="F139" i="4" s="1"/>
  <c r="AA98" i="1"/>
  <c r="F89" i="4" s="1"/>
  <c r="AA247" i="1"/>
  <c r="F238" i="4" s="1"/>
  <c r="AA238" i="1"/>
  <c r="F229" i="4" s="1"/>
  <c r="AA214" i="1"/>
  <c r="F205" i="4" s="1"/>
  <c r="AA161" i="1"/>
  <c r="F152" i="4" s="1"/>
  <c r="AA20" i="1"/>
  <c r="F11" i="4" s="1"/>
  <c r="AA153" i="1"/>
  <c r="F144" i="4" s="1"/>
  <c r="AA226" i="1"/>
  <c r="F217" i="4" s="1"/>
  <c r="AA128" i="1"/>
  <c r="F119" i="4" s="1"/>
  <c r="AA58" i="1"/>
  <c r="F49" i="4" s="1"/>
  <c r="AA139" i="1"/>
  <c r="F130" i="4" s="1"/>
  <c r="AA192" i="1"/>
  <c r="F183" i="4" s="1"/>
  <c r="AA82" i="1"/>
  <c r="F73" i="4" s="1"/>
  <c r="AA62" i="1"/>
  <c r="F53" i="4" s="1"/>
  <c r="AA202" i="1"/>
  <c r="F193" i="4" s="1"/>
  <c r="AA223" i="1"/>
  <c r="F214" i="4" s="1"/>
  <c r="AA162" i="1"/>
  <c r="F153" i="4" s="1"/>
  <c r="AA109" i="1"/>
  <c r="F100" i="4" s="1"/>
  <c r="AA11" i="1"/>
  <c r="F2" i="4" s="1"/>
  <c r="AA71" i="1"/>
  <c r="F62" i="4" s="1"/>
  <c r="AA187" i="1"/>
  <c r="F178" i="4" s="1"/>
  <c r="AA81" i="1"/>
  <c r="F72" i="4" s="1"/>
  <c r="AA65" i="1"/>
  <c r="F56" i="4" s="1"/>
  <c r="AA227" i="1"/>
  <c r="F218" i="4" s="1"/>
  <c r="AA28" i="1"/>
  <c r="F19" i="4" s="1"/>
  <c r="AA54" i="1"/>
  <c r="F45" i="4" s="1"/>
  <c r="AA45" i="1"/>
  <c r="F36" i="4" s="1"/>
  <c r="AA106" i="1"/>
  <c r="F97" i="4" s="1"/>
  <c r="AA84" i="1"/>
  <c r="F75" i="4" s="1"/>
  <c r="AA212" i="1"/>
  <c r="F203" i="4" s="1"/>
  <c r="AA53" i="1"/>
  <c r="F44" i="4" s="1"/>
  <c r="AA43" i="1"/>
  <c r="F34" i="4" s="1"/>
  <c r="AA243" i="1"/>
  <c r="F234" i="4" s="1"/>
  <c r="AA179" i="1"/>
  <c r="F170" i="4" s="1"/>
  <c r="AA132" i="1"/>
  <c r="F123" i="4" s="1"/>
  <c r="AA150" i="1"/>
  <c r="F141" i="4" s="1"/>
  <c r="AA115" i="1"/>
  <c r="F106" i="4" s="1"/>
  <c r="AA119" i="1"/>
  <c r="F110" i="4" s="1"/>
  <c r="AA19" i="1"/>
  <c r="F10" i="4" s="1"/>
  <c r="AA235" i="1"/>
  <c r="F226" i="4" s="1"/>
  <c r="AA141" i="1"/>
  <c r="F132" i="4" s="1"/>
  <c r="AA222" i="1"/>
  <c r="F213" i="4" s="1"/>
  <c r="AA185" i="1"/>
  <c r="F176" i="4" s="1"/>
  <c r="AA92" i="1"/>
  <c r="F83" i="4" s="1"/>
  <c r="AA177" i="1"/>
  <c r="F168" i="4" s="1"/>
  <c r="AA191" i="1"/>
  <c r="F182" i="4" s="1"/>
  <c r="AA189" i="1"/>
  <c r="F180" i="4" s="1"/>
  <c r="AA48" i="1"/>
  <c r="F39" i="4" s="1"/>
  <c r="AA99" i="1"/>
  <c r="F90" i="4" s="1"/>
  <c r="AA199" i="1"/>
  <c r="F190" i="4" s="1"/>
  <c r="AA130" i="1"/>
  <c r="F121" i="4" s="1"/>
  <c r="AA207" i="1"/>
  <c r="F198" i="4" s="1"/>
  <c r="AA94" i="1"/>
  <c r="F85" i="4" s="1"/>
  <c r="AA239" i="1"/>
  <c r="F230" i="4" s="1"/>
  <c r="AA201" i="1"/>
  <c r="F192" i="4" s="1"/>
  <c r="AA125" i="1"/>
  <c r="F116" i="4" s="1"/>
  <c r="AA158" i="1"/>
  <c r="F149" i="4" s="1"/>
  <c r="AA206" i="1"/>
  <c r="F197" i="4" s="1"/>
  <c r="AA86" i="1"/>
  <c r="F77" i="4" s="1"/>
  <c r="AA190" i="1"/>
  <c r="F181" i="4" s="1"/>
  <c r="V319" i="1"/>
  <c r="W319" i="1" s="1"/>
  <c r="V592" i="1"/>
  <c r="W592" i="1" s="1"/>
  <c r="V579" i="1"/>
  <c r="W579" i="1" s="1"/>
  <c r="V607" i="1"/>
  <c r="W607" i="1" s="1"/>
  <c r="V274" i="1"/>
  <c r="W274" i="1" s="1"/>
  <c r="V277" i="1"/>
  <c r="W277" i="1" s="1"/>
  <c r="V282" i="1"/>
  <c r="W282" i="1" s="1"/>
  <c r="V268" i="1"/>
  <c r="W268" i="1" s="1"/>
  <c r="V491" i="1"/>
  <c r="W491" i="1" s="1"/>
  <c r="V495" i="1"/>
  <c r="W495" i="1" s="1"/>
  <c r="V556" i="1"/>
  <c r="W556" i="1" s="1"/>
  <c r="V463" i="1"/>
  <c r="W463" i="1" s="1"/>
  <c r="V326" i="1"/>
  <c r="W326" i="1" s="1"/>
  <c r="V394" i="1"/>
  <c r="W394" i="1" s="1"/>
  <c r="V562" i="1"/>
  <c r="W562" i="1" s="1"/>
  <c r="V391" i="1"/>
  <c r="W391" i="1" s="1"/>
  <c r="V361" i="1"/>
  <c r="W361" i="1" s="1"/>
  <c r="V376" i="1"/>
  <c r="W376" i="1" s="1"/>
  <c r="V629" i="1"/>
  <c r="W629" i="1" s="1"/>
  <c r="V303" i="1"/>
  <c r="W303" i="1" s="1"/>
  <c r="V627" i="1"/>
  <c r="W627" i="1" s="1"/>
  <c r="V353" i="1"/>
  <c r="W353" i="1" s="1"/>
  <c r="V377" i="1"/>
  <c r="W377" i="1" s="1"/>
  <c r="V360" i="1"/>
  <c r="W360" i="1" s="1"/>
  <c r="V386" i="1"/>
  <c r="W386" i="1" s="1"/>
  <c r="V581" i="1"/>
  <c r="W581" i="1" s="1"/>
  <c r="V472" i="1"/>
  <c r="W472" i="1" s="1"/>
  <c r="V597" i="1"/>
  <c r="W597" i="1" s="1"/>
  <c r="V573" i="1"/>
  <c r="W573" i="1" s="1"/>
  <c r="V458" i="1"/>
  <c r="W458" i="1" s="1"/>
  <c r="V307" i="1"/>
  <c r="W307" i="1" s="1"/>
  <c r="V471" i="1"/>
  <c r="W471" i="1" s="1"/>
  <c r="V630" i="1"/>
  <c r="W630" i="1" s="1"/>
  <c r="V485" i="1"/>
  <c r="W485" i="1" s="1"/>
  <c r="V601" i="1"/>
  <c r="W601" i="1" s="1"/>
  <c r="V479" i="1"/>
  <c r="W479" i="1" s="1"/>
  <c r="V616" i="1"/>
  <c r="W616" i="1" s="1"/>
  <c r="V263" i="1"/>
  <c r="W263" i="1" s="1"/>
  <c r="V359" i="1"/>
  <c r="W359" i="1" s="1"/>
  <c r="V333" i="1"/>
  <c r="W333" i="1" s="1"/>
  <c r="V451" i="1"/>
  <c r="W451" i="1" s="1"/>
  <c r="V482" i="1"/>
  <c r="W482" i="1" s="1"/>
  <c r="V632" i="1"/>
  <c r="W632" i="1" s="1"/>
  <c r="V561" i="1"/>
  <c r="W561" i="1" s="1"/>
  <c r="V308" i="1"/>
  <c r="W308" i="1" s="1"/>
  <c r="V329" i="1"/>
  <c r="W329" i="1" s="1"/>
  <c r="V528" i="1"/>
  <c r="W528" i="1" s="1"/>
  <c r="V462" i="1"/>
  <c r="W462" i="1" s="1"/>
  <c r="V291" i="1"/>
  <c r="W291" i="1" s="1"/>
  <c r="V280" i="1"/>
  <c r="W280" i="1" s="1"/>
  <c r="V480" i="1"/>
  <c r="W480" i="1" s="1"/>
  <c r="V457" i="1"/>
  <c r="W457" i="1" s="1"/>
  <c r="V477" i="1"/>
  <c r="W477" i="1" s="1"/>
  <c r="V356" i="1"/>
  <c r="W356" i="1" s="1"/>
  <c r="V554" i="1"/>
  <c r="W554" i="1" s="1"/>
  <c r="V341" i="1"/>
  <c r="W341" i="1" s="1"/>
  <c r="V499" i="1"/>
  <c r="W499" i="1" s="1"/>
  <c r="V546" i="1"/>
  <c r="W546" i="1" s="1"/>
  <c r="V502" i="1"/>
  <c r="W502" i="1" s="1"/>
  <c r="V531" i="1"/>
  <c r="W531" i="1" s="1"/>
  <c r="V489" i="1"/>
  <c r="W489" i="1" s="1"/>
  <c r="V339" i="1"/>
  <c r="W339" i="1" s="1"/>
  <c r="V538" i="1"/>
  <c r="W538" i="1" s="1"/>
  <c r="V381" i="1"/>
  <c r="W381" i="1" s="1"/>
  <c r="V325" i="1"/>
  <c r="W325" i="1" s="1"/>
  <c r="V514" i="1"/>
  <c r="W514" i="1" s="1"/>
  <c r="V454" i="1"/>
  <c r="W454" i="1" s="1"/>
  <c r="V265" i="1"/>
  <c r="W265" i="1" s="1"/>
  <c r="V588" i="1"/>
  <c r="W588" i="1" s="1"/>
  <c r="V628" i="1"/>
  <c r="W628" i="1" s="1"/>
  <c r="V490" i="1"/>
  <c r="W490" i="1" s="1"/>
  <c r="V354" i="1"/>
  <c r="W354" i="1" s="1"/>
  <c r="V396" i="1"/>
  <c r="W396" i="1" s="1"/>
  <c r="V335" i="1"/>
  <c r="W335" i="1" s="1"/>
  <c r="V271" i="1"/>
  <c r="W271" i="1" s="1"/>
  <c r="V492" i="1"/>
  <c r="W492" i="1" s="1"/>
  <c r="V393" i="1"/>
  <c r="W393" i="1" s="1"/>
  <c r="V590" i="1"/>
  <c r="W590" i="1" s="1"/>
  <c r="V574" i="1"/>
  <c r="W574" i="1" s="1"/>
  <c r="V309" i="1"/>
  <c r="W309" i="1" s="1"/>
  <c r="V332" i="1"/>
  <c r="W332" i="1" s="1"/>
  <c r="V594" i="1"/>
  <c r="W594" i="1" s="1"/>
  <c r="V318" i="1"/>
  <c r="W318" i="1" s="1"/>
  <c r="V537" i="1"/>
  <c r="W537" i="1" s="1"/>
  <c r="V566" i="1"/>
  <c r="W566" i="1" s="1"/>
  <c r="V563" i="1"/>
  <c r="W563" i="1" s="1"/>
  <c r="V529" i="1"/>
  <c r="W529" i="1" s="1"/>
  <c r="V364" i="1"/>
  <c r="W364" i="1" s="1"/>
  <c r="V383" i="1"/>
  <c r="W383" i="1" s="1"/>
  <c r="V503" i="1"/>
  <c r="W503" i="1" s="1"/>
  <c r="V511" i="1"/>
  <c r="W511" i="1" s="1"/>
  <c r="V593" i="1"/>
  <c r="W593" i="1" s="1"/>
  <c r="V286" i="1"/>
  <c r="W286" i="1" s="1"/>
  <c r="V344" i="1"/>
  <c r="W344" i="1" s="1"/>
  <c r="V340" i="1"/>
  <c r="W340" i="1" s="1"/>
  <c r="V577" i="1"/>
  <c r="W577" i="1" s="1"/>
  <c r="V363" i="1"/>
  <c r="W363" i="1" s="1"/>
  <c r="V478" i="1"/>
  <c r="W478" i="1" s="1"/>
  <c r="V557" i="1"/>
  <c r="W557" i="1" s="1"/>
  <c r="V328" i="1"/>
  <c r="W328" i="1" s="1"/>
  <c r="V555" i="1"/>
  <c r="W555" i="1" s="1"/>
  <c r="V276" i="1"/>
  <c r="W276" i="1" s="1"/>
  <c r="V304" i="1"/>
  <c r="W304" i="1" s="1"/>
  <c r="V591" i="1"/>
  <c r="W591" i="1" s="1"/>
  <c r="V475" i="1"/>
  <c r="W475" i="1" s="1"/>
  <c r="V545" i="1"/>
  <c r="W545" i="1" s="1"/>
  <c r="V586" i="1"/>
  <c r="W586" i="1" s="1"/>
  <c r="V558" i="1"/>
  <c r="W558" i="1" s="1"/>
  <c r="V496" i="1"/>
  <c r="W496" i="1" s="1"/>
  <c r="V611" i="1"/>
  <c r="W611" i="1" s="1"/>
  <c r="V385" i="1"/>
  <c r="W385" i="1" s="1"/>
  <c r="V548" i="1"/>
  <c r="W548" i="1" s="1"/>
  <c r="V287" i="1"/>
  <c r="W287" i="1" s="1"/>
  <c r="V375" i="1"/>
  <c r="W375" i="1" s="1"/>
  <c r="V498" i="1"/>
  <c r="W498" i="1" s="1"/>
  <c r="V638" i="1"/>
  <c r="W638" i="1" s="1"/>
  <c r="V580" i="1"/>
  <c r="W580" i="1" s="1"/>
  <c r="V598" i="1"/>
  <c r="W598" i="1" s="1"/>
  <c r="V366" i="1"/>
  <c r="W366" i="1" s="1"/>
  <c r="V585" i="1"/>
  <c r="W585" i="1" s="1"/>
  <c r="V613" i="1"/>
  <c r="W613" i="1" s="1"/>
  <c r="V290" i="1"/>
  <c r="W290" i="1" s="1"/>
  <c r="V633" i="1"/>
  <c r="W633" i="1" s="1"/>
  <c r="V559" i="1"/>
  <c r="W559" i="1" s="1"/>
  <c r="V571" i="1"/>
  <c r="W571" i="1" s="1"/>
  <c r="V596" i="1"/>
  <c r="W596" i="1" s="1"/>
  <c r="V500" i="1"/>
  <c r="W500" i="1" s="1"/>
  <c r="V526" i="1"/>
  <c r="W526" i="1" s="1"/>
  <c r="V320" i="1"/>
  <c r="W320" i="1" s="1"/>
  <c r="V459" i="1"/>
  <c r="W459" i="1" s="1"/>
  <c r="V251" i="1"/>
  <c r="W251" i="1" s="1"/>
  <c r="V402" i="1"/>
  <c r="W402" i="1" s="1"/>
  <c r="V350" i="1"/>
  <c r="W350" i="1" s="1"/>
  <c r="V608" i="1"/>
  <c r="W608" i="1" s="1"/>
  <c r="V453" i="1"/>
  <c r="W453" i="1" s="1"/>
  <c r="V362" i="1"/>
  <c r="W362" i="1" s="1"/>
  <c r="V347" i="1"/>
  <c r="W347" i="1" s="1"/>
  <c r="V284" i="1"/>
  <c r="W284" i="1" s="1"/>
  <c r="V509" i="1"/>
  <c r="W509" i="1" s="1"/>
  <c r="V525" i="1"/>
  <c r="W525" i="1" s="1"/>
  <c r="V306" i="1"/>
  <c r="W306" i="1" s="1"/>
  <c r="V261" i="1"/>
  <c r="W261" i="1" s="1"/>
  <c r="V397" i="1"/>
  <c r="W397" i="1" s="1"/>
  <c r="V374" i="1"/>
  <c r="W374" i="1" s="1"/>
  <c r="V267" i="1"/>
  <c r="W267" i="1" s="1"/>
  <c r="V372" i="1"/>
  <c r="W372" i="1" s="1"/>
  <c r="V609" i="1"/>
  <c r="W609" i="1" s="1"/>
  <c r="V534" i="1"/>
  <c r="W534" i="1" s="1"/>
  <c r="V288" i="1"/>
  <c r="W288" i="1" s="1"/>
  <c r="V281" i="1"/>
  <c r="W281" i="1" s="1"/>
  <c r="V541" i="1"/>
  <c r="W541" i="1" s="1"/>
  <c r="V461" i="1"/>
  <c r="W461" i="1" s="1"/>
  <c r="V456" i="1"/>
  <c r="W456" i="1" s="1"/>
  <c r="V395" i="1"/>
  <c r="W395" i="1" s="1"/>
  <c r="V455" i="1"/>
  <c r="W455" i="1" s="1"/>
  <c r="V469" i="1"/>
  <c r="W469" i="1" s="1"/>
  <c r="V262" i="1"/>
  <c r="W262" i="1" s="1"/>
  <c r="V517" i="1"/>
  <c r="W517" i="1" s="1"/>
  <c r="V351" i="1"/>
  <c r="W351" i="1" s="1"/>
  <c r="V553" i="1"/>
  <c r="W553" i="1" s="1"/>
  <c r="V279" i="1"/>
  <c r="W279" i="1" s="1"/>
  <c r="V305" i="1"/>
  <c r="W305" i="1" s="1"/>
  <c r="V584" i="1"/>
  <c r="W584" i="1" s="1"/>
  <c r="V595" i="1"/>
  <c r="W595" i="1" s="1"/>
  <c r="V390" i="1"/>
  <c r="W390" i="1" s="1"/>
  <c r="V543" i="1"/>
  <c r="W543" i="1" s="1"/>
  <c r="V507" i="1"/>
  <c r="W507" i="1" s="1"/>
  <c r="V522" i="1"/>
  <c r="W522" i="1" s="1"/>
  <c r="V270" i="1"/>
  <c r="W270" i="1" s="1"/>
  <c r="V378" i="1"/>
  <c r="W378" i="1" s="1"/>
  <c r="V331" i="1"/>
  <c r="W331" i="1" s="1"/>
  <c r="V373" i="1"/>
  <c r="W373" i="1" s="1"/>
  <c r="V343" i="1"/>
  <c r="W343" i="1" s="1"/>
  <c r="V481" i="1"/>
  <c r="W481" i="1" s="1"/>
  <c r="V612" i="1"/>
  <c r="W612" i="1" s="1"/>
  <c r="V605" i="1"/>
  <c r="W605" i="1" s="1"/>
  <c r="V569" i="1"/>
  <c r="W569" i="1" s="1"/>
  <c r="V617" i="1"/>
  <c r="W617" i="1" s="1"/>
  <c r="V505" i="1"/>
  <c r="W505" i="1" s="1"/>
  <c r="V349" i="1"/>
  <c r="W349" i="1" s="1"/>
  <c r="V520" i="1"/>
  <c r="W520" i="1" s="1"/>
  <c r="V338" i="1"/>
  <c r="W338" i="1" s="1"/>
  <c r="V323" i="1"/>
  <c r="W323" i="1" s="1"/>
  <c r="V334" i="1"/>
  <c r="W334" i="1" s="1"/>
  <c r="V273" i="1"/>
  <c r="W273" i="1" s="1"/>
  <c r="V301" i="1"/>
  <c r="W301" i="1" s="1"/>
  <c r="V260" i="1"/>
  <c r="W260" i="1" s="1"/>
  <c r="V266" i="1"/>
  <c r="W266" i="1" s="1"/>
  <c r="V589" i="1"/>
  <c r="W589" i="1" s="1"/>
  <c r="V399" i="1"/>
  <c r="W399" i="1" s="1"/>
  <c r="V355" i="1"/>
  <c r="W355" i="1" s="1"/>
  <c r="V336" i="1"/>
  <c r="W336" i="1" s="1"/>
  <c r="V252" i="1"/>
  <c r="W252" i="1" s="1"/>
  <c r="V465" i="1"/>
  <c r="W465" i="1" s="1"/>
  <c r="V337" i="1"/>
  <c r="W337" i="1" s="1"/>
  <c r="V382" i="1"/>
  <c r="W382" i="1" s="1"/>
  <c r="V487" i="1"/>
  <c r="W487" i="1" s="1"/>
  <c r="V476" i="1"/>
  <c r="W476" i="1" s="1"/>
  <c r="V401" i="1"/>
  <c r="W401" i="1" s="1"/>
  <c r="V467" i="1"/>
  <c r="W467" i="1" s="1"/>
  <c r="V379" i="1"/>
  <c r="W379" i="1" s="1"/>
  <c r="V506" i="1"/>
  <c r="W506" i="1" s="1"/>
  <c r="V512" i="1"/>
  <c r="W512" i="1" s="1"/>
  <c r="V352" i="1"/>
  <c r="W352" i="1" s="1"/>
  <c r="V542" i="1"/>
  <c r="W542" i="1" s="1"/>
  <c r="V583" i="1"/>
  <c r="W583" i="1" s="1"/>
  <c r="V275" i="1"/>
  <c r="W275" i="1" s="1"/>
  <c r="V578" i="1"/>
  <c r="W578" i="1" s="1"/>
  <c r="V547" i="1"/>
  <c r="W547" i="1" s="1"/>
  <c r="V466" i="1"/>
  <c r="W466" i="1" s="1"/>
  <c r="V327" i="1"/>
  <c r="W327" i="1" s="1"/>
  <c r="V521" i="1"/>
  <c r="W521" i="1" s="1"/>
  <c r="V345" i="1"/>
  <c r="W345" i="1" s="1"/>
  <c r="V278" i="1"/>
  <c r="W278" i="1" s="1"/>
  <c r="V508" i="1"/>
  <c r="W508" i="1" s="1"/>
  <c r="V587" i="1"/>
  <c r="W587" i="1" s="1"/>
  <c r="V615" i="1"/>
  <c r="W615" i="1" s="1"/>
  <c r="V269" i="1"/>
  <c r="W269" i="1" s="1"/>
  <c r="V285" i="1"/>
  <c r="W285" i="1" s="1"/>
  <c r="V614" i="1"/>
  <c r="W614" i="1" s="1"/>
  <c r="V283" i="1"/>
  <c r="W283" i="1" s="1"/>
  <c r="V565" i="1"/>
  <c r="W565" i="1" s="1"/>
  <c r="V637" i="1"/>
  <c r="W637" i="1" s="1"/>
  <c r="V342" i="1"/>
  <c r="W342" i="1" s="1"/>
  <c r="V272" i="1"/>
  <c r="W272" i="1" s="1"/>
  <c r="V452" i="1"/>
  <c r="W452" i="1" s="1"/>
  <c r="V604" i="1"/>
  <c r="W604" i="1" s="1"/>
  <c r="V357" i="1"/>
  <c r="W357" i="1" s="1"/>
  <c r="V582" i="1"/>
  <c r="W582" i="1" s="1"/>
  <c r="V322" i="1"/>
  <c r="W322" i="1" s="1"/>
  <c r="V302" i="1"/>
  <c r="W302" i="1" s="1"/>
  <c r="V264" i="1"/>
  <c r="W264" i="1" s="1"/>
  <c r="V358" i="1"/>
  <c r="W358" i="1" s="1"/>
  <c r="V348" i="1"/>
  <c r="W348" i="1" s="1"/>
  <c r="V321" i="1"/>
  <c r="W321" i="1" s="1"/>
  <c r="V292" i="1"/>
  <c r="W292" i="1" s="1"/>
  <c r="V387" i="1"/>
  <c r="W387" i="1" s="1"/>
  <c r="V606" i="1"/>
  <c r="W606" i="1" s="1"/>
  <c r="V330" i="1"/>
  <c r="W330" i="1" s="1"/>
  <c r="V392" i="1"/>
  <c r="W392" i="1" s="1"/>
  <c r="V536" i="1"/>
  <c r="W536" i="1" s="1"/>
  <c r="V468" i="1"/>
  <c r="W468" i="1" s="1"/>
  <c r="V400" i="1"/>
  <c r="W400" i="1" s="1"/>
  <c r="V570" i="1"/>
  <c r="W570" i="1" s="1"/>
  <c r="V371" i="1"/>
  <c r="W371" i="1" s="1"/>
  <c r="V518" i="1"/>
  <c r="W518" i="1" s="1"/>
  <c r="V389" i="1"/>
  <c r="W389" i="1" s="1"/>
  <c r="V289" i="1"/>
  <c r="W289" i="1" s="1"/>
  <c r="V367" i="1"/>
  <c r="W367" i="1" s="1"/>
  <c r="V324" i="1"/>
  <c r="W324" i="1" s="1"/>
  <c r="V365" i="1"/>
  <c r="W365" i="1" s="1"/>
  <c r="V384" i="1"/>
  <c r="W384" i="1" s="1"/>
  <c r="V631" i="1"/>
  <c r="W631" i="1" s="1"/>
  <c r="V494" i="1"/>
  <c r="W494" i="1" s="1"/>
  <c r="V293" i="1"/>
  <c r="W293" i="1" s="1"/>
  <c r="V535" i="1"/>
  <c r="W535" i="1" s="1"/>
  <c r="V380" i="1"/>
  <c r="W380" i="1" s="1"/>
  <c r="V599" i="1"/>
  <c r="W599" i="1" s="1"/>
  <c r="V501" i="1"/>
  <c r="W501" i="1" s="1"/>
  <c r="V369" i="1"/>
  <c r="W369" i="1" s="1"/>
  <c r="V600" i="1"/>
  <c r="W600" i="1" s="1"/>
  <c r="V610" i="1"/>
  <c r="W610" i="1" s="1"/>
  <c r="V398" i="1"/>
  <c r="W398" i="1" s="1"/>
  <c r="V464" i="1"/>
  <c r="W464" i="1" s="1"/>
  <c r="V346" i="1"/>
  <c r="W346" i="1" s="1"/>
  <c r="V388" i="1"/>
  <c r="W388" i="1" s="1"/>
  <c r="V370" i="1"/>
  <c r="W370" i="1" s="1"/>
  <c r="F395" i="4" l="1"/>
  <c r="F395" i="6"/>
</calcChain>
</file>

<file path=xl/sharedStrings.xml><?xml version="1.0" encoding="utf-8"?>
<sst xmlns="http://schemas.openxmlformats.org/spreadsheetml/2006/main" count="8921" uniqueCount="2705">
  <si>
    <t>WA056</t>
  </si>
  <si>
    <t>Nooksack Indian Housing Authority</t>
  </si>
  <si>
    <t>53-2910.000</t>
  </si>
  <si>
    <t>531229</t>
  </si>
  <si>
    <t>Port Gamble S'Kallam Tribe</t>
  </si>
  <si>
    <t>WA044</t>
  </si>
  <si>
    <t>Port Clallam Gamble Housing Authority</t>
  </si>
  <si>
    <t>53-3000.000</t>
  </si>
  <si>
    <t>531268</t>
  </si>
  <si>
    <t>Puyallup Tribe</t>
  </si>
  <si>
    <t>WA063</t>
  </si>
  <si>
    <t>Puyallup Housing Authority</t>
  </si>
  <si>
    <t>53-3030.000</t>
  </si>
  <si>
    <t>531269</t>
  </si>
  <si>
    <t>Quileute Tribe</t>
  </si>
  <si>
    <t>WA047</t>
  </si>
  <si>
    <t>Quileute Housing Authority</t>
  </si>
  <si>
    <t>53-3040.000</t>
  </si>
  <si>
    <t>531270</t>
  </si>
  <si>
    <t>Quinault Tribe</t>
  </si>
  <si>
    <t>WA027</t>
  </si>
  <si>
    <t>Quinault Housing Authority</t>
  </si>
  <si>
    <t>53-0000.029</t>
  </si>
  <si>
    <t>Samish Nation</t>
  </si>
  <si>
    <t>53-3625.000</t>
  </si>
  <si>
    <t>531388</t>
  </si>
  <si>
    <t>Sauk-Suiattle Indian Tribe</t>
  </si>
  <si>
    <t>WA062</t>
  </si>
  <si>
    <t>Cascade Inter-Tribal HA</t>
  </si>
  <si>
    <t>53-3780.000</t>
  </si>
  <si>
    <t>531418</t>
  </si>
  <si>
    <t>Shoalwater Bay Tribe</t>
  </si>
  <si>
    <t>53-3825.000</t>
  </si>
  <si>
    <t>531427</t>
  </si>
  <si>
    <t>Skokomish Indian Tribe</t>
  </si>
  <si>
    <t>Snoqualmie</t>
  </si>
  <si>
    <t>53-3940.000</t>
  </si>
  <si>
    <t>531490</t>
  </si>
  <si>
    <t>Spokane Tribe</t>
  </si>
  <si>
    <t>53-3955.000</t>
  </si>
  <si>
    <t>531502</t>
  </si>
  <si>
    <t>Squaxin Island Tribe</t>
  </si>
  <si>
    <t>53-4000.000</t>
  </si>
  <si>
    <t>531526</t>
  </si>
  <si>
    <t>Stillaguamish Tribe</t>
  </si>
  <si>
    <t>WA070</t>
  </si>
  <si>
    <t>Stillaguamish Tribal Housing Authority</t>
  </si>
  <si>
    <t>53-2925.000</t>
  </si>
  <si>
    <t>531551</t>
  </si>
  <si>
    <t>Suquamish Tribal Council</t>
  </si>
  <si>
    <t>53-4075.000</t>
  </si>
  <si>
    <t>531552</t>
  </si>
  <si>
    <t>Swinomish Indians</t>
  </si>
  <si>
    <t>WA023</t>
  </si>
  <si>
    <t>Swinomish Housing Authority</t>
  </si>
  <si>
    <t>53-4290.000</t>
  </si>
  <si>
    <t>531628</t>
  </si>
  <si>
    <t>Tulalip Tribes</t>
  </si>
  <si>
    <t>WA051</t>
  </si>
  <si>
    <t>Tulalip Housing Authority</t>
  </si>
  <si>
    <t>Everett</t>
  </si>
  <si>
    <t>53-4455.000</t>
  </si>
  <si>
    <t>531657</t>
  </si>
  <si>
    <t>Upper Skagit Tribe</t>
  </si>
  <si>
    <t>Cascade Inter-Tribal</t>
  </si>
  <si>
    <t>53-4690.000</t>
  </si>
  <si>
    <t>531832</t>
  </si>
  <si>
    <t>Yakama Indian Nation</t>
  </si>
  <si>
    <t>WA022</t>
  </si>
  <si>
    <t>Yakima Nation Housing Authority</t>
  </si>
  <si>
    <t>989</t>
  </si>
  <si>
    <t>Yakima</t>
  </si>
  <si>
    <t>KS</t>
  </si>
  <si>
    <t>99-1590.000</t>
  </si>
  <si>
    <t>201708</t>
  </si>
  <si>
    <t>Iowa Tribe of Kansas and Nebraska</t>
  </si>
  <si>
    <t>KS067</t>
  </si>
  <si>
    <t>Iowa Tribe Housing Authority</t>
  </si>
  <si>
    <t>Southern Plains</t>
  </si>
  <si>
    <t>660</t>
  </si>
  <si>
    <t>Topeka</t>
  </si>
  <si>
    <t>20-1770.000</t>
  </si>
  <si>
    <t>201792</t>
  </si>
  <si>
    <t>Kickapoo Tribe</t>
  </si>
  <si>
    <t>KS048</t>
  </si>
  <si>
    <t>Kickapoo Tribal Housing Authority</t>
  </si>
  <si>
    <t>664</t>
  </si>
  <si>
    <t>Kickapoo, et al.</t>
  </si>
  <si>
    <t>20-2960.000</t>
  </si>
  <si>
    <t>202854</t>
  </si>
  <si>
    <t>Prairie Band of Potawatomi</t>
  </si>
  <si>
    <t>KS084</t>
  </si>
  <si>
    <t>Prarie Band of Potawatomi HA</t>
  </si>
  <si>
    <t>665</t>
  </si>
  <si>
    <t>99-3285.000</t>
  </si>
  <si>
    <t>203068</t>
  </si>
  <si>
    <t>Sac and Fox of Missouri</t>
  </si>
  <si>
    <t>KS151</t>
  </si>
  <si>
    <t>Sac &amp; Fox Tribe Missouri HA</t>
  </si>
  <si>
    <t>LA</t>
  </si>
  <si>
    <t>22-0635.000</t>
  </si>
  <si>
    <t>220290</t>
  </si>
  <si>
    <t>Chitimacha Tribe</t>
  </si>
  <si>
    <t>LA244</t>
  </si>
  <si>
    <t>Chitimacha Tribal Housing Authority</t>
  </si>
  <si>
    <t>705</t>
  </si>
  <si>
    <t>Lafayette</t>
  </si>
  <si>
    <t>22-0795.000</t>
  </si>
  <si>
    <t>220380</t>
  </si>
  <si>
    <t>Coushatta Tribe</t>
  </si>
  <si>
    <t>LA260</t>
  </si>
  <si>
    <t>Coushatta Tribe Hsg. Aut.</t>
  </si>
  <si>
    <t>LOUISIANA</t>
  </si>
  <si>
    <t>22-9100.000</t>
  </si>
  <si>
    <t>220883</t>
  </si>
  <si>
    <t>Jena Band of Choctaw</t>
  </si>
  <si>
    <t>713</t>
  </si>
  <si>
    <t>22-4315.000</t>
  </si>
  <si>
    <t>221810</t>
  </si>
  <si>
    <t>Tunica-Biloxi Tribe</t>
  </si>
  <si>
    <t>LA269</t>
  </si>
  <si>
    <t>Tunica-Biloxi HA</t>
  </si>
  <si>
    <t>OK</t>
  </si>
  <si>
    <t>40-5010.000</t>
  </si>
  <si>
    <t>400004</t>
  </si>
  <si>
    <t>Absentee-Shawnee</t>
  </si>
  <si>
    <t>OK091</t>
  </si>
  <si>
    <t>Absentee Shawnee Housing Authority</t>
  </si>
  <si>
    <t>748</t>
  </si>
  <si>
    <t>Oklahoma City</t>
  </si>
  <si>
    <t>RSMEANS</t>
  </si>
  <si>
    <t>M&amp;S/B District Mult.</t>
  </si>
  <si>
    <t>RSMeans</t>
  </si>
  <si>
    <t>M&amp;S/B Mult.</t>
  </si>
  <si>
    <t>Absentee, Shawnee, Sac &amp; Fox, Seminole</t>
  </si>
  <si>
    <t>40-5210.000</t>
  </si>
  <si>
    <t>4</t>
  </si>
  <si>
    <t>400002</t>
  </si>
  <si>
    <t>Alabama-Quassarte Tribal Town</t>
  </si>
  <si>
    <t>744</t>
  </si>
  <si>
    <t>Tulsa</t>
  </si>
  <si>
    <t>40-5380.000</t>
  </si>
  <si>
    <t>3</t>
  </si>
  <si>
    <t>400110</t>
  </si>
  <si>
    <t>Apache Tribe</t>
  </si>
  <si>
    <t>OK128</t>
  </si>
  <si>
    <t>Apache Tribe HA</t>
  </si>
  <si>
    <t>730</t>
  </si>
  <si>
    <t>Lawton</t>
  </si>
  <si>
    <t>Caddo, Comanche, Kiowa, Apache</t>
  </si>
  <si>
    <t>40-5070.000</t>
  </si>
  <si>
    <t>400428</t>
  </si>
  <si>
    <t>Caddo Tribe</t>
  </si>
  <si>
    <t>OK077</t>
  </si>
  <si>
    <t>Caddo Housing Authority</t>
  </si>
  <si>
    <t>40-5090.000</t>
  </si>
  <si>
    <t>400578</t>
  </si>
  <si>
    <t>Cherokee Nation</t>
  </si>
  <si>
    <t>OK045</t>
  </si>
  <si>
    <t>Cherokee Nation Housing Authority</t>
  </si>
  <si>
    <t>Cherokee, Creek</t>
  </si>
  <si>
    <t>40-5110.000</t>
  </si>
  <si>
    <t>400584</t>
  </si>
  <si>
    <t>Cheyenne-Arapaho Tribes</t>
  </si>
  <si>
    <t>OK100</t>
  </si>
  <si>
    <t>Cheyenne-Arapaho Housing Authority</t>
  </si>
  <si>
    <t>736</t>
  </si>
  <si>
    <t>Enid</t>
  </si>
  <si>
    <t>Otoe MS, Ponka, Kaw, Tonawa, Cheyenne Arapaho</t>
  </si>
  <si>
    <t>40-5130.000</t>
  </si>
  <si>
    <t>400586</t>
  </si>
  <si>
    <t>Chickasaw</t>
  </si>
  <si>
    <t>OK047</t>
  </si>
  <si>
    <t>Chickasaw Nation Housing Authority</t>
  </si>
  <si>
    <t>Chicasaw</t>
  </si>
  <si>
    <t>40-5150.000</t>
  </si>
  <si>
    <t>400596</t>
  </si>
  <si>
    <t>Choctaw Nation</t>
  </si>
  <si>
    <t>OK049</t>
  </si>
  <si>
    <t>Choctaw Nation Housing Authority</t>
  </si>
  <si>
    <t>747</t>
  </si>
  <si>
    <t>Choctaw</t>
  </si>
  <si>
    <t>402438</t>
  </si>
  <si>
    <t>Citizen Band Potawatomi Tribe</t>
  </si>
  <si>
    <t>400662</t>
  </si>
  <si>
    <t>Comanche Tribe</t>
  </si>
  <si>
    <t>OK110</t>
  </si>
  <si>
    <t>Comanche Tribe IHA</t>
  </si>
  <si>
    <t>735</t>
  </si>
  <si>
    <t>400794</t>
  </si>
  <si>
    <t>Delaware Tribe</t>
  </si>
  <si>
    <t>Delaware Tribe of Indians (Eastern)</t>
  </si>
  <si>
    <t>OK144</t>
  </si>
  <si>
    <t>Delaware Tribe IHA</t>
  </si>
  <si>
    <t>40-9999.115</t>
  </si>
  <si>
    <t>400916</t>
  </si>
  <si>
    <t>Eastern Shawnee Tribe</t>
  </si>
  <si>
    <t>743</t>
  </si>
  <si>
    <t>OKLAHOMA</t>
  </si>
  <si>
    <t>400176</t>
  </si>
  <si>
    <t>Fort Sill Apache Tribe</t>
  </si>
  <si>
    <t>OK159</t>
  </si>
  <si>
    <t>Ft. Sill Apache Tribe of OK IHA</t>
  </si>
  <si>
    <t>40-5300.000</t>
  </si>
  <si>
    <t>401532</t>
  </si>
  <si>
    <t>Iowa Tribe of Oklahoma</t>
  </si>
  <si>
    <t>OK090</t>
  </si>
  <si>
    <t>Sac &amp; Fox of OK Housing Authority</t>
  </si>
  <si>
    <t>740</t>
  </si>
  <si>
    <t>40-5340.000</t>
  </si>
  <si>
    <t>401580</t>
  </si>
  <si>
    <t>Kaw Tribe</t>
  </si>
  <si>
    <t>OK145</t>
  </si>
  <si>
    <t>Kaw Tribal Housing Authority</t>
  </si>
  <si>
    <t>746</t>
  </si>
  <si>
    <t>401622</t>
  </si>
  <si>
    <t>Kialegee Tribal Town</t>
  </si>
  <si>
    <t>40-0000.081</t>
  </si>
  <si>
    <t>401624</t>
  </si>
  <si>
    <t>Kickapoo Tribe of Oklahoma</t>
  </si>
  <si>
    <t>OK158</t>
  </si>
  <si>
    <t>Kickapoo Tribe HA</t>
  </si>
  <si>
    <t>401658</t>
  </si>
  <si>
    <t>Kiowa Tribe</t>
  </si>
  <si>
    <t>OK098</t>
  </si>
  <si>
    <t>Kiowa IHA</t>
  </si>
  <si>
    <t>Loyal Shawnee of OK</t>
  </si>
  <si>
    <t>40-9999.041</t>
  </si>
  <si>
    <t>402012</t>
  </si>
  <si>
    <t>Miami Tribe</t>
  </si>
  <si>
    <t>OK163</t>
  </si>
  <si>
    <t>Miami IHA</t>
  </si>
  <si>
    <t>6</t>
  </si>
  <si>
    <t>402038</t>
  </si>
  <si>
    <t>Modoc Tribe</t>
  </si>
  <si>
    <t>400724</t>
  </si>
  <si>
    <t>Muskogee (Creek) Nation</t>
  </si>
  <si>
    <t>OK051</t>
  </si>
  <si>
    <t>Creek Nation Housing Authority</t>
  </si>
  <si>
    <t>40-2595.000</t>
  </si>
  <si>
    <t>402312</t>
  </si>
  <si>
    <t>Osage Tribe</t>
  </si>
  <si>
    <t>OK127</t>
  </si>
  <si>
    <t>Osage Tribal Housing Authority</t>
  </si>
  <si>
    <t>Bartlesville</t>
  </si>
  <si>
    <t>Osage</t>
  </si>
  <si>
    <t>40-5490.000</t>
  </si>
  <si>
    <t>402314</t>
  </si>
  <si>
    <t>Otoe-Missouria Tribe</t>
  </si>
  <si>
    <t>OK114</t>
  </si>
  <si>
    <t>Otoe-Missouria IHA</t>
  </si>
  <si>
    <t>5</t>
  </si>
  <si>
    <t>402315</t>
  </si>
  <si>
    <t>Ottawa Tribe</t>
  </si>
  <si>
    <t>40-5520.000</t>
  </si>
  <si>
    <t>402354</t>
  </si>
  <si>
    <t>Pawnee Tribe</t>
  </si>
  <si>
    <t>OK094</t>
  </si>
  <si>
    <t>Pawnee Housing Authority</t>
  </si>
  <si>
    <t>Pawnee</t>
  </si>
  <si>
    <t>7</t>
  </si>
  <si>
    <t>402372</t>
  </si>
  <si>
    <t>Peoria Tribe</t>
  </si>
  <si>
    <t>OK143</t>
  </si>
  <si>
    <t>Peoria Tribe of OK IHA</t>
  </si>
  <si>
    <t>40-9999.071</t>
  </si>
  <si>
    <t>402420</t>
  </si>
  <si>
    <t>Ponca Tribe</t>
  </si>
  <si>
    <t>OK054</t>
  </si>
  <si>
    <t>Ponca Tribe IHA</t>
  </si>
  <si>
    <t>402474</t>
  </si>
  <si>
    <t>Quapaw Tribe</t>
  </si>
  <si>
    <t>40-5580.000</t>
  </si>
  <si>
    <t>402626</t>
  </si>
  <si>
    <t>Sac and Fox Tribe</t>
  </si>
  <si>
    <t>40-5600.000</t>
  </si>
  <si>
    <t>402690</t>
  </si>
  <si>
    <t>Seminole Nation</t>
  </si>
  <si>
    <t>OK093</t>
  </si>
  <si>
    <t>Seminole Nation Housing Authority</t>
  </si>
  <si>
    <t>402692</t>
  </si>
  <si>
    <t>Seneca-Cayuga</t>
  </si>
  <si>
    <t>402998</t>
  </si>
  <si>
    <t>Thlopthlocco Tribal Town</t>
  </si>
  <si>
    <t>40-5640.000</t>
  </si>
  <si>
    <t>403020</t>
  </si>
  <si>
    <t>Tonkawa Tribe</t>
  </si>
  <si>
    <t>OK141</t>
  </si>
  <si>
    <t>(Perform Annual Updates in Highlighted Cells)</t>
  </si>
  <si>
    <t>Half Bath (from Means)</t>
  </si>
  <si>
    <t>Full Bath (from Means)</t>
  </si>
  <si>
    <t>Tonkawa Tribal Housing Authority</t>
  </si>
  <si>
    <t>United Keetoowah</t>
  </si>
  <si>
    <t>403286</t>
  </si>
  <si>
    <t>Wichita Tribe</t>
  </si>
  <si>
    <t>OK157</t>
  </si>
  <si>
    <t>Wichita Tribal Housing Authority</t>
  </si>
  <si>
    <t>403332</t>
  </si>
  <si>
    <t>Wyandotte</t>
  </si>
  <si>
    <t>TX</t>
  </si>
  <si>
    <t>48-0050.000</t>
  </si>
  <si>
    <t>480046</t>
  </si>
  <si>
    <t>Alabama-Coushatta</t>
  </si>
  <si>
    <t>TX338</t>
  </si>
  <si>
    <t>Alabama-Coushatta Housing Authority</t>
  </si>
  <si>
    <t>773</t>
  </si>
  <si>
    <t>Houston</t>
  </si>
  <si>
    <t>Alabama Coshata</t>
  </si>
  <si>
    <t>48-9999.323</t>
  </si>
  <si>
    <t>482812</t>
  </si>
  <si>
    <t>Texas Band of Kickapoo Indians</t>
  </si>
  <si>
    <t>TX558</t>
  </si>
  <si>
    <t>Kickapoo Trad. Tribe Housing Authority</t>
  </si>
  <si>
    <t>788</t>
  </si>
  <si>
    <t>San Antonio</t>
  </si>
  <si>
    <t>Kickapoo</t>
  </si>
  <si>
    <t>AZ</t>
  </si>
  <si>
    <t>04-2130.000</t>
  </si>
  <si>
    <t>040008</t>
  </si>
  <si>
    <t>Ak-Chin Papago</t>
  </si>
  <si>
    <t>AZ042</t>
  </si>
  <si>
    <t>Ak-Chin Indian Community Housing Authori</t>
  </si>
  <si>
    <t>Southwest</t>
  </si>
  <si>
    <t>852</t>
  </si>
  <si>
    <t>Phoenix</t>
  </si>
  <si>
    <t>04-0695.000</t>
  </si>
  <si>
    <t>040099</t>
  </si>
  <si>
    <t>Cocopah Tribe</t>
  </si>
  <si>
    <t>AZ020</t>
  </si>
  <si>
    <t>Cocopah Housing Authority</t>
  </si>
  <si>
    <t>853</t>
  </si>
  <si>
    <t>Yuma</t>
  </si>
  <si>
    <t>04-1220.000</t>
  </si>
  <si>
    <t>040164</t>
  </si>
  <si>
    <t>Fort McDowell Mohave Apache</t>
  </si>
  <si>
    <t>AZ019</t>
  </si>
  <si>
    <t>Fort McDowell Mohave Apache Indian Hsng.</t>
  </si>
  <si>
    <t>99-1235.000</t>
  </si>
  <si>
    <t>061358</t>
  </si>
  <si>
    <t>Fort Mojave Tribe</t>
  </si>
  <si>
    <t>CA100</t>
  </si>
  <si>
    <t>Fort Mojave Tribal Housing Authority</t>
  </si>
  <si>
    <t>864</t>
  </si>
  <si>
    <t>Imperial Co. Calif.</t>
  </si>
  <si>
    <t>04-1310.000</t>
  </si>
  <si>
    <t>040176</t>
  </si>
  <si>
    <t>Gila River</t>
  </si>
  <si>
    <t>AZ015</t>
  </si>
  <si>
    <t>Gila River Indian Housing Authority</t>
  </si>
  <si>
    <t>850</t>
  </si>
  <si>
    <t>04-1440.000</t>
  </si>
  <si>
    <t>040209</t>
  </si>
  <si>
    <t>Havasupai</t>
  </si>
  <si>
    <t>860</t>
  </si>
  <si>
    <t>Flagstaff</t>
  </si>
  <si>
    <t>04-1505.000</t>
  </si>
  <si>
    <t>040218</t>
  </si>
  <si>
    <t>Hopi</t>
  </si>
  <si>
    <t>AZ027</t>
  </si>
  <si>
    <t>Hopi Tribal Housing Authority</t>
  </si>
  <si>
    <t>04-1545.000</t>
  </si>
  <si>
    <t>040224</t>
  </si>
  <si>
    <t>Hualapai</t>
  </si>
  <si>
    <t>AZ017</t>
  </si>
  <si>
    <t>Hualapai Housing Authority</t>
  </si>
  <si>
    <t>863</t>
  </si>
  <si>
    <t>Prescott</t>
  </si>
  <si>
    <t>04-1720.000</t>
  </si>
  <si>
    <t>040230</t>
  </si>
  <si>
    <t>Kaibab Band of Paiute</t>
  </si>
  <si>
    <t>AZ024</t>
  </si>
  <si>
    <t>Kaibab Paiute Housing Authority</t>
  </si>
  <si>
    <t>99-2430.000</t>
  </si>
  <si>
    <t>040281</t>
  </si>
  <si>
    <t xml:space="preserve">Navajo Nation </t>
  </si>
  <si>
    <t>AZ012</t>
  </si>
  <si>
    <t>Navajo Housing Authority</t>
  </si>
  <si>
    <t>04-2680.000</t>
  </si>
  <si>
    <t>040302</t>
  </si>
  <si>
    <t>Pascua Yaqui Tribe</t>
  </si>
  <si>
    <t>AZ040</t>
  </si>
  <si>
    <t>Pascua Yaqui Housing Authority</t>
  </si>
  <si>
    <t>857</t>
  </si>
  <si>
    <t>Tucson</t>
  </si>
  <si>
    <t>04-2735.000</t>
  </si>
  <si>
    <t>040312</t>
  </si>
  <si>
    <t>Payson Tonto Apache</t>
  </si>
  <si>
    <t>855</t>
  </si>
  <si>
    <t>04-3340.000</t>
  </si>
  <si>
    <t>040368</t>
  </si>
  <si>
    <t>Salt River PIma-Maricopa</t>
  </si>
  <si>
    <t>AZ014</t>
  </si>
  <si>
    <t>Salt River Pima-Maricopa Housing Author.</t>
  </si>
  <si>
    <t>04-3355.000</t>
  </si>
  <si>
    <t>040372</t>
  </si>
  <si>
    <t>San Carlos Apache</t>
  </si>
  <si>
    <t>AZ011</t>
  </si>
  <si>
    <t>San Carlos Housing Authority</t>
  </si>
  <si>
    <t>04-9999.005</t>
  </si>
  <si>
    <t>04x</t>
  </si>
  <si>
    <t>San Juan Southern Paiute Tribe</t>
  </si>
  <si>
    <t>04-1300.000</t>
  </si>
  <si>
    <t>040292</t>
  </si>
  <si>
    <t>Tohono O'Odham Nation</t>
  </si>
  <si>
    <t>AZ026</t>
  </si>
  <si>
    <t>Tohono O'Odham Housing Authority</t>
  </si>
  <si>
    <t>04-1140.000</t>
  </si>
  <si>
    <t>040502</t>
  </si>
  <si>
    <t>White Mountain Apache (Fort Apache)</t>
  </si>
  <si>
    <t>AZ016</t>
  </si>
  <si>
    <t>White Mountain Apache Housing Authority</t>
  </si>
  <si>
    <t>865</t>
  </si>
  <si>
    <t xml:space="preserve"> </t>
  </si>
  <si>
    <t>04-0465.000</t>
  </si>
  <si>
    <t>040550</t>
  </si>
  <si>
    <t>Yavapai-Apache (Camp Verde)</t>
  </si>
  <si>
    <t>AZ022</t>
  </si>
  <si>
    <t>Yavapai-Apache Housing Authority</t>
  </si>
  <si>
    <t>04-4710.000</t>
  </si>
  <si>
    <t>040551</t>
  </si>
  <si>
    <t>Yavapai-Prescott</t>
  </si>
  <si>
    <t>CA</t>
  </si>
  <si>
    <t>06-0020.000</t>
  </si>
  <si>
    <t>060005</t>
  </si>
  <si>
    <t>Agua Caliente Band of Cahuilla</t>
  </si>
  <si>
    <t>925</t>
  </si>
  <si>
    <t>CALIFORNIA</t>
  </si>
  <si>
    <t>06-0095.000</t>
  </si>
  <si>
    <t>060062</t>
  </si>
  <si>
    <t>Alturas Rancheria</t>
  </si>
  <si>
    <t>961</t>
  </si>
  <si>
    <t>06-9999.061</t>
  </si>
  <si>
    <t>060194</t>
  </si>
  <si>
    <t>Auburn Rancheria</t>
  </si>
  <si>
    <t>956</t>
  </si>
  <si>
    <t>06-0125.000</t>
  </si>
  <si>
    <t>060484</t>
  </si>
  <si>
    <t>Augustine Band of Cahuilla</t>
  </si>
  <si>
    <t>06-0155.000</t>
  </si>
  <si>
    <t>060244</t>
  </si>
  <si>
    <t xml:space="preserve">Barona </t>
  </si>
  <si>
    <t>CA080</t>
  </si>
  <si>
    <t>All Mission Indian Housing Authority</t>
  </si>
  <si>
    <t>921</t>
  </si>
  <si>
    <t>San Diego</t>
  </si>
  <si>
    <t>06-0200.000</t>
  </si>
  <si>
    <t>060326</t>
  </si>
  <si>
    <t>Berry Creek Rancheria</t>
  </si>
  <si>
    <t>CA130</t>
  </si>
  <si>
    <t>Northern Circle Indian Housing Authority</t>
  </si>
  <si>
    <t>959</t>
  </si>
  <si>
    <t>06-0240.000</t>
  </si>
  <si>
    <t>060349</t>
  </si>
  <si>
    <t>Big Lagoon Rancheria</t>
  </si>
  <si>
    <t>955</t>
  </si>
  <si>
    <t>Eureka</t>
  </si>
  <si>
    <t>06-0250.000</t>
  </si>
  <si>
    <t>060350</t>
  </si>
  <si>
    <t>Big Pine Band</t>
  </si>
  <si>
    <t>CA098</t>
  </si>
  <si>
    <t>Owens Valley Indian Housing Authority</t>
  </si>
  <si>
    <t>935</t>
  </si>
  <si>
    <t>06-0265.000</t>
  </si>
  <si>
    <t>060351</t>
  </si>
  <si>
    <t>Big Sandy Rancheria</t>
  </si>
  <si>
    <t>937</t>
  </si>
  <si>
    <t>Fresno</t>
  </si>
  <si>
    <t>06-0275.000</t>
  </si>
  <si>
    <t>060353</t>
  </si>
  <si>
    <t>Big Valley Rancheria</t>
  </si>
  <si>
    <t>954</t>
  </si>
  <si>
    <t>06-0325.000</t>
  </si>
  <si>
    <t>060368</t>
  </si>
  <si>
    <t>Blue Lake Rancheria</t>
  </si>
  <si>
    <t>06-0350.000</t>
  </si>
  <si>
    <t>060431</t>
  </si>
  <si>
    <t>Bridgeport Paiute Indian Colony</t>
  </si>
  <si>
    <t>06-9999.005</t>
  </si>
  <si>
    <t>060454</t>
  </si>
  <si>
    <t>Buena Vista Rancheria</t>
  </si>
  <si>
    <t>06-0415.000</t>
  </si>
  <si>
    <t>060481</t>
  </si>
  <si>
    <t>Cabazon Band</t>
  </si>
  <si>
    <t>06-0435.000</t>
  </si>
  <si>
    <t>Cahuilla Band</t>
  </si>
  <si>
    <t>06-9999.051</t>
  </si>
  <si>
    <t>06x</t>
  </si>
  <si>
    <t>Camp Antelope Tribe</t>
  </si>
  <si>
    <t>06-0450.000</t>
  </si>
  <si>
    <t>060544</t>
  </si>
  <si>
    <t>Campo Band</t>
  </si>
  <si>
    <t>CA150</t>
  </si>
  <si>
    <t>Campo Reservation</t>
  </si>
  <si>
    <t>920</t>
  </si>
  <si>
    <t>06-0555.000</t>
  </si>
  <si>
    <t>060636</t>
  </si>
  <si>
    <t>Cedarville Rancheria</t>
  </si>
  <si>
    <t>06-0585.000</t>
  </si>
  <si>
    <t>060658</t>
  </si>
  <si>
    <t>Chemehuevi</t>
  </si>
  <si>
    <t>CA133</t>
  </si>
  <si>
    <t>Chemehuevi Housing Authority</t>
  </si>
  <si>
    <t>923</t>
  </si>
  <si>
    <t>06-0620.000</t>
  </si>
  <si>
    <t>060680</t>
  </si>
  <si>
    <t>Chicken Ranch Rancheria</t>
  </si>
  <si>
    <t>953</t>
  </si>
  <si>
    <t>06-9999.007</t>
  </si>
  <si>
    <t>060692</t>
  </si>
  <si>
    <t>Chico Rancheria</t>
  </si>
  <si>
    <t>06-9999.097</t>
  </si>
  <si>
    <t>060752</t>
  </si>
  <si>
    <t>Cloverdale Rancheria</t>
  </si>
  <si>
    <t>Santa Rosa</t>
  </si>
  <si>
    <t>06-0720.000</t>
  </si>
  <si>
    <t>956 (used 955)</t>
  </si>
  <si>
    <t>060772</t>
  </si>
  <si>
    <t>Cold Springs Rancheria</t>
  </si>
  <si>
    <t>CA129</t>
  </si>
  <si>
    <t>Central Cal Indian Housing Authority</t>
  </si>
  <si>
    <t>99-0735.000</t>
  </si>
  <si>
    <t>040100</t>
  </si>
  <si>
    <t>Colorado River Indian Tribes</t>
  </si>
  <si>
    <t>AZ018</t>
  </si>
  <si>
    <t>Colorado River Indian Housing Authority</t>
  </si>
  <si>
    <t>06-0750.000</t>
  </si>
  <si>
    <t>060794</t>
  </si>
  <si>
    <t>Colusa Rancheria</t>
  </si>
  <si>
    <t>06-0780.000</t>
  </si>
  <si>
    <t>060842</t>
  </si>
  <si>
    <t>Cortina Rancheria</t>
  </si>
  <si>
    <t>06-0825.000</t>
  </si>
  <si>
    <t>060866</t>
  </si>
  <si>
    <t>Coyote Valley Band</t>
  </si>
  <si>
    <t>CA097</t>
  </si>
  <si>
    <t>Round Valley Indian Housing Authority</t>
  </si>
  <si>
    <t>06-0870.000</t>
  </si>
  <si>
    <t>060920</t>
  </si>
  <si>
    <t>Cuyapaipe Community</t>
  </si>
  <si>
    <t>06-9999.027</t>
  </si>
  <si>
    <t>063739</t>
  </si>
  <si>
    <t>Death Valley Timba-Sha</t>
  </si>
  <si>
    <t>06-0955.000</t>
  </si>
  <si>
    <t>061036</t>
  </si>
  <si>
    <t>Dry Creek Rancheria</t>
  </si>
  <si>
    <t>06-1010.000</t>
  </si>
  <si>
    <t>061118</t>
  </si>
  <si>
    <t>Elk Valley Rancheria</t>
  </si>
  <si>
    <t>06-1055.000</t>
  </si>
  <si>
    <t>061218</t>
  </si>
  <si>
    <t>Enterprise Rancheria</t>
  </si>
  <si>
    <t>06-1170.000</t>
  </si>
  <si>
    <t>061342</t>
  </si>
  <si>
    <t>Fort Bidwell</t>
  </si>
  <si>
    <t>CA083</t>
  </si>
  <si>
    <t>Modoc-Lassen Indian Housing Authority</t>
  </si>
  <si>
    <t>Susanville</t>
  </si>
  <si>
    <t>06-1195.000</t>
  </si>
  <si>
    <t>061348</t>
  </si>
  <si>
    <t>Fort Independence</t>
  </si>
  <si>
    <t>Graton Rancheria</t>
  </si>
  <si>
    <t>949</t>
  </si>
  <si>
    <t>Marin</t>
  </si>
  <si>
    <t>06-1380.000</t>
  </si>
  <si>
    <t>061520</t>
  </si>
  <si>
    <t>Greenville Rancheria</t>
  </si>
  <si>
    <t>06-1395.000</t>
  </si>
  <si>
    <t>061526</t>
  </si>
  <si>
    <t>Grindstone Rancheria</t>
  </si>
  <si>
    <t>06-9999.045</t>
  </si>
  <si>
    <t>061548</t>
  </si>
  <si>
    <t>Guidiville Rancheria</t>
  </si>
  <si>
    <t>06-1490.000</t>
  </si>
  <si>
    <t>061682</t>
  </si>
  <si>
    <t>Hoopa Valley</t>
  </si>
  <si>
    <t>CA090</t>
  </si>
  <si>
    <t>Hoopa Valley Indian Housing Authority</t>
  </si>
  <si>
    <t>06-1515.000</t>
  </si>
  <si>
    <t>061684</t>
  </si>
  <si>
    <t>Hopland Rancheria</t>
  </si>
  <si>
    <t>06-1560.000</t>
  </si>
  <si>
    <t>061718</t>
  </si>
  <si>
    <t>Inaja Band</t>
  </si>
  <si>
    <t>061746</t>
  </si>
  <si>
    <t>Ione Band of Miwok Indians</t>
  </si>
  <si>
    <t>06-1640.000</t>
  </si>
  <si>
    <t>061778</t>
  </si>
  <si>
    <t>Jackson Rancheria</t>
  </si>
  <si>
    <t>06-1670.000</t>
  </si>
  <si>
    <t>061780</t>
  </si>
  <si>
    <t>Jamul Indian Village</t>
  </si>
  <si>
    <t>06-1750.000</t>
  </si>
  <si>
    <t>061785</t>
  </si>
  <si>
    <t>Karuk</t>
  </si>
  <si>
    <t>CA134</t>
  </si>
  <si>
    <t>Karuk Tribe Housing Authority</t>
  </si>
  <si>
    <t>06-1850.000</t>
  </si>
  <si>
    <t>061864</t>
  </si>
  <si>
    <t>La Jolla Band</t>
  </si>
  <si>
    <t>06-1895.000</t>
  </si>
  <si>
    <t>061924</t>
  </si>
  <si>
    <t>La Posta Band</t>
  </si>
  <si>
    <t>06-1925.000</t>
  </si>
  <si>
    <t>061964</t>
  </si>
  <si>
    <t>Laytonville Rancheria</t>
  </si>
  <si>
    <t>06-1970.000</t>
  </si>
  <si>
    <t>062084</t>
  </si>
  <si>
    <t>Lone Pine Paiute-Shoshone</t>
  </si>
  <si>
    <t>06-1995.000</t>
  </si>
  <si>
    <t>062126</t>
  </si>
  <si>
    <t>Los Coyotes Band of Cahuilla</t>
  </si>
  <si>
    <t>Lower Lake Rancheria</t>
  </si>
  <si>
    <t>062150</t>
  </si>
  <si>
    <t>Lytton Rancheria of California</t>
  </si>
  <si>
    <t>06-2100.000</t>
  </si>
  <si>
    <t>062176</t>
  </si>
  <si>
    <t>Manchester Point  Arena Rancheria</t>
  </si>
  <si>
    <t>06-2115.000</t>
  </si>
  <si>
    <t>062180</t>
  </si>
  <si>
    <t>Manzanita Band</t>
  </si>
  <si>
    <t>06-2190.000</t>
  </si>
  <si>
    <t>062254</t>
  </si>
  <si>
    <t>Mesa Grande Band</t>
  </si>
  <si>
    <t>CA148</t>
  </si>
  <si>
    <t>Mesa Grande Housing Authority</t>
  </si>
  <si>
    <t>06-2255.000</t>
  </si>
  <si>
    <t>062259</t>
  </si>
  <si>
    <t>Middletown Rancheria</t>
  </si>
  <si>
    <t>062350</t>
  </si>
  <si>
    <t>Mooretown Rancheria</t>
  </si>
  <si>
    <t>06-2360.000</t>
  </si>
  <si>
    <t>062371</t>
  </si>
  <si>
    <t>Morongo Band of Cahuilla</t>
  </si>
  <si>
    <t>922</t>
  </si>
  <si>
    <t>Palm Springs</t>
  </si>
  <si>
    <t>06-2495.000</t>
  </si>
  <si>
    <t>062474</t>
  </si>
  <si>
    <t>North Fork Rancheria</t>
  </si>
  <si>
    <t>936</t>
  </si>
  <si>
    <t>06-0290.000</t>
  </si>
  <si>
    <t>060356</t>
  </si>
  <si>
    <t>Paiute-Shoshone of Bishop Colony</t>
  </si>
  <si>
    <t>06-2635.000</t>
  </si>
  <si>
    <t>062646</t>
  </si>
  <si>
    <t>Pala Bank</t>
  </si>
  <si>
    <t>06-0000.103</t>
  </si>
  <si>
    <t>Paskenta Band of Nomlaki Indian</t>
  </si>
  <si>
    <t>960</t>
  </si>
  <si>
    <t>06-2715.000</t>
  </si>
  <si>
    <t>062737</t>
  </si>
  <si>
    <t>Pauma Band</t>
  </si>
  <si>
    <t>06-2745.000</t>
  </si>
  <si>
    <t>062741</t>
  </si>
  <si>
    <t>Pechanga Band</t>
  </si>
  <si>
    <t>06-2775.000</t>
  </si>
  <si>
    <t>062762</t>
  </si>
  <si>
    <t>Picayune Rancheria</t>
  </si>
  <si>
    <t>06-2820.000</t>
  </si>
  <si>
    <t>RS Means Mult.</t>
  </si>
  <si>
    <t>MS Means</t>
  </si>
  <si>
    <t>BASE CONST. COSTS</t>
  </si>
  <si>
    <t>3 BR BASE COST</t>
  </si>
  <si>
    <t>Standard Contruction Cost Guideline (Slab on Grade Foundation)</t>
  </si>
  <si>
    <t>Severe Construction Cost Guideline (Crawl Space Foundation &amp; Superinsulation)</t>
  </si>
  <si>
    <t>RSMEANS ADJ</t>
  </si>
  <si>
    <t>M&amp;S/B ADJ</t>
  </si>
  <si>
    <t>Miccosukee Tribe (Miami Dade)</t>
  </si>
  <si>
    <t>Seminole Tribe - Tampa (Hillsborough Co.)</t>
  </si>
  <si>
    <t>Immokalee Reservation (Collier Co.)</t>
  </si>
  <si>
    <t>Big Cypress Reservation (Broward/Hendry/PB Co.)</t>
  </si>
  <si>
    <t>Seminole Tribe - Hollywood (Broward Co.)</t>
  </si>
  <si>
    <t>Brighton Reservation (Glades Co.)</t>
  </si>
  <si>
    <t>M&amp;S/B (interim)</t>
  </si>
  <si>
    <t>062779</t>
  </si>
  <si>
    <t>Pinoleville Rancheria</t>
  </si>
  <si>
    <t>06-0215.000</t>
  </si>
  <si>
    <t>062788</t>
  </si>
  <si>
    <t>Pit River Tribe</t>
  </si>
  <si>
    <t>Redding</t>
  </si>
  <si>
    <t>062894</t>
  </si>
  <si>
    <t>Potter Valley Rancheria</t>
  </si>
  <si>
    <t>06-3020.000</t>
  </si>
  <si>
    <t>062911</t>
  </si>
  <si>
    <t>Quartz Valley Rancheria</t>
  </si>
  <si>
    <t>99-1280.000</t>
  </si>
  <si>
    <t>062912</t>
  </si>
  <si>
    <t>Quechan Tribe</t>
  </si>
  <si>
    <t>CA054</t>
  </si>
  <si>
    <t>Quechan Tribal Housing Authority</t>
  </si>
  <si>
    <t>06-3070.000</t>
  </si>
  <si>
    <t>062922</t>
  </si>
  <si>
    <t>Ramona Band</t>
  </si>
  <si>
    <t>06-3095.000</t>
  </si>
  <si>
    <t>062960</t>
  </si>
  <si>
    <t>Redding Rancheria</t>
  </si>
  <si>
    <t>06-3115.000</t>
  </si>
  <si>
    <t>062978</t>
  </si>
  <si>
    <t>Redwood Valley Rancheria</t>
  </si>
  <si>
    <t>06-3145.000</t>
  </si>
  <si>
    <t>062986</t>
  </si>
  <si>
    <t>Resighini Rancheria</t>
  </si>
  <si>
    <t>06-3165.000</t>
  </si>
  <si>
    <t>063008</t>
  </si>
  <si>
    <t>Rincon Reservation</t>
  </si>
  <si>
    <t>06-3195.000</t>
  </si>
  <si>
    <t>063053</t>
  </si>
  <si>
    <t>Robinson Rancheria</t>
  </si>
  <si>
    <t>06-3220.000</t>
  </si>
  <si>
    <t>063074</t>
  </si>
  <si>
    <t>Rohnerville Rancheria</t>
  </si>
  <si>
    <t>06-3250.000</t>
  </si>
  <si>
    <t>060863</t>
  </si>
  <si>
    <t>Round Valley Rancheria</t>
  </si>
  <si>
    <t>06-3265.000</t>
  </si>
  <si>
    <t>063134</t>
  </si>
  <si>
    <t>Rumsey Rancheria</t>
  </si>
  <si>
    <t>06-3445.000</t>
  </si>
  <si>
    <t>063292</t>
  </si>
  <si>
    <t>San Manuel Band</t>
  </si>
  <si>
    <t>06-3460.000</t>
  </si>
  <si>
    <t>063319</t>
  </si>
  <si>
    <t>San Pasqual Band</t>
  </si>
  <si>
    <t>06-3525.000</t>
  </si>
  <si>
    <t>063398</t>
  </si>
  <si>
    <t>San Rosa Band of Cahuilla</t>
  </si>
  <si>
    <t>06-3550.000</t>
  </si>
  <si>
    <t>063404</t>
  </si>
  <si>
    <t>San Ysabel Reservation</t>
  </si>
  <si>
    <t>06-3520.000</t>
  </si>
  <si>
    <t>063399</t>
  </si>
  <si>
    <t>Santa Rosa Rancheria</t>
  </si>
  <si>
    <t>932</t>
  </si>
  <si>
    <t>Hanford</t>
  </si>
  <si>
    <t>06-3540.000</t>
  </si>
  <si>
    <t>063403</t>
  </si>
  <si>
    <t>Santa Ynez Band of Chumash</t>
  </si>
  <si>
    <t>934</t>
  </si>
  <si>
    <t>Santa Barbara</t>
  </si>
  <si>
    <t>06-9999.033</t>
  </si>
  <si>
    <t>063428</t>
  </si>
  <si>
    <t>Scotts Valley (Pomo)</t>
  </si>
  <si>
    <t>06-3720.000</t>
  </si>
  <si>
    <t>Sheep Rancheria</t>
  </si>
  <si>
    <t>952</t>
  </si>
  <si>
    <t>06-3735.000</t>
  </si>
  <si>
    <t>063465</t>
  </si>
  <si>
    <t>Sherwood Valley Rancheria</t>
  </si>
  <si>
    <t>06-3750.000</t>
  </si>
  <si>
    <t>063467</t>
  </si>
  <si>
    <t>Shingle Springs Rancheria</t>
  </si>
  <si>
    <t>06-3855.000</t>
  </si>
  <si>
    <t>063482</t>
  </si>
  <si>
    <t>Smith River Rancheria</t>
  </si>
  <si>
    <t>06-3870.000</t>
  </si>
  <si>
    <t>063484</t>
  </si>
  <si>
    <t>Soboba Band</t>
  </si>
  <si>
    <t>06-3985.000</t>
  </si>
  <si>
    <t>063622</t>
  </si>
  <si>
    <t>Stewarts Point Rancheria</t>
  </si>
  <si>
    <t>06-4030.000</t>
  </si>
  <si>
    <t>061133</t>
  </si>
  <si>
    <t>Sulphur Bank Rancheria</t>
  </si>
  <si>
    <t>06-4060.000</t>
  </si>
  <si>
    <t>063668</t>
  </si>
  <si>
    <t>Susanville Rancheria</t>
  </si>
  <si>
    <t>06-4090.000</t>
  </si>
  <si>
    <t>063679</t>
  </si>
  <si>
    <t>Sycuan Band</t>
  </si>
  <si>
    <t>06-4095.000</t>
  </si>
  <si>
    <t>063681</t>
  </si>
  <si>
    <t>Table Bluff Rancheria</t>
  </si>
  <si>
    <t>06-4110.000</t>
  </si>
  <si>
    <t>063682</t>
  </si>
  <si>
    <t>Table Mountain Rancheria</t>
  </si>
  <si>
    <t>06-4255.000</t>
  </si>
  <si>
    <t>063746</t>
  </si>
  <si>
    <t>Torres-Martinez Band of Cahuilla</t>
  </si>
  <si>
    <t>06-4275.000</t>
  </si>
  <si>
    <t>063757</t>
  </si>
  <si>
    <t>Trinidad Rancheria</t>
  </si>
  <si>
    <t>06-4300.000</t>
  </si>
  <si>
    <t>063788</t>
  </si>
  <si>
    <t>Tule River Indian Tribe</t>
  </si>
  <si>
    <t>CA099</t>
  </si>
  <si>
    <t>Tule River Indian Housing Authority</t>
  </si>
  <si>
    <t>06-4330.000</t>
  </si>
  <si>
    <t>063794</t>
  </si>
  <si>
    <t>Tulomne Rancheria</t>
  </si>
  <si>
    <t>06-4375.000</t>
  </si>
  <si>
    <t>063822</t>
  </si>
  <si>
    <t>Twenty Nine Palms Band</t>
  </si>
  <si>
    <t>06-4430.000</t>
  </si>
  <si>
    <t>063856</t>
  </si>
  <si>
    <t>Upper Lake Rancheria</t>
  </si>
  <si>
    <t>06-0185.000</t>
  </si>
  <si>
    <t>060320</t>
  </si>
  <si>
    <t>Utu Utu Gwaiti Paiute</t>
  </si>
  <si>
    <t>06-4500.000</t>
  </si>
  <si>
    <t>063904</t>
  </si>
  <si>
    <t>Viejas Group of Capitan Grande</t>
  </si>
  <si>
    <t>06-4760.000</t>
  </si>
  <si>
    <t>064190</t>
  </si>
  <si>
    <t>Yurok Tribe</t>
  </si>
  <si>
    <t>CA153</t>
  </si>
  <si>
    <t>Yurok IHA</t>
  </si>
  <si>
    <t>NM</t>
  </si>
  <si>
    <t>35-0010.000</t>
  </si>
  <si>
    <t>350002</t>
  </si>
  <si>
    <t>Acoma Pueblo</t>
  </si>
  <si>
    <t>NM031</t>
  </si>
  <si>
    <t>All Indian Pueblo Housing Authority</t>
  </si>
  <si>
    <t>870</t>
  </si>
  <si>
    <t>NEW MEXICO</t>
  </si>
  <si>
    <t>35-0680.000</t>
  </si>
  <si>
    <t>350124</t>
  </si>
  <si>
    <t>Cochiti Pueblo</t>
  </si>
  <si>
    <t>871</t>
  </si>
  <si>
    <t>35-1625.000</t>
  </si>
  <si>
    <t>350294</t>
  </si>
  <si>
    <t>Isleta Pueblo</t>
  </si>
  <si>
    <t>Albuquerque</t>
  </si>
  <si>
    <t>35-1685.000</t>
  </si>
  <si>
    <t>350306</t>
  </si>
  <si>
    <t>Jemez Pueblo</t>
  </si>
  <si>
    <t>35-1700.000</t>
  </si>
  <si>
    <t>350314</t>
  </si>
  <si>
    <t>Jicarilla Reservation</t>
  </si>
  <si>
    <t>NM014</t>
  </si>
  <si>
    <t>Jicarilla Apache Housing Authority</t>
  </si>
  <si>
    <t>35-1840.000</t>
  </si>
  <si>
    <t>350318</t>
  </si>
  <si>
    <t>Laguna Pueblo</t>
  </si>
  <si>
    <t>NM012</t>
  </si>
  <si>
    <t>Pueblo of Laguna Housing Authority</t>
  </si>
  <si>
    <t>35-2205.000</t>
  </si>
  <si>
    <t>350420</t>
  </si>
  <si>
    <t>Mescalero Reservation</t>
  </si>
  <si>
    <t>NM013</t>
  </si>
  <si>
    <t>Mescalero Apache Housing Authority</t>
  </si>
  <si>
    <t>883</t>
  </si>
  <si>
    <t>Alamogordo</t>
  </si>
  <si>
    <t>35-2400.000</t>
  </si>
  <si>
    <t>350445</t>
  </si>
  <si>
    <t>Nambe Pueblo</t>
  </si>
  <si>
    <t>NM040</t>
  </si>
  <si>
    <t>Northern Pueblos Housing Authority</t>
  </si>
  <si>
    <t>875</t>
  </si>
  <si>
    <t>Santa Fe</t>
  </si>
  <si>
    <t>35-2880.000</t>
  </si>
  <si>
    <t>350460</t>
  </si>
  <si>
    <t>Pajoaque Pueblo</t>
  </si>
  <si>
    <t>35-2785.000</t>
  </si>
  <si>
    <t>350458</t>
  </si>
  <si>
    <t>Picuris Pueblo</t>
  </si>
  <si>
    <t>35-3400.000</t>
  </si>
  <si>
    <t>350506</t>
  </si>
  <si>
    <t>San Felipe Pueblo</t>
  </si>
  <si>
    <t>35-3415.000</t>
  </si>
  <si>
    <t>350512</t>
  </si>
  <si>
    <t>San Ildefonso Pueblo</t>
  </si>
  <si>
    <t>35-3430.000</t>
  </si>
  <si>
    <t>350522</t>
  </si>
  <si>
    <t>San Juan Pueblo</t>
  </si>
  <si>
    <t>35-3370.000</t>
  </si>
  <si>
    <t>350529</t>
  </si>
  <si>
    <t>Sandia  Pueblo</t>
  </si>
  <si>
    <t>35-3480.000</t>
  </si>
  <si>
    <t>350531</t>
  </si>
  <si>
    <t>Santa Ana Pueblo</t>
  </si>
  <si>
    <t>35-3495.000</t>
  </si>
  <si>
    <t>350533</t>
  </si>
  <si>
    <t>Santa Clara Pueblo</t>
  </si>
  <si>
    <t>35-3585.000</t>
  </si>
  <si>
    <t>350546</t>
  </si>
  <si>
    <t>Santo Domingo Pueblo</t>
  </si>
  <si>
    <t>35-4140.000</t>
  </si>
  <si>
    <t>350588</t>
  </si>
  <si>
    <t>Taos Pueblo</t>
  </si>
  <si>
    <t>35-4170.000</t>
  </si>
  <si>
    <t>350598</t>
  </si>
  <si>
    <t>Tesuque Pueblo</t>
  </si>
  <si>
    <t>35-4770.000</t>
  </si>
  <si>
    <t>350670</t>
  </si>
  <si>
    <t>Zia Pueblo</t>
  </si>
  <si>
    <t>99-4785.000</t>
  </si>
  <si>
    <t>350673</t>
  </si>
  <si>
    <t>Zuni Tribe</t>
  </si>
  <si>
    <t>NM019</t>
  </si>
  <si>
    <t>Zuni Housing Authority</t>
  </si>
  <si>
    <t>873</t>
  </si>
  <si>
    <t>Gallup</t>
  </si>
  <si>
    <t>NV</t>
  </si>
  <si>
    <t>99-0965.000</t>
  </si>
  <si>
    <t>320041</t>
  </si>
  <si>
    <t>Duck Valley Shoshone-Paiute</t>
  </si>
  <si>
    <t>NV006</t>
  </si>
  <si>
    <t>Duck Valley Housing Authority</t>
  </si>
  <si>
    <t>898</t>
  </si>
  <si>
    <t>Elko</t>
  </si>
  <si>
    <t>32-0975.000</t>
  </si>
  <si>
    <t>320043</t>
  </si>
  <si>
    <t>Duckwater Shoshone</t>
  </si>
  <si>
    <t>NV015</t>
  </si>
  <si>
    <t>Shoshone Joint Housing Authority</t>
  </si>
  <si>
    <t>890</t>
  </si>
  <si>
    <t>NEVADA</t>
  </si>
  <si>
    <t>32-1040.000</t>
  </si>
  <si>
    <t>320061</t>
  </si>
  <si>
    <t>Ely Shoshone</t>
  </si>
  <si>
    <t>893</t>
  </si>
  <si>
    <t>32-1070.000</t>
  </si>
  <si>
    <t>320070</t>
  </si>
  <si>
    <t>Fallon Paiute-Shoshone</t>
  </si>
  <si>
    <t>NV011</t>
  </si>
  <si>
    <t>Fallon Paiute Shoshone Housing Authority</t>
  </si>
  <si>
    <t>894</t>
  </si>
  <si>
    <t>Fallon</t>
  </si>
  <si>
    <t>32-1915.000</t>
  </si>
  <si>
    <t>320109</t>
  </si>
  <si>
    <t>Las Vegas Colony</t>
  </si>
  <si>
    <t>891</t>
  </si>
  <si>
    <t>32-2015.000</t>
  </si>
  <si>
    <t>320115</t>
  </si>
  <si>
    <t>Lovelock Colony</t>
  </si>
  <si>
    <t>NV017</t>
  </si>
  <si>
    <t>Lovelock Indian Housing Authority</t>
  </si>
  <si>
    <t>32-2315.000</t>
  </si>
  <si>
    <t>320126</t>
  </si>
  <si>
    <t>Moapa Band of Paiute</t>
  </si>
  <si>
    <t>NV014</t>
  </si>
  <si>
    <t>Moapa Indian Housing Authority</t>
  </si>
  <si>
    <t>32-3010.000</t>
  </si>
  <si>
    <t>320148</t>
  </si>
  <si>
    <t>Pyramid Lake Paiute</t>
  </si>
  <si>
    <t>NV004</t>
  </si>
  <si>
    <t>Pyramid Lake Housing Authority</t>
  </si>
  <si>
    <t>895</t>
  </si>
  <si>
    <t>Reno</t>
  </si>
  <si>
    <t>32-3130.000</t>
  </si>
  <si>
    <t>320151</t>
  </si>
  <si>
    <t>Reno-Sparks Colony</t>
  </si>
  <si>
    <t>NV012</t>
  </si>
  <si>
    <t>Reno-Sparks Indian Housing Authority</t>
  </si>
  <si>
    <t>32-4045.000</t>
  </si>
  <si>
    <t>320160</t>
  </si>
  <si>
    <t>Summit Lake Paiute Tribe</t>
  </si>
  <si>
    <t>32-4155.000</t>
  </si>
  <si>
    <t>320170</t>
  </si>
  <si>
    <t>Te-Moak</t>
  </si>
  <si>
    <t>NV016</t>
  </si>
  <si>
    <t>Te-Moak Western Shoshone Housing Authori</t>
  </si>
  <si>
    <t>32-4515.000</t>
  </si>
  <si>
    <t>320182</t>
  </si>
  <si>
    <t>Walker River Paiute Tribe</t>
  </si>
  <si>
    <t>NV008</t>
  </si>
  <si>
    <t>Walker River Reservation Housing Authori</t>
  </si>
  <si>
    <t>99-0510.000</t>
  </si>
  <si>
    <t>320185</t>
  </si>
  <si>
    <t>Washoe Tribe</t>
  </si>
  <si>
    <t>NV003</t>
  </si>
  <si>
    <t>Washoe Housing Authority</t>
  </si>
  <si>
    <t>32-4635.000</t>
  </si>
  <si>
    <t>320198</t>
  </si>
  <si>
    <t xml:space="preserve">Area/Perimeter Adj. </t>
  </si>
  <si>
    <t>Hostile Contruction Cost Guideline (Basement Foundation, Superinsulation, Arctic Entry &amp; Oil Furnace)</t>
  </si>
  <si>
    <t>Winnemucca Colony</t>
  </si>
  <si>
    <t>32-4725.000</t>
  </si>
  <si>
    <t>320208</t>
  </si>
  <si>
    <t>Yerington Paiute Tribe</t>
  </si>
  <si>
    <t>NV010</t>
  </si>
  <si>
    <t>Yerington Paiute Housing Authority</t>
  </si>
  <si>
    <t>32-4740.000</t>
  </si>
  <si>
    <t>320212</t>
  </si>
  <si>
    <t>Yomba Shoshone Tribe</t>
  </si>
  <si>
    <t>NV020</t>
  </si>
  <si>
    <t>Yomba Shoshone Housing Authority</t>
  </si>
  <si>
    <t>99-1210.000</t>
  </si>
  <si>
    <t>320074</t>
  </si>
  <si>
    <t>Fort McDermitt Paiute and Shoshone</t>
  </si>
  <si>
    <t>NV009</t>
  </si>
  <si>
    <t>Fort McDermitt Housing Authority</t>
  </si>
  <si>
    <t>979</t>
  </si>
  <si>
    <t>48-4755.000</t>
  </si>
  <si>
    <t>485390</t>
  </si>
  <si>
    <t>Ysleta Del Sur</t>
  </si>
  <si>
    <t>TX429</t>
  </si>
  <si>
    <t>Ysleta del Sur Pueblo Housing Authority</t>
  </si>
  <si>
    <t>799</t>
  </si>
  <si>
    <t>El Paso</t>
  </si>
  <si>
    <t>99-1340.000</t>
  </si>
  <si>
    <t>490404</t>
  </si>
  <si>
    <t>Goshute Reservation</t>
  </si>
  <si>
    <t>UTAH</t>
  </si>
  <si>
    <t>END</t>
  </si>
  <si>
    <t>Tribes that are not federally recognized.   These are not to be used in the Formula Calculations at this time</t>
  </si>
  <si>
    <t>09-1325.000</t>
  </si>
  <si>
    <t>090424</t>
  </si>
  <si>
    <t>Golden Hill Paugusset</t>
  </si>
  <si>
    <t>CT069</t>
  </si>
  <si>
    <t>Golden Hills Housing Authority</t>
  </si>
  <si>
    <t>CHICAGO</t>
  </si>
  <si>
    <t>068</t>
  </si>
  <si>
    <t>Danbury</t>
  </si>
  <si>
    <t>09-3650.000</t>
  </si>
  <si>
    <t>090976</t>
  </si>
  <si>
    <t>Schaghticoke</t>
  </si>
  <si>
    <t>CT065</t>
  </si>
  <si>
    <t>Schaghticoke Housing Authority</t>
  </si>
  <si>
    <t>067</t>
  </si>
  <si>
    <t>Waterbury</t>
  </si>
  <si>
    <t>Little Shell Tribe</t>
  </si>
  <si>
    <t>DENVER</t>
  </si>
  <si>
    <t>Chinook</t>
  </si>
  <si>
    <t>SEATTLE</t>
  </si>
  <si>
    <t>Duwamish</t>
  </si>
  <si>
    <t>09-2700.000</t>
  </si>
  <si>
    <t>090852</t>
  </si>
  <si>
    <t>Paucatuck Eastern Pequot Tribe</t>
  </si>
  <si>
    <t>CT067</t>
  </si>
  <si>
    <t>Paucatuck Eastern Pequot Indians of Conn</t>
  </si>
  <si>
    <t>25-1425.000</t>
  </si>
  <si>
    <t>Nipmuc (State)</t>
  </si>
  <si>
    <t>015</t>
  </si>
  <si>
    <t>Worcester</t>
  </si>
  <si>
    <t>GA</t>
  </si>
  <si>
    <t>13-4125.000</t>
  </si>
  <si>
    <t>Lower Muskogee Creek State Tribe</t>
  </si>
  <si>
    <t>317</t>
  </si>
  <si>
    <t>Albany</t>
  </si>
  <si>
    <t>NJ</t>
  </si>
  <si>
    <t>34-9160.000</t>
  </si>
  <si>
    <t>Ramapough State Tribe</t>
  </si>
  <si>
    <t>076</t>
  </si>
  <si>
    <t>NEW JERSEY</t>
  </si>
  <si>
    <t>34-3075.000</t>
  </si>
  <si>
    <t>Rankokus State Tribe</t>
  </si>
  <si>
    <t>080</t>
  </si>
  <si>
    <t>36-2895.000</t>
  </si>
  <si>
    <t>366598</t>
  </si>
  <si>
    <t>Poospatuck Indian Reservation</t>
  </si>
  <si>
    <t>117</t>
  </si>
  <si>
    <t>NEW YORK</t>
  </si>
  <si>
    <t>36-3765.000</t>
  </si>
  <si>
    <t>366008</t>
  </si>
  <si>
    <t>Shinnecock Indian Reservation</t>
  </si>
  <si>
    <t>VA</t>
  </si>
  <si>
    <t>51-9020.000</t>
  </si>
  <si>
    <t>Chickahominy Tribe</t>
  </si>
  <si>
    <t>231</t>
  </si>
  <si>
    <t>VIRGINIA</t>
  </si>
  <si>
    <t>51-9070.000</t>
  </si>
  <si>
    <t>Eastern Chickahominy Tribe</t>
  </si>
  <si>
    <t>51-2160.000</t>
  </si>
  <si>
    <t>511016</t>
  </si>
  <si>
    <t>Mattaponi</t>
  </si>
  <si>
    <t>230</t>
  </si>
  <si>
    <t>51-2650.000</t>
  </si>
  <si>
    <t>511172</t>
  </si>
  <si>
    <t>Pamunkey</t>
  </si>
  <si>
    <t>51-0000.097</t>
  </si>
  <si>
    <t>Rappahonock Tribe</t>
  </si>
  <si>
    <t>22-9010.000</t>
  </si>
  <si>
    <t>Apache Choctaw, LA (state)</t>
  </si>
  <si>
    <t>714</t>
  </si>
  <si>
    <t>22-9030.000</t>
  </si>
  <si>
    <t>Clifton Choctaw, LA (state)</t>
  </si>
  <si>
    <t>22-9170.000</t>
  </si>
  <si>
    <t>United Houma Nation, LA (state)</t>
  </si>
  <si>
    <t>700</t>
  </si>
  <si>
    <t>1 Bdrm</t>
  </si>
  <si>
    <t>2 Bdrm</t>
  </si>
  <si>
    <t>3 Bdrm</t>
  </si>
  <si>
    <t>4 Bdrm</t>
  </si>
  <si>
    <t>+15%Remote</t>
  </si>
  <si>
    <t>+20%VeryRemote</t>
  </si>
  <si>
    <t>5 Bdrm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</si>
  <si>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</si>
  <si>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</si>
  <si>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</si>
  <si>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</si>
  <si>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</si>
  <si>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</si>
  <si>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</si>
  <si>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</si>
  <si>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</si>
  <si>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</si>
  <si>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</si>
  <si>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</si>
  <si>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</si>
  <si>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Ground Floor Area</t>
  </si>
  <si>
    <t>B7</t>
  </si>
  <si>
    <t>A8</t>
  </si>
  <si>
    <t>Ground Floor Perimeter</t>
  </si>
  <si>
    <t>B8</t>
  </si>
  <si>
    <t>A9</t>
  </si>
  <si>
    <t>A/P Ratio</t>
  </si>
  <si>
    <t>B9</t>
  </si>
  <si>
    <t>A/P Ratio (B7/B8)</t>
  </si>
  <si>
    <t>A10</t>
  </si>
  <si>
    <t>B10</t>
  </si>
  <si>
    <t>A11</t>
  </si>
  <si>
    <t>B11</t>
  </si>
  <si>
    <t>A12</t>
  </si>
  <si>
    <t>B12</t>
  </si>
  <si>
    <t>A13</t>
  </si>
  <si>
    <t>B13</t>
  </si>
  <si>
    <t>Half Bath</t>
  </si>
  <si>
    <t>B14</t>
  </si>
  <si>
    <t>A15</t>
  </si>
  <si>
    <t>B15</t>
  </si>
  <si>
    <t>A16</t>
  </si>
  <si>
    <t>B16</t>
  </si>
  <si>
    <t>A17</t>
  </si>
  <si>
    <t>B17</t>
  </si>
  <si>
    <t>A18</t>
  </si>
  <si>
    <t>B18</t>
  </si>
  <si>
    <t>A19</t>
  </si>
  <si>
    <t>B19</t>
  </si>
  <si>
    <t>A20</t>
  </si>
  <si>
    <t>B20</t>
  </si>
  <si>
    <t xml:space="preserve">B21 </t>
  </si>
  <si>
    <t xml:space="preserve"> Base Residence Cost</t>
  </si>
  <si>
    <t xml:space="preserve"> Substructure</t>
  </si>
  <si>
    <t xml:space="preserve"> Adjusted Basic Residence Cost x A10</t>
  </si>
  <si>
    <t xml:space="preserve"> Adjusted Basic Residence Cost x B10</t>
  </si>
  <si>
    <t xml:space="preserve"> Additional Features</t>
  </si>
  <si>
    <t>SubTot: Adjusted BaseResidence</t>
  </si>
  <si>
    <t xml:space="preserve"> Adjusted Basic Residence Cost</t>
  </si>
  <si>
    <t xml:space="preserve"> Adjusted Basic Residence Cost xB10</t>
  </si>
  <si>
    <t>Area Office</t>
  </si>
  <si>
    <t>City</t>
  </si>
  <si>
    <t>State</t>
  </si>
  <si>
    <t xml:space="preserve">AK </t>
  </si>
  <si>
    <t>PHOENIX</t>
  </si>
  <si>
    <t>Zip Code</t>
  </si>
  <si>
    <t>996</t>
  </si>
  <si>
    <t>997</t>
  </si>
  <si>
    <t>998</t>
  </si>
  <si>
    <t>CLIMATE</t>
  </si>
  <si>
    <t>Standard</t>
  </si>
  <si>
    <t>Severe</t>
  </si>
  <si>
    <t>Hostile</t>
  </si>
  <si>
    <t>HOSTILE</t>
  </si>
  <si>
    <r>
      <t>E</t>
    </r>
    <r>
      <rPr>
        <sz val="10"/>
        <rFont val="Arial"/>
        <family val="2"/>
      </rPr>
      <t>astern</t>
    </r>
  </si>
  <si>
    <t>1 Bedroom</t>
  </si>
  <si>
    <t>SEVERE</t>
  </si>
  <si>
    <r>
      <t>C</t>
    </r>
    <r>
      <rPr>
        <sz val="10"/>
        <rFont val="Arial"/>
        <family val="2"/>
      </rPr>
      <t>entral</t>
    </r>
  </si>
  <si>
    <t>2 Bedroom</t>
  </si>
  <si>
    <t>STANDARD</t>
  </si>
  <si>
    <r>
      <t>W</t>
    </r>
    <r>
      <rPr>
        <sz val="10"/>
        <rFont val="Arial"/>
        <family val="2"/>
      </rPr>
      <t>estern</t>
    </r>
  </si>
  <si>
    <t>3 Bedroom</t>
  </si>
  <si>
    <t>4 Bedroom</t>
  </si>
  <si>
    <t>OVERHEAD Multiplier 1=DC&amp;E, 1.75 =TDC</t>
  </si>
  <si>
    <t>Palm Beach</t>
  </si>
  <si>
    <t>Miami</t>
  </si>
  <si>
    <t>Fort Myers</t>
  </si>
  <si>
    <t>Fort Pierce (St. Lucie Co.)</t>
  </si>
  <si>
    <t>5 Bedroom</t>
  </si>
  <si>
    <t>TDC's</t>
  </si>
  <si>
    <t>STATE</t>
  </si>
  <si>
    <t>TRIBID</t>
  </si>
  <si>
    <t>SUFFIX</t>
  </si>
  <si>
    <t>TRIBCODE</t>
  </si>
  <si>
    <t>TRIBAL AREA</t>
  </si>
  <si>
    <t>IHA</t>
  </si>
  <si>
    <t>INDIAN_H</t>
  </si>
  <si>
    <t>ONAP OFFICE</t>
  </si>
  <si>
    <t>ELIGIBLE</t>
  </si>
  <si>
    <t>FEDREC</t>
  </si>
  <si>
    <t>ZIP3</t>
  </si>
  <si>
    <t>AREA</t>
  </si>
  <si>
    <t>LOCATION</t>
  </si>
  <si>
    <t>REMARKS</t>
  </si>
  <si>
    <t>TDC</t>
  </si>
  <si>
    <t>FINAL TDC</t>
  </si>
  <si>
    <t>1BDRM</t>
  </si>
  <si>
    <t>2BDRM</t>
  </si>
  <si>
    <t>3BDRM</t>
  </si>
  <si>
    <t>4BDRM</t>
  </si>
  <si>
    <t>5BDRM</t>
  </si>
  <si>
    <t>AK</t>
  </si>
  <si>
    <t>02-0000.000</t>
  </si>
  <si>
    <t>703</t>
  </si>
  <si>
    <t>020150</t>
  </si>
  <si>
    <t>Afognak</t>
  </si>
  <si>
    <t>AK013</t>
  </si>
  <si>
    <t>Kodiak Island HA</t>
  </si>
  <si>
    <t>Alaska</t>
  </si>
  <si>
    <t>ALASKA</t>
  </si>
  <si>
    <t>W</t>
  </si>
  <si>
    <t/>
  </si>
  <si>
    <t>A07</t>
  </si>
  <si>
    <t>02x</t>
  </si>
  <si>
    <t>Ahtna Native Regional Corporation</t>
  </si>
  <si>
    <t>AK011</t>
  </si>
  <si>
    <t>Copper River Basin Reg.HA</t>
  </si>
  <si>
    <t>02-6020.000</t>
  </si>
  <si>
    <t>020014</t>
  </si>
  <si>
    <t>Akhiok</t>
  </si>
  <si>
    <t>02-6030.000</t>
  </si>
  <si>
    <t>020020</t>
  </si>
  <si>
    <t>Akiachak</t>
  </si>
  <si>
    <t>AK009</t>
  </si>
  <si>
    <t>AVCP HA</t>
  </si>
  <si>
    <t>02-6040.000</t>
  </si>
  <si>
    <t>020026</t>
  </si>
  <si>
    <t>Akiak</t>
  </si>
  <si>
    <t>02-6050.000</t>
  </si>
  <si>
    <t>020038</t>
  </si>
  <si>
    <t>Akutan</t>
  </si>
  <si>
    <t>AK016</t>
  </si>
  <si>
    <t>Aleutian HA</t>
  </si>
  <si>
    <t>02-6060.000</t>
  </si>
  <si>
    <t>020043</t>
  </si>
  <si>
    <t>Alakanuk</t>
  </si>
  <si>
    <t>02-6070.000</t>
  </si>
  <si>
    <t>020046</t>
  </si>
  <si>
    <t>Alatna</t>
  </si>
  <si>
    <t>AK007</t>
  </si>
  <si>
    <t>Interior Reg HA</t>
  </si>
  <si>
    <t>02-6080.000</t>
  </si>
  <si>
    <t>020049</t>
  </si>
  <si>
    <t>Aleknagik</t>
  </si>
  <si>
    <t>AK010</t>
  </si>
  <si>
    <t>Bristol Bay HA</t>
  </si>
  <si>
    <t>A14</t>
  </si>
  <si>
    <t>Aleutian Regional Corp.</t>
  </si>
  <si>
    <t>02-8275.000</t>
  </si>
  <si>
    <t>021362</t>
  </si>
  <si>
    <t>Algaaciq (St. Mary's)</t>
  </si>
  <si>
    <t>02-6110.000</t>
  </si>
  <si>
    <t>020056</t>
  </si>
  <si>
    <t>Allakaket</t>
  </si>
  <si>
    <t>02-6120.000</t>
  </si>
  <si>
    <t>020062</t>
  </si>
  <si>
    <t>Ambler</t>
  </si>
  <si>
    <t>AK006</t>
  </si>
  <si>
    <t>Northwest Inupiat HA</t>
  </si>
  <si>
    <t>02-6130.000</t>
  </si>
  <si>
    <t>020068</t>
  </si>
  <si>
    <t>Anaktuvuk Pass</t>
  </si>
  <si>
    <t>AK005</t>
  </si>
  <si>
    <t>TNHA HA</t>
  </si>
  <si>
    <t>02-6140.000</t>
  </si>
  <si>
    <t>021780</t>
  </si>
  <si>
    <t>Andreafski</t>
  </si>
  <si>
    <t>02-6150.000</t>
  </si>
  <si>
    <t>020092</t>
  </si>
  <si>
    <t>Angoon</t>
  </si>
  <si>
    <t>AK004</t>
  </si>
  <si>
    <t>Tlingit-Haida Reg. HA</t>
  </si>
  <si>
    <t>02-6160.000</t>
  </si>
  <si>
    <t>020098</t>
  </si>
  <si>
    <t>Aniak</t>
  </si>
  <si>
    <t>02-0110.000</t>
  </si>
  <si>
    <t>021010</t>
  </si>
  <si>
    <t>Annette Island  (Metlakakla)</t>
  </si>
  <si>
    <t>AK002</t>
  </si>
  <si>
    <t>Metlakatla Housing Authority</t>
  </si>
  <si>
    <t>02-6180.000</t>
  </si>
  <si>
    <t>020109</t>
  </si>
  <si>
    <t>Anvik</t>
  </si>
  <si>
    <t>02-6195.000</t>
  </si>
  <si>
    <t>020114</t>
  </si>
  <si>
    <t>Arctic Village</t>
  </si>
  <si>
    <t>02-6210.000</t>
  </si>
  <si>
    <t>020119</t>
  </si>
  <si>
    <t>Atka</t>
  </si>
  <si>
    <t>02-6230.000</t>
  </si>
  <si>
    <t>020124</t>
  </si>
  <si>
    <t>Atmautluak</t>
  </si>
  <si>
    <t>02-6220.000</t>
  </si>
  <si>
    <t>020116</t>
  </si>
  <si>
    <t>Atqasuk (Atkasook)</t>
  </si>
  <si>
    <t>02-6260.000</t>
  </si>
  <si>
    <t>020138</t>
  </si>
  <si>
    <t>Barrow</t>
  </si>
  <si>
    <t>02-6280.000</t>
  </si>
  <si>
    <t>020158</t>
  </si>
  <si>
    <t>Beaver</t>
  </si>
  <si>
    <t>02-6290.000</t>
  </si>
  <si>
    <t>020162</t>
  </si>
  <si>
    <t>Belkofski</t>
  </si>
  <si>
    <t>Bering Straits Regional Corp. (BSRHA)</t>
  </si>
  <si>
    <t>Bering Straits Regional HA</t>
  </si>
  <si>
    <t>02-6330.000</t>
  </si>
  <si>
    <t>020870</t>
  </si>
  <si>
    <t>Bill Moore's Slough</t>
  </si>
  <si>
    <t>02-6350.000</t>
  </si>
  <si>
    <t>020178</t>
  </si>
  <si>
    <t>Birch Creek</t>
  </si>
  <si>
    <t>02-6370.000</t>
  </si>
  <si>
    <t>020188</t>
  </si>
  <si>
    <t>Brevig Mission</t>
  </si>
  <si>
    <t>AK008</t>
  </si>
  <si>
    <t>Bering Straits Reg HA</t>
  </si>
  <si>
    <t>A35</t>
  </si>
  <si>
    <t>Bristol Bay Native Regional Corp.</t>
  </si>
  <si>
    <t>02-6380.000</t>
  </si>
  <si>
    <t>020192</t>
  </si>
  <si>
    <t>Buckland</t>
  </si>
  <si>
    <t>A42</t>
  </si>
  <si>
    <t>Calista Native Regional Corporation</t>
  </si>
  <si>
    <t>02-6400.000</t>
  </si>
  <si>
    <t>020212</t>
  </si>
  <si>
    <t>Cantwell</t>
  </si>
  <si>
    <t>02-6440.000</t>
  </si>
  <si>
    <t>020236</t>
  </si>
  <si>
    <t>Chalkyitsik</t>
  </si>
  <si>
    <t>02-6470.000</t>
  </si>
  <si>
    <t>020242</t>
  </si>
  <si>
    <t>Chanega</t>
  </si>
  <si>
    <t>AK015</t>
  </si>
  <si>
    <t>North Pacific Rim HA</t>
  </si>
  <si>
    <t>02-6460.000</t>
  </si>
  <si>
    <t>020241</t>
  </si>
  <si>
    <t>Chefornak</t>
  </si>
  <si>
    <t>02-6480.000</t>
  </si>
  <si>
    <t>020248</t>
  </si>
  <si>
    <t>Chevak</t>
  </si>
  <si>
    <t>561</t>
  </si>
  <si>
    <t>020251</t>
  </si>
  <si>
    <t>Chickaloon</t>
  </si>
  <si>
    <t>AK012</t>
  </si>
  <si>
    <t>Cook Inlet HA</t>
  </si>
  <si>
    <t>02-6500.000</t>
  </si>
  <si>
    <t>020261</t>
  </si>
  <si>
    <t>Chignik</t>
  </si>
  <si>
    <t>02-6510.000</t>
  </si>
  <si>
    <t>020259</t>
  </si>
  <si>
    <t>Chignik Lagoon</t>
  </si>
  <si>
    <t>02-6515.000</t>
  </si>
  <si>
    <t>Chignik Lake</t>
  </si>
  <si>
    <t>02-6530.000</t>
  </si>
  <si>
    <t>020260</t>
  </si>
  <si>
    <t>Chilkat</t>
  </si>
  <si>
    <t>02-6535.000</t>
  </si>
  <si>
    <t>020262</t>
  </si>
  <si>
    <t>Chilkoot</t>
  </si>
  <si>
    <t>02-6550.000</t>
  </si>
  <si>
    <t>020266</t>
  </si>
  <si>
    <t>Chistochina</t>
  </si>
  <si>
    <t>02-6560.000</t>
  </si>
  <si>
    <t>020272</t>
  </si>
  <si>
    <t>Chitina</t>
  </si>
  <si>
    <t>02-6570.000</t>
  </si>
  <si>
    <t>020276</t>
  </si>
  <si>
    <t>49</t>
  </si>
  <si>
    <t>Chugach Native Regional Corporation</t>
  </si>
  <si>
    <t>02-6580.000</t>
  </si>
  <si>
    <t>020115</t>
  </si>
  <si>
    <t>Chuloonawick</t>
  </si>
  <si>
    <t>02-6610.000</t>
  </si>
  <si>
    <t>020288</t>
  </si>
  <si>
    <t>Circle</t>
  </si>
  <si>
    <t>02-6620.000</t>
  </si>
  <si>
    <t>020302</t>
  </si>
  <si>
    <t>Clark's Point</t>
  </si>
  <si>
    <t>A56</t>
  </si>
  <si>
    <t>Cook Inlet Native Regional Corporation</t>
  </si>
  <si>
    <t>02-6650.000</t>
  </si>
  <si>
    <t>020338</t>
  </si>
  <si>
    <t>Council</t>
  </si>
  <si>
    <t>02-6660.000</t>
  </si>
  <si>
    <t>020344</t>
  </si>
  <si>
    <t>Craig</t>
  </si>
  <si>
    <t>02-6670.000</t>
  </si>
  <si>
    <t>020350</t>
  </si>
  <si>
    <t>Crooked Creek</t>
  </si>
  <si>
    <t>02-6700.000</t>
  </si>
  <si>
    <t>020374</t>
  </si>
  <si>
    <t>Curyung (aka Dillingham)</t>
  </si>
  <si>
    <t>02-6690.000</t>
  </si>
  <si>
    <t>020362</t>
  </si>
  <si>
    <t>Deering</t>
  </si>
  <si>
    <t>02-6720.000</t>
  </si>
  <si>
    <t>020392</t>
  </si>
  <si>
    <t>Dot Lake</t>
  </si>
  <si>
    <t>842</t>
  </si>
  <si>
    <t>020396</t>
  </si>
  <si>
    <t>Douglas</t>
  </si>
  <si>
    <t>A63</t>
  </si>
  <si>
    <t>Doyon Native Regional Corporation</t>
  </si>
  <si>
    <t>02-6740.000</t>
  </si>
  <si>
    <t>020402</t>
  </si>
  <si>
    <t>Eagle</t>
  </si>
  <si>
    <t>02-6750.000</t>
  </si>
  <si>
    <t>020422</t>
  </si>
  <si>
    <t>Eek</t>
  </si>
  <si>
    <t>02-6760.000</t>
  </si>
  <si>
    <t>020428</t>
  </si>
  <si>
    <t>Egegik</t>
  </si>
  <si>
    <t>02-6770.000</t>
  </si>
  <si>
    <t>020440</t>
  </si>
  <si>
    <t>Eklutna</t>
  </si>
  <si>
    <t>02-6780.000</t>
  </si>
  <si>
    <t>020444</t>
  </si>
  <si>
    <t>Ekuk</t>
  </si>
  <si>
    <t>02-6790.000</t>
  </si>
  <si>
    <t>020452</t>
  </si>
  <si>
    <t>Ekwok</t>
  </si>
  <si>
    <t>02-6800.000</t>
  </si>
  <si>
    <t>020464</t>
  </si>
  <si>
    <t>Elim</t>
  </si>
  <si>
    <t>02-6810.000</t>
  </si>
  <si>
    <t>020477</t>
  </si>
  <si>
    <t>Emmonak</t>
  </si>
  <si>
    <t>02-6830.000</t>
  </si>
  <si>
    <t>020492</t>
  </si>
  <si>
    <t>Evansville (Bettles Field)</t>
  </si>
  <si>
    <t>02-6840.000</t>
  </si>
  <si>
    <t>020494</t>
  </si>
  <si>
    <t>Eyak</t>
  </si>
  <si>
    <t>02-6850.000</t>
  </si>
  <si>
    <t>020505</t>
  </si>
  <si>
    <t>False Pass</t>
  </si>
  <si>
    <t>02-6880.000</t>
  </si>
  <si>
    <t>020536</t>
  </si>
  <si>
    <t>Fort Yukon</t>
  </si>
  <si>
    <t>02-6900.000</t>
  </si>
  <si>
    <t>020552</t>
  </si>
  <si>
    <t>Gakona</t>
  </si>
  <si>
    <t>02-6910.000</t>
  </si>
  <si>
    <t>020558</t>
  </si>
  <si>
    <t>Galena</t>
  </si>
  <si>
    <t>02-6920.000</t>
  </si>
  <si>
    <t>020566</t>
  </si>
  <si>
    <t>Gambell</t>
  </si>
  <si>
    <t>02-6930.000</t>
  </si>
  <si>
    <t>020164</t>
  </si>
  <si>
    <t>Georgetown</t>
  </si>
  <si>
    <t>02-6950.000</t>
  </si>
  <si>
    <t>020589</t>
  </si>
  <si>
    <t>Golovin (Chinik)</t>
  </si>
  <si>
    <t>02-6960.000</t>
  </si>
  <si>
    <t>020595</t>
  </si>
  <si>
    <t>Goodnews Bay</t>
  </si>
  <si>
    <t>02-6970.000</t>
  </si>
  <si>
    <t>020606</t>
  </si>
  <si>
    <t>Grayling</t>
  </si>
  <si>
    <t>02-6990.000</t>
  </si>
  <si>
    <t>020614</t>
  </si>
  <si>
    <t>Gulkana</t>
  </si>
  <si>
    <t>02-7000.000</t>
  </si>
  <si>
    <t>020348</t>
  </si>
  <si>
    <t>Hamilton</t>
  </si>
  <si>
    <t>02-7010.000</t>
  </si>
  <si>
    <t>020636</t>
  </si>
  <si>
    <t>Healy Lake</t>
  </si>
  <si>
    <t>02-7040.000</t>
  </si>
  <si>
    <t>020648</t>
  </si>
  <si>
    <t>Holy Cross</t>
  </si>
  <si>
    <t>02-7050.000</t>
  </si>
  <si>
    <t>020662</t>
  </si>
  <si>
    <t>Hoonah</t>
  </si>
  <si>
    <t>02-7060.000</t>
  </si>
  <si>
    <t>020668</t>
  </si>
  <si>
    <t>Hooper Bay</t>
  </si>
  <si>
    <t>02-7070.000</t>
  </si>
  <si>
    <t>020686</t>
  </si>
  <si>
    <t>Hughes</t>
  </si>
  <si>
    <t>02-7080.000</t>
  </si>
  <si>
    <t>020692</t>
  </si>
  <si>
    <t>Huslia</t>
  </si>
  <si>
    <t>02-7090.000</t>
  </si>
  <si>
    <t>020698</t>
  </si>
  <si>
    <t>Hydaburg</t>
  </si>
  <si>
    <t>02-7100.000</t>
  </si>
  <si>
    <t>020710</t>
  </si>
  <si>
    <t>Igiugig</t>
  </si>
  <si>
    <t>02-7110.000</t>
  </si>
  <si>
    <t>020716</t>
  </si>
  <si>
    <t>Iliamna</t>
  </si>
  <si>
    <t>02-7120.000</t>
  </si>
  <si>
    <t>020380</t>
  </si>
  <si>
    <t>Inalik (Diomede)</t>
  </si>
  <si>
    <t>A21</t>
  </si>
  <si>
    <t>020185</t>
  </si>
  <si>
    <t>Inupiat Community</t>
  </si>
  <si>
    <t>02-7140.000</t>
  </si>
  <si>
    <t>020720</t>
  </si>
  <si>
    <t>Ivanoff Bay</t>
  </si>
  <si>
    <t>701</t>
  </si>
  <si>
    <t>020738</t>
  </si>
  <si>
    <t>Kaguyak</t>
  </si>
  <si>
    <t>02-7160.000</t>
  </si>
  <si>
    <t>020746</t>
  </si>
  <si>
    <t>Kake</t>
  </si>
  <si>
    <t>02-7170.000</t>
  </si>
  <si>
    <t>020756</t>
  </si>
  <si>
    <t>RS Means</t>
  </si>
  <si>
    <t>M&amp;S/B</t>
  </si>
  <si>
    <t>Kaktovik (Barter Island)</t>
  </si>
  <si>
    <t>02-7180.000</t>
  </si>
  <si>
    <t>020762</t>
  </si>
  <si>
    <t>Kalskag</t>
  </si>
  <si>
    <t>02-7190.000</t>
  </si>
  <si>
    <t>020770</t>
  </si>
  <si>
    <t>Kaltag</t>
  </si>
  <si>
    <t>35</t>
  </si>
  <si>
    <t>Kanatak</t>
  </si>
  <si>
    <t>02-7210.000</t>
  </si>
  <si>
    <t>020776</t>
  </si>
  <si>
    <t>Karluk</t>
  </si>
  <si>
    <t>02-7220.000</t>
  </si>
  <si>
    <t>020780</t>
  </si>
  <si>
    <t>Kasaan</t>
  </si>
  <si>
    <t>02-7230.000</t>
  </si>
  <si>
    <t>020784</t>
  </si>
  <si>
    <t>Kasigluk</t>
  </si>
  <si>
    <t>562</t>
  </si>
  <si>
    <t>020796</t>
  </si>
  <si>
    <t>Kenaitze</t>
  </si>
  <si>
    <t>843</t>
  </si>
  <si>
    <t>020800</t>
  </si>
  <si>
    <t>Ketchikan</t>
  </si>
  <si>
    <t>02-7260.000</t>
  </si>
  <si>
    <t>020806</t>
  </si>
  <si>
    <t>Kiana</t>
  </si>
  <si>
    <t>02-7270.000</t>
  </si>
  <si>
    <t>020812</t>
  </si>
  <si>
    <t>King Cove</t>
  </si>
  <si>
    <t>28</t>
  </si>
  <si>
    <t>020814</t>
  </si>
  <si>
    <t>King Island</t>
  </si>
  <si>
    <t>King Salmon</t>
  </si>
  <si>
    <t>02-7290.000</t>
  </si>
  <si>
    <t>020824</t>
  </si>
  <si>
    <t>Kipnuk</t>
  </si>
  <si>
    <t>02-7300.000</t>
  </si>
  <si>
    <t>020830</t>
  </si>
  <si>
    <t>Kivalina</t>
  </si>
  <si>
    <t>02-7310.000</t>
  </si>
  <si>
    <t>020836</t>
  </si>
  <si>
    <t>Base Cost, One Story, Ave., w/Crawl Space (Incl. one Bath)</t>
  </si>
  <si>
    <t>Base Cost, One Story, Ave., w/Crawl Space &amp; Suprinsul. (Incl. one Bath)</t>
  </si>
  <si>
    <t xml:space="preserve">Base Cost, Class D, Ave., w/Crawl Space (Incl. one Bath) &amp; Suprinsul. (Unit insul. cost from Means) </t>
  </si>
  <si>
    <t>Base Cost, Class D, Ave., w/Crawl Space (Incl. one Bath) &amp; Suprinsul. to Bsmt. (Unit cost from Means)</t>
  </si>
  <si>
    <t>One Story</t>
  </si>
  <si>
    <t>Klawock</t>
  </si>
  <si>
    <t>02-6640.000</t>
  </si>
  <si>
    <t>020322</t>
  </si>
  <si>
    <t>Kluti Kaah (Copper Center)</t>
  </si>
  <si>
    <t>02-7330.000</t>
  </si>
  <si>
    <t>029170</t>
  </si>
  <si>
    <t>Knik</t>
  </si>
  <si>
    <t>02-7340.000</t>
  </si>
  <si>
    <t>020845</t>
  </si>
  <si>
    <t>Kobuk</t>
  </si>
  <si>
    <t>02-7360.000</t>
  </si>
  <si>
    <t>020854</t>
  </si>
  <si>
    <t>Kokhanok</t>
  </si>
  <si>
    <t>02-7370.000</t>
  </si>
  <si>
    <t>020860</t>
  </si>
  <si>
    <t>Koliganek</t>
  </si>
  <si>
    <t>02-7380.000</t>
  </si>
  <si>
    <t>020864</t>
  </si>
  <si>
    <t>Kongiganak</t>
  </si>
  <si>
    <t>A70</t>
  </si>
  <si>
    <t>Koniag Native Regional Corporation</t>
  </si>
  <si>
    <t>02-7390.000</t>
  </si>
  <si>
    <t>020872</t>
  </si>
  <si>
    <t>Kotlik</t>
  </si>
  <si>
    <t>02-7400.000</t>
  </si>
  <si>
    <t>020878</t>
  </si>
  <si>
    <t>Kotzebue</t>
  </si>
  <si>
    <t>02-7410.000</t>
  </si>
  <si>
    <t>020884</t>
  </si>
  <si>
    <t>Koyuk</t>
  </si>
  <si>
    <t>02-7415.000</t>
  </si>
  <si>
    <t>020889</t>
  </si>
  <si>
    <t>Koyukuk</t>
  </si>
  <si>
    <t>02-7430.000</t>
  </si>
  <si>
    <t>020894</t>
  </si>
  <si>
    <t>Kwethluk</t>
  </si>
  <si>
    <t>02-7440.000</t>
  </si>
  <si>
    <t>020900</t>
  </si>
  <si>
    <t>Kwigillingok</t>
  </si>
  <si>
    <t>02-8180.000</t>
  </si>
  <si>
    <t>020902</t>
  </si>
  <si>
    <t>Kwinhagak (Quinhagak)</t>
  </si>
  <si>
    <t>02-7460.000</t>
  </si>
  <si>
    <t>020908</t>
  </si>
  <si>
    <t>Larsen Bay</t>
  </si>
  <si>
    <t>702</t>
  </si>
  <si>
    <t>021764</t>
  </si>
  <si>
    <t>02-7470.000</t>
  </si>
  <si>
    <t>020932</t>
  </si>
  <si>
    <t>Levelock</t>
  </si>
  <si>
    <t>02-7480.000</t>
  </si>
  <si>
    <t>020938</t>
  </si>
  <si>
    <t>Lime</t>
  </si>
  <si>
    <t>02-7510.000</t>
  </si>
  <si>
    <t>020950</t>
  </si>
  <si>
    <t>Lower.Kalskag</t>
  </si>
  <si>
    <t>02-7540.000</t>
  </si>
  <si>
    <t>020966</t>
  </si>
  <si>
    <t>Manley Hot Springs</t>
  </si>
  <si>
    <t>02-7550.000</t>
  </si>
  <si>
    <t>020974</t>
  </si>
  <si>
    <t>Manokotak</t>
  </si>
  <si>
    <t>02-7560.000</t>
  </si>
  <si>
    <t>020979</t>
  </si>
  <si>
    <t>Marshall</t>
  </si>
  <si>
    <t>02-7570.000</t>
  </si>
  <si>
    <t>021602</t>
  </si>
  <si>
    <t>Mary's Igloo</t>
  </si>
  <si>
    <t>02-7520.000</t>
  </si>
  <si>
    <t>020962</t>
  </si>
  <si>
    <t>McGrath</t>
  </si>
  <si>
    <t>02-7590.000</t>
  </si>
  <si>
    <t>020990</t>
  </si>
  <si>
    <t>Mekoryuk</t>
  </si>
  <si>
    <t>02-7600.000</t>
  </si>
  <si>
    <t>021004</t>
  </si>
  <si>
    <t>Mentasta</t>
  </si>
  <si>
    <t>02-7630.000</t>
  </si>
  <si>
    <t>021016</t>
  </si>
  <si>
    <t>Minto</t>
  </si>
  <si>
    <t>02-7650.000</t>
  </si>
  <si>
    <t>021040</t>
  </si>
  <si>
    <t>Mountain Village</t>
  </si>
  <si>
    <t>02-7680.000</t>
  </si>
  <si>
    <t>021062</t>
  </si>
  <si>
    <t>Naknek</t>
  </si>
  <si>
    <t>A77</t>
  </si>
  <si>
    <t>NANA Native Regional Corporation</t>
  </si>
  <si>
    <t>02-6820.000</t>
  </si>
  <si>
    <t>020482</t>
  </si>
  <si>
    <t>02-7690.000</t>
  </si>
  <si>
    <t>020096</t>
  </si>
  <si>
    <t>Napaimute</t>
  </si>
  <si>
    <t>02-7700.000</t>
  </si>
  <si>
    <t>021069</t>
  </si>
  <si>
    <t>Napakiak</t>
  </si>
  <si>
    <t>02-7710.000</t>
  </si>
  <si>
    <t>021075</t>
  </si>
  <si>
    <t>Napaskiak</t>
  </si>
  <si>
    <t>02-7720.000</t>
  </si>
  <si>
    <t>021080</t>
  </si>
  <si>
    <t>Nelson Lagoon</t>
  </si>
  <si>
    <t>02-7730.000</t>
  </si>
  <si>
    <t>021088</t>
  </si>
  <si>
    <t>Nenana</t>
  </si>
  <si>
    <t>02-7750.000</t>
  </si>
  <si>
    <t>021099</t>
  </si>
  <si>
    <t>New Stuyahok</t>
  </si>
  <si>
    <t>02-7740.000</t>
  </si>
  <si>
    <t>021094</t>
  </si>
  <si>
    <t>Newhalen</t>
  </si>
  <si>
    <t>02-7755.000</t>
  </si>
  <si>
    <t>021106</t>
  </si>
  <si>
    <t>Newtok</t>
  </si>
  <si>
    <t>02-7770.000</t>
  </si>
  <si>
    <t>021111</t>
  </si>
  <si>
    <t>Nightmute</t>
  </si>
  <si>
    <t>02-7780.000</t>
  </si>
  <si>
    <t>021116</t>
  </si>
  <si>
    <t>Nikolai</t>
  </si>
  <si>
    <t>02-7790.000</t>
  </si>
  <si>
    <t>021124</t>
  </si>
  <si>
    <t>Nikolski</t>
  </si>
  <si>
    <t>02-7800.000</t>
  </si>
  <si>
    <t>021130</t>
  </si>
  <si>
    <t>Ninilchik</t>
  </si>
  <si>
    <t>02-7810.000</t>
  </si>
  <si>
    <t>021136</t>
  </si>
  <si>
    <t>V1</t>
  </si>
  <si>
    <t>021142</t>
  </si>
  <si>
    <t>Nome</t>
  </si>
  <si>
    <t>02-7830.000</t>
  </si>
  <si>
    <t>021147</t>
  </si>
  <si>
    <t>Nondalton</t>
  </si>
  <si>
    <t>02-7840.000</t>
  </si>
  <si>
    <t>021154</t>
  </si>
  <si>
    <t>Noorvik</t>
  </si>
  <si>
    <t>02-7870.000</t>
  </si>
  <si>
    <t>021170</t>
  </si>
  <si>
    <t>Northway</t>
  </si>
  <si>
    <t>02-7880.000</t>
  </si>
  <si>
    <t>021174</t>
  </si>
  <si>
    <t>Nuiqsut</t>
  </si>
  <si>
    <t>02-7890.000</t>
  </si>
  <si>
    <t>021176</t>
  </si>
  <si>
    <t>Nulato</t>
  </si>
  <si>
    <t>02-7900.000</t>
  </si>
  <si>
    <t>021179</t>
  </si>
  <si>
    <t>Nunapitchuk</t>
  </si>
  <si>
    <t>02-7920.000</t>
  </si>
  <si>
    <t>020524</t>
  </si>
  <si>
    <t>Ohogamiut</t>
  </si>
  <si>
    <t>02-7930.000</t>
  </si>
  <si>
    <t>021184</t>
  </si>
  <si>
    <t>Old Harbor</t>
  </si>
  <si>
    <t>02-6310.000</t>
  </si>
  <si>
    <t>021186</t>
  </si>
  <si>
    <t>Orutsararmuit (Bethel)</t>
  </si>
  <si>
    <t>02-7950.000</t>
  </si>
  <si>
    <t>021188</t>
  </si>
  <si>
    <t>Oscarville</t>
  </si>
  <si>
    <t>02-7960.000</t>
  </si>
  <si>
    <t>021196</t>
  </si>
  <si>
    <t>Ouzinkie</t>
  </si>
  <si>
    <t>02-7970.000</t>
  </si>
  <si>
    <t>Paimiut</t>
  </si>
  <si>
    <t>14</t>
  </si>
  <si>
    <t>021205</t>
  </si>
  <si>
    <t>Pauloff Village</t>
  </si>
  <si>
    <t>02-8000.000</t>
  </si>
  <si>
    <t>021212</t>
  </si>
  <si>
    <t>Pedro Bay</t>
  </si>
  <si>
    <t>02-8010.000</t>
  </si>
  <si>
    <t>021236</t>
  </si>
  <si>
    <t>Perryville</t>
  </si>
  <si>
    <t>Q1</t>
  </si>
  <si>
    <t>021244</t>
  </si>
  <si>
    <t>Petersburg</t>
  </si>
  <si>
    <t>02-8035.000</t>
  </si>
  <si>
    <t>021256</t>
  </si>
  <si>
    <t>Pilot Point</t>
  </si>
  <si>
    <t>02-8040.000</t>
  </si>
  <si>
    <t>021262</t>
  </si>
  <si>
    <t>Pilot Station</t>
  </si>
  <si>
    <t>02-8050.000</t>
  </si>
  <si>
    <t>021266</t>
  </si>
  <si>
    <t>Pitka's Point</t>
  </si>
  <si>
    <t>02-8060.000</t>
  </si>
  <si>
    <t>021274</t>
  </si>
  <si>
    <t>Platinum</t>
  </si>
  <si>
    <t>02-8080.000</t>
  </si>
  <si>
    <t>021279</t>
  </si>
  <si>
    <t>Point Hope</t>
  </si>
  <si>
    <t>02-8090.000</t>
  </si>
  <si>
    <t>021280</t>
  </si>
  <si>
    <t>Point Lay</t>
  </si>
  <si>
    <t>02-8130.000</t>
  </si>
  <si>
    <t>021298</t>
  </si>
  <si>
    <t>Port Graham</t>
  </si>
  <si>
    <t>02-8140.000</t>
  </si>
  <si>
    <t>021304</t>
  </si>
  <si>
    <t>Port Heiden</t>
  </si>
  <si>
    <t>02-8150.000</t>
  </si>
  <si>
    <t>021316</t>
  </si>
  <si>
    <t>Port Lions</t>
  </si>
  <si>
    <t>02-8120.000</t>
  </si>
  <si>
    <t>020060</t>
  </si>
  <si>
    <t>Portage Creek</t>
  </si>
  <si>
    <t>02-8320.000</t>
  </si>
  <si>
    <t>021392</t>
  </si>
  <si>
    <t>Qagan Tayagungin (Sand Point)</t>
  </si>
  <si>
    <t>02-8860.000</t>
  </si>
  <si>
    <t>021675</t>
  </si>
  <si>
    <t>Qawalangin (Unalaska)</t>
  </si>
  <si>
    <t>02-8190.000</t>
  </si>
  <si>
    <t>021334</t>
  </si>
  <si>
    <t>Rampart</t>
  </si>
  <si>
    <t>02-8200.000</t>
  </si>
  <si>
    <t>021338</t>
  </si>
  <si>
    <t>Red Devil</t>
  </si>
  <si>
    <t>02-8230.000</t>
  </si>
  <si>
    <t>021346</t>
  </si>
  <si>
    <t>Ruby</t>
  </si>
  <si>
    <t>02-8245.000</t>
  </si>
  <si>
    <t>021352</t>
  </si>
  <si>
    <t>Russian Mission (Yukon)</t>
  </si>
  <si>
    <t>02-8260.000</t>
  </si>
  <si>
    <t>2</t>
  </si>
  <si>
    <t>021319</t>
  </si>
  <si>
    <t>Saint George</t>
  </si>
  <si>
    <t>02-8280.000</t>
  </si>
  <si>
    <t>021370</t>
  </si>
  <si>
    <t>Saint Michael</t>
  </si>
  <si>
    <t>1</t>
  </si>
  <si>
    <t>021318</t>
  </si>
  <si>
    <t>Saint Paul</t>
  </si>
  <si>
    <t>02-8300.000</t>
  </si>
  <si>
    <t>021375</t>
  </si>
  <si>
    <t>Salamatoff</t>
  </si>
  <si>
    <t>02-8340.000</t>
  </si>
  <si>
    <t>021400</t>
  </si>
  <si>
    <t>Savoonga</t>
  </si>
  <si>
    <t>02-8350.000</t>
  </si>
  <si>
    <t>021406</t>
  </si>
  <si>
    <t>Saxman</t>
  </si>
  <si>
    <t>02-8360.000</t>
  </si>
  <si>
    <t>021412</t>
  </si>
  <si>
    <t>Scammon Bay</t>
  </si>
  <si>
    <t>02-8380.000</t>
  </si>
  <si>
    <t>021424</t>
  </si>
  <si>
    <t>Selawik</t>
  </si>
  <si>
    <t>02-8390.000</t>
  </si>
  <si>
    <t>021428</t>
  </si>
  <si>
    <t>Seldovia</t>
  </si>
  <si>
    <t>02-8410.000</t>
  </si>
  <si>
    <t>021440</t>
  </si>
  <si>
    <t>Shageluk</t>
  </si>
  <si>
    <t>02-8420.000</t>
  </si>
  <si>
    <t>021448</t>
  </si>
  <si>
    <t>Shaktoolik</t>
  </si>
  <si>
    <t>02-8430.000</t>
  </si>
  <si>
    <t>021454</t>
  </si>
  <si>
    <t>Sheldon's Point</t>
  </si>
  <si>
    <t>02-8440.000</t>
  </si>
  <si>
    <t>021467</t>
  </si>
  <si>
    <t>Shishmaref</t>
  </si>
  <si>
    <t>02-8450.000</t>
  </si>
  <si>
    <t>021476</t>
  </si>
  <si>
    <t>Shungnak</t>
  </si>
  <si>
    <t>99</t>
  </si>
  <si>
    <t>021484</t>
  </si>
  <si>
    <t>Sitka (Baranof Island HA)</t>
  </si>
  <si>
    <t>AK017</t>
  </si>
  <si>
    <t>Baranof Island HA</t>
  </si>
  <si>
    <t>844</t>
  </si>
  <si>
    <t>021488</t>
  </si>
  <si>
    <t>Skagway</t>
  </si>
  <si>
    <t>02-8490.000</t>
  </si>
  <si>
    <t>021496</t>
  </si>
  <si>
    <t>Sleetmute</t>
  </si>
  <si>
    <t>02-8510.000</t>
  </si>
  <si>
    <t>021502</t>
  </si>
  <si>
    <t>Solomon</t>
  </si>
  <si>
    <t>02-8530.000</t>
  </si>
  <si>
    <t>021513</t>
  </si>
  <si>
    <t>South Naknek</t>
  </si>
  <si>
    <t>02-8560.000</t>
  </si>
  <si>
    <t>021532</t>
  </si>
  <si>
    <t>Stebbins</t>
  </si>
  <si>
    <t>02-8570.000</t>
  </si>
  <si>
    <t>021542</t>
  </si>
  <si>
    <t>Stevens</t>
  </si>
  <si>
    <t>02-8580.000</t>
  </si>
  <si>
    <t>021550</t>
  </si>
  <si>
    <t>Stoney River</t>
  </si>
  <si>
    <t>02-8600.000</t>
  </si>
  <si>
    <t>021568</t>
  </si>
  <si>
    <t>Takotna</t>
  </si>
  <si>
    <t>02-8610.000</t>
  </si>
  <si>
    <t>021579</t>
  </si>
  <si>
    <t>Tanacross</t>
  </si>
  <si>
    <t>02-8620.000</t>
  </si>
  <si>
    <t>021585</t>
  </si>
  <si>
    <t>Tanana</t>
  </si>
  <si>
    <t>02-8640.000</t>
  </si>
  <si>
    <t>021597</t>
  </si>
  <si>
    <t>Tatitlek</t>
  </si>
  <si>
    <t>02-8650.000</t>
  </si>
  <si>
    <t>021598</t>
  </si>
  <si>
    <t>Tazlina</t>
  </si>
  <si>
    <t>02-8670.000</t>
  </si>
  <si>
    <t>021606</t>
  </si>
  <si>
    <t>Telida</t>
  </si>
  <si>
    <t>02-8680.000</t>
  </si>
  <si>
    <t>021604</t>
  </si>
  <si>
    <t>Teller</t>
  </si>
  <si>
    <t>02-8690.000</t>
  </si>
  <si>
    <t>021616</t>
  </si>
  <si>
    <t>Tetlin</t>
  </si>
  <si>
    <t>A84</t>
  </si>
  <si>
    <t>Tlingit and Haida</t>
  </si>
  <si>
    <t>02-8720.000</t>
  </si>
  <si>
    <t>021628</t>
  </si>
  <si>
    <t>Togiak</t>
  </si>
  <si>
    <t>02-8730.000</t>
  </si>
  <si>
    <t>021640</t>
  </si>
  <si>
    <t>Toksook Bay</t>
  </si>
  <si>
    <t>02-8755.000</t>
  </si>
  <si>
    <t>021646</t>
  </si>
  <si>
    <t>Tuluksak</t>
  </si>
  <si>
    <t>02-8765.000</t>
  </si>
  <si>
    <t>021651</t>
  </si>
  <si>
    <t>Tuntutuliak</t>
  </si>
  <si>
    <t>02-8770.000</t>
  </si>
  <si>
    <t>021653</t>
  </si>
  <si>
    <t>Tununak</t>
  </si>
  <si>
    <t>02-8780.000</t>
  </si>
  <si>
    <t>021656</t>
  </si>
  <si>
    <t>Twin Hills</t>
  </si>
  <si>
    <t>AK018</t>
  </si>
  <si>
    <t>Kasiguluk Tribal Upiak HA</t>
  </si>
  <si>
    <t>02-8790.000</t>
  </si>
  <si>
    <t>021664</t>
  </si>
  <si>
    <t>Tyonek</t>
  </si>
  <si>
    <t>02-8810.000</t>
  </si>
  <si>
    <t>021666</t>
  </si>
  <si>
    <t>Ugashik</t>
  </si>
  <si>
    <t>42</t>
  </si>
  <si>
    <t>021110</t>
  </si>
  <si>
    <t>Umkumiute</t>
  </si>
  <si>
    <t>02-8850.000</t>
  </si>
  <si>
    <t>021670</t>
  </si>
  <si>
    <t>Unalakleet</t>
  </si>
  <si>
    <t>Unga</t>
  </si>
  <si>
    <t>02-8900.000</t>
  </si>
  <si>
    <t>021706</t>
  </si>
  <si>
    <t>Venetie</t>
  </si>
  <si>
    <t>02-8910.000</t>
  </si>
  <si>
    <t>021710</t>
  </si>
  <si>
    <t>Wainwright</t>
  </si>
  <si>
    <t>02-8920.000</t>
  </si>
  <si>
    <t>021717</t>
  </si>
  <si>
    <t>Wales</t>
  </si>
  <si>
    <t>02-8940.000</t>
  </si>
  <si>
    <t>021742</t>
  </si>
  <si>
    <t>White Mountain</t>
  </si>
  <si>
    <t>V2</t>
  </si>
  <si>
    <t>021772</t>
  </si>
  <si>
    <t>Wrangell</t>
  </si>
  <si>
    <t>02-8980.000</t>
  </si>
  <si>
    <t>021778</t>
  </si>
  <si>
    <t>Yakutat</t>
  </si>
  <si>
    <t>AL</t>
  </si>
  <si>
    <t>01-9999.129</t>
  </si>
  <si>
    <t>01x</t>
  </si>
  <si>
    <t>MOWA Band of Choctaw Indians</t>
  </si>
  <si>
    <t>AL205</t>
  </si>
  <si>
    <t>MOWA Choctaw Housing Authority</t>
  </si>
  <si>
    <t>Eastern/Woodlands</t>
  </si>
  <si>
    <t>366</t>
  </si>
  <si>
    <t>Mobile</t>
  </si>
  <si>
    <t>E</t>
  </si>
  <si>
    <t>01-2865.000</t>
  </si>
  <si>
    <t>011857</t>
  </si>
  <si>
    <t>Poarch Band of Creek Indians</t>
  </si>
  <si>
    <t>AL204</t>
  </si>
  <si>
    <t>Poarch Creek Indian Housing Authority</t>
  </si>
  <si>
    <t>365</t>
  </si>
  <si>
    <t>CT</t>
  </si>
  <si>
    <t>09-2145.000</t>
  </si>
  <si>
    <t>090608</t>
  </si>
  <si>
    <t>Mashantucket Pequot Tribe</t>
  </si>
  <si>
    <t>CT050</t>
  </si>
  <si>
    <t>Mashantucket Pequot Indian Housing Autho</t>
  </si>
  <si>
    <t>063</t>
  </si>
  <si>
    <t>New Haven</t>
  </si>
  <si>
    <t>09-9140.000</t>
  </si>
  <si>
    <t>09x</t>
  </si>
  <si>
    <t>Mohegan Tribe of Connecticut</t>
  </si>
  <si>
    <t>CT071</t>
  </si>
  <si>
    <t>Mohegan IHA</t>
  </si>
  <si>
    <t>FL</t>
  </si>
  <si>
    <t>12-2240.000</t>
  </si>
  <si>
    <t>121994</t>
  </si>
  <si>
    <t>331</t>
  </si>
  <si>
    <t>12-0225.000</t>
  </si>
  <si>
    <t>122822</t>
  </si>
  <si>
    <t>FL059</t>
  </si>
  <si>
    <t>Seminole Tribal Housing Authority</t>
  </si>
  <si>
    <t>Broward Co.</t>
  </si>
  <si>
    <t>336</t>
  </si>
  <si>
    <t>Tampa</t>
  </si>
  <si>
    <t>IA</t>
  </si>
  <si>
    <t>19-3280.000</t>
  </si>
  <si>
    <t>194582</t>
  </si>
  <si>
    <t>Sac &amp; Fox Tribe</t>
  </si>
  <si>
    <t>IA112</t>
  </si>
  <si>
    <t>Sac &amp; Fox Housing Authority</t>
  </si>
  <si>
    <t>523</t>
  </si>
  <si>
    <t>Cedar Rapids</t>
  </si>
  <si>
    <t>C</t>
  </si>
  <si>
    <t>IN</t>
  </si>
  <si>
    <t>26-0000.039</t>
  </si>
  <si>
    <t>26x</t>
  </si>
  <si>
    <t>Pokagon Band of Potawatomi</t>
  </si>
  <si>
    <t>MI200</t>
  </si>
  <si>
    <t>Pokogan Band Potowatomi HA</t>
  </si>
  <si>
    <t>463</t>
  </si>
  <si>
    <t>Michigan City</t>
  </si>
  <si>
    <t>MA</t>
  </si>
  <si>
    <t>25-9190.000</t>
  </si>
  <si>
    <t>250521</t>
  </si>
  <si>
    <t>Wampanoag Tribe - Aquinnah</t>
  </si>
  <si>
    <t>MA176</t>
  </si>
  <si>
    <t>Aquinnah Wampanoag Tribal Housing Author</t>
  </si>
  <si>
    <t>026</t>
  </si>
  <si>
    <t>Cape Cod</t>
  </si>
  <si>
    <t>+25%Resort</t>
  </si>
  <si>
    <t>Wampanoag Tribe - Mashpee</t>
  </si>
  <si>
    <t>025</t>
  </si>
  <si>
    <t>New Bedford</t>
  </si>
  <si>
    <t>ME</t>
  </si>
  <si>
    <t>23-9999.003</t>
  </si>
  <si>
    <t>23x</t>
  </si>
  <si>
    <t>Aroostook Band of Micmac</t>
  </si>
  <si>
    <t>ME034</t>
  </si>
  <si>
    <t>Aroostook Band of Micmac Indians H.A.</t>
  </si>
  <si>
    <t>047</t>
  </si>
  <si>
    <t>Presque Isle</t>
  </si>
  <si>
    <t>231390</t>
  </si>
  <si>
    <t>Houlton Band of Maliseets</t>
  </si>
  <si>
    <t>ME031</t>
  </si>
  <si>
    <t>Houlton Band of Maliseet Indians Tribal</t>
  </si>
  <si>
    <t>23-1575.000</t>
  </si>
  <si>
    <t>231420</t>
  </si>
  <si>
    <t>Crawl Space Foundation (Baseline)</t>
  </si>
  <si>
    <t>Slab on Grade (Deduct)</t>
  </si>
  <si>
    <t>Indian Township Passamaquody</t>
  </si>
  <si>
    <t>ME014</t>
  </si>
  <si>
    <t>Indian Township Passamaquoddy Reserv. Hs</t>
  </si>
  <si>
    <t>044</t>
  </si>
  <si>
    <t>Bangor</t>
  </si>
  <si>
    <t>23-2760.000</t>
  </si>
  <si>
    <t>232382</t>
  </si>
  <si>
    <t>Penobscot Tribe</t>
  </si>
  <si>
    <t>ME012</t>
  </si>
  <si>
    <t>Penobscot Tribal Reservation Housing Aut</t>
  </si>
  <si>
    <t>23-2695.000</t>
  </si>
  <si>
    <t>232452</t>
  </si>
  <si>
    <t>Pleasant Point Passamaquody</t>
  </si>
  <si>
    <t>ME013</t>
  </si>
  <si>
    <t>Pleasant Point Passamaquoddy Reserv. Hou</t>
  </si>
  <si>
    <t>MI</t>
  </si>
  <si>
    <t>26-0170.000</t>
  </si>
  <si>
    <t>262302</t>
  </si>
  <si>
    <t>Bay Mills Indian Community</t>
  </si>
  <si>
    <t>MI062</t>
  </si>
  <si>
    <t>Bay Mills Housing Authority</t>
  </si>
  <si>
    <t>497</t>
  </si>
  <si>
    <t>Sault Ste. Mari</t>
  </si>
  <si>
    <t>26-1370.000</t>
  </si>
  <si>
    <t>262548</t>
  </si>
  <si>
    <t>Grand Traverse Band</t>
  </si>
  <si>
    <t>MI197</t>
  </si>
  <si>
    <t>Grand Traverse Band Housing Authority</t>
  </si>
  <si>
    <t>496</t>
  </si>
  <si>
    <t>Traverse City</t>
  </si>
  <si>
    <t>26-1410.000</t>
  </si>
  <si>
    <t>262764</t>
  </si>
  <si>
    <t>Hannahville Community</t>
  </si>
  <si>
    <t>MI075</t>
  </si>
  <si>
    <t>Michigan Potowatomi Housing Authority</t>
  </si>
  <si>
    <t>498</t>
  </si>
  <si>
    <t>Escanaba</t>
  </si>
  <si>
    <t>26-2800.000</t>
  </si>
  <si>
    <t>265044</t>
  </si>
  <si>
    <t>Huron Band of Potawatomi</t>
  </si>
  <si>
    <t>MI201</t>
  </si>
  <si>
    <t>Huron Potawatomi IHA</t>
  </si>
  <si>
    <t>490</t>
  </si>
  <si>
    <t>Battle Creek</t>
  </si>
  <si>
    <t>26-1880.000</t>
  </si>
  <si>
    <t>263268</t>
  </si>
  <si>
    <t>Keweenaw Bay Indian Community</t>
  </si>
  <si>
    <t>MI065</t>
  </si>
  <si>
    <t>Ojibway Housing Authority</t>
  </si>
  <si>
    <t>499</t>
  </si>
  <si>
    <t>Marquette</t>
  </si>
  <si>
    <t>26-1830.000</t>
  </si>
  <si>
    <t>260501</t>
  </si>
  <si>
    <t>Lac Vieux Desert Band</t>
  </si>
  <si>
    <t>MI085</t>
  </si>
  <si>
    <t>Lac Vieux Desert Indian Housing Authorit</t>
  </si>
  <si>
    <t>Ishpeming</t>
  </si>
  <si>
    <t>26-9999.101</t>
  </si>
  <si>
    <t>Little River Band of Ottawa</t>
  </si>
  <si>
    <t>26-9999.029</t>
  </si>
  <si>
    <t>Little Traverse Bay Band</t>
  </si>
  <si>
    <t>Match-E-Be-NASH-She-Wish Band</t>
  </si>
  <si>
    <t>493</t>
  </si>
  <si>
    <t>Grand Rapids</t>
  </si>
  <si>
    <t>Niles</t>
  </si>
  <si>
    <t>26-1610.000</t>
  </si>
  <si>
    <t>265342</t>
  </si>
  <si>
    <t>Saginaw Chippewa</t>
  </si>
  <si>
    <t>MI043</t>
  </si>
  <si>
    <t>Saginaw Chippewa Housing Authority</t>
  </si>
  <si>
    <t>486</t>
  </si>
  <si>
    <t>Bay City</t>
  </si>
  <si>
    <t>26-3635.000</t>
  </si>
  <si>
    <t>265468</t>
  </si>
  <si>
    <t>Sault Ste. Marie Tribe</t>
  </si>
  <si>
    <t>MI149</t>
  </si>
  <si>
    <t>Sault Ste. Marie Tribal Housing Authorit</t>
  </si>
  <si>
    <t>Sault Ste. Marie Tribe - Marquette</t>
  </si>
  <si>
    <t>Sault Ste. Marie Tribe -Escanaba</t>
  </si>
  <si>
    <t>MN</t>
  </si>
  <si>
    <t>27-0335.000</t>
  </si>
  <si>
    <t>270476</t>
  </si>
  <si>
    <t>Bois Forte Band of Minnesota Chippewa</t>
  </si>
  <si>
    <t>MN081</t>
  </si>
  <si>
    <t>Bois Forte Housing Authority</t>
  </si>
  <si>
    <t>557</t>
  </si>
  <si>
    <t>Hibbing</t>
  </si>
  <si>
    <t>27-1125.000</t>
  </si>
  <si>
    <t>271610</t>
  </si>
  <si>
    <t>Fond Du Lac Band of Minn. Chippewa</t>
  </si>
  <si>
    <t>MN015</t>
  </si>
  <si>
    <t>Fond du Lac Reservation Housing Authorit</t>
  </si>
  <si>
    <t>Duluth</t>
  </si>
  <si>
    <t>27-1355.000</t>
  </si>
  <si>
    <t>271876</t>
  </si>
  <si>
    <t>Grand Portage Band of Minn. Chippewa</t>
  </si>
  <si>
    <t>MN175</t>
  </si>
  <si>
    <t>Grand Portage Indian Housing Authority</t>
  </si>
  <si>
    <t>556</t>
  </si>
  <si>
    <t>27-1940.000</t>
  </si>
  <si>
    <t>272666</t>
  </si>
  <si>
    <t>Leech Lake Band of Minnesota Chippewa</t>
  </si>
  <si>
    <t>MN012</t>
  </si>
  <si>
    <t>Leech Lake Reservation Housing Authority</t>
  </si>
  <si>
    <t>566</t>
  </si>
  <si>
    <t>27-2055.000</t>
  </si>
  <si>
    <t>272812</t>
  </si>
  <si>
    <t>Lower Sioux</t>
  </si>
  <si>
    <t>MN207</t>
  </si>
  <si>
    <t>Minnesota Dakota Indian Housing Authorit</t>
  </si>
  <si>
    <t>Mankato</t>
  </si>
  <si>
    <t>27-2270.000</t>
  </si>
  <si>
    <t>273094</t>
  </si>
  <si>
    <t>Mille Lacs Band of Minnesota Chippewa</t>
  </si>
  <si>
    <t>MN204</t>
  </si>
  <si>
    <t>Mille Lacs Reservation Housing Authority</t>
  </si>
  <si>
    <t>563</t>
  </si>
  <si>
    <t>St. Cloud</t>
  </si>
  <si>
    <t>27-2985.000</t>
  </si>
  <si>
    <t>273778</t>
  </si>
  <si>
    <t>Prairie Island Sioux</t>
  </si>
  <si>
    <t>550</t>
  </si>
  <si>
    <t>St. Paul</t>
  </si>
  <si>
    <t>27-3100.000</t>
  </si>
  <si>
    <t>273858</t>
  </si>
  <si>
    <t>Red Lake Band of Chippewa</t>
  </si>
  <si>
    <t>MN016</t>
  </si>
  <si>
    <t>Red Lake Reservation Housing Authority</t>
  </si>
  <si>
    <t>27-3680.000</t>
  </si>
  <si>
    <t>274274</t>
  </si>
  <si>
    <t>Shakopee Sioux</t>
  </si>
  <si>
    <t>553</t>
  </si>
  <si>
    <t>Minneapolis</t>
  </si>
  <si>
    <t>27-4445.000</t>
  </si>
  <si>
    <t>274660</t>
  </si>
  <si>
    <t>Upper Sioux Indian Community</t>
  </si>
  <si>
    <t>MINNESOTA</t>
  </si>
  <si>
    <t>27-4595.000</t>
  </si>
  <si>
    <t>274940</t>
  </si>
  <si>
    <t>White Earth Band of Minnesota Chippewa</t>
  </si>
  <si>
    <t>MN013</t>
  </si>
  <si>
    <t>White Earth Reservation Housing Authorit</t>
  </si>
  <si>
    <t>565</t>
  </si>
  <si>
    <t>Moorhead</t>
  </si>
  <si>
    <t>MS</t>
  </si>
  <si>
    <t>28-2300.000</t>
  </si>
  <si>
    <t>280260</t>
  </si>
  <si>
    <t>Mississippi Choctaw Tribe</t>
  </si>
  <si>
    <t>MS092</t>
  </si>
  <si>
    <t>Choctaw Housing Authority</t>
  </si>
  <si>
    <t>393</t>
  </si>
  <si>
    <t>Meridian</t>
  </si>
  <si>
    <t>NC</t>
  </si>
  <si>
    <t>37-9040.000</t>
  </si>
  <si>
    <t>37x</t>
  </si>
  <si>
    <t>Coharie State Tribe</t>
  </si>
  <si>
    <t>NC171</t>
  </si>
  <si>
    <t>North Carolina Indian Housing Authority</t>
  </si>
  <si>
    <t>283</t>
  </si>
  <si>
    <t>Fayetteville</t>
  </si>
  <si>
    <t>37-0990.000</t>
  </si>
  <si>
    <t>370566</t>
  </si>
  <si>
    <t>Eastern Cherokee</t>
  </si>
  <si>
    <t>NC041</t>
  </si>
  <si>
    <t>Qualla Housing Authority</t>
  </si>
  <si>
    <t>288</t>
  </si>
  <si>
    <t>Asheville</t>
  </si>
  <si>
    <t>37-9090.000</t>
  </si>
  <si>
    <t>Haliwa-Saponi State Tribe</t>
  </si>
  <si>
    <t>Raleigh</t>
  </si>
  <si>
    <t>37-9120.000</t>
  </si>
  <si>
    <t>Lumbee State Tribe</t>
  </si>
  <si>
    <t>37-9130.000</t>
  </si>
  <si>
    <t>Meherrin State Tribe</t>
  </si>
  <si>
    <t>37-9180.000</t>
  </si>
  <si>
    <t>Waccamaw Siouan State Tribe</t>
  </si>
  <si>
    <t>NY</t>
  </si>
  <si>
    <t>36-9999.029</t>
  </si>
  <si>
    <t>361044</t>
  </si>
  <si>
    <t>Cayuga Nation</t>
  </si>
  <si>
    <t>141</t>
  </si>
  <si>
    <t>Buffalo</t>
  </si>
  <si>
    <t>36-2555.000</t>
  </si>
  <si>
    <t>364742</t>
  </si>
  <si>
    <t>Oneida Nation of New York</t>
  </si>
  <si>
    <t>NY445</t>
  </si>
  <si>
    <t>Oneida Indian Nation of New York Housing</t>
  </si>
  <si>
    <t>130</t>
  </si>
  <si>
    <t>Syracuse</t>
  </si>
  <si>
    <t>36-2570.000</t>
  </si>
  <si>
    <t>364760</t>
  </si>
  <si>
    <t>Onondaga Nation</t>
  </si>
  <si>
    <t>132</t>
  </si>
  <si>
    <t>36-0080.000</t>
  </si>
  <si>
    <t>365942</t>
  </si>
  <si>
    <t>Seneca Nation of New York</t>
  </si>
  <si>
    <t>NY040</t>
  </si>
  <si>
    <t>Seneca Nation Housing Authority</t>
  </si>
  <si>
    <t>140</t>
  </si>
  <si>
    <t>36-3320.000</t>
  </si>
  <si>
    <t>365716</t>
  </si>
  <si>
    <t>St. Regis Mohawk Tribe</t>
  </si>
  <si>
    <t>NY436</t>
  </si>
  <si>
    <t>Akwesasne Indian Housing Authority</t>
  </si>
  <si>
    <t>136</t>
  </si>
  <si>
    <t>Plattsburgh</t>
  </si>
  <si>
    <t>36-4225.000</t>
  </si>
  <si>
    <t>366460</t>
  </si>
  <si>
    <t>Tonawanda Band of Senecas</t>
  </si>
  <si>
    <t>142</t>
  </si>
  <si>
    <t>36-4360.000</t>
  </si>
  <si>
    <t>366536</t>
  </si>
  <si>
    <t>Tuscarora Nation</t>
  </si>
  <si>
    <t>143</t>
  </si>
  <si>
    <t>Niagara Falls</t>
  </si>
  <si>
    <t>RI</t>
  </si>
  <si>
    <t>44-2415.000</t>
  </si>
  <si>
    <t>440160</t>
  </si>
  <si>
    <t>Narragansett Tribe</t>
  </si>
  <si>
    <t>RI028</t>
  </si>
  <si>
    <t>Narragansett Indian Wetuomuck Housing Au</t>
  </si>
  <si>
    <t>028</t>
  </si>
  <si>
    <t>Newport</t>
  </si>
  <si>
    <t>SC</t>
  </si>
  <si>
    <t>45-0525.000</t>
  </si>
  <si>
    <t>45x</t>
  </si>
  <si>
    <t>Catawba Indian Tribe</t>
  </si>
  <si>
    <t>SC062</t>
  </si>
  <si>
    <t>Catawba IHA</t>
  </si>
  <si>
    <t>297</t>
  </si>
  <si>
    <t>Rock Hill</t>
  </si>
  <si>
    <t>WI</t>
  </si>
  <si>
    <t>55-0140.000</t>
  </si>
  <si>
    <t>550358</t>
  </si>
  <si>
    <t>Bad River Band</t>
  </si>
  <si>
    <t>WI012</t>
  </si>
  <si>
    <t>Bad River Housing Authority</t>
  </si>
  <si>
    <t>548</t>
  </si>
  <si>
    <t>Superior</t>
  </si>
  <si>
    <t>55-2965.000</t>
  </si>
  <si>
    <t>552282</t>
  </si>
  <si>
    <t>Forest County Potawatami</t>
  </si>
  <si>
    <t>WI035</t>
  </si>
  <si>
    <t>Wisconsin Potowatomi Housing Authority</t>
  </si>
  <si>
    <t>545</t>
  </si>
  <si>
    <t>Wausau</t>
  </si>
  <si>
    <t>55-4650.000</t>
  </si>
  <si>
    <t>557318</t>
  </si>
  <si>
    <t>Ho-Chunk Nation</t>
  </si>
  <si>
    <t>WI238</t>
  </si>
  <si>
    <t>Ho-Chunk Housing Authority</t>
  </si>
  <si>
    <t>La Crosse</t>
  </si>
  <si>
    <t>55-1815.000</t>
  </si>
  <si>
    <t>553418</t>
  </si>
  <si>
    <t>Lac Courte Oreilles</t>
  </si>
  <si>
    <t>WI054</t>
  </si>
  <si>
    <t>Lac Courte Oreilles Housing Authority</t>
  </si>
  <si>
    <t>55-1825.000</t>
  </si>
  <si>
    <t>553421</t>
  </si>
  <si>
    <t>Lac Du Flambeau Band</t>
  </si>
  <si>
    <t>WI009</t>
  </si>
  <si>
    <t>Lac du Flambeau Chippewa Housing Authori</t>
  </si>
  <si>
    <t>55-2175.000</t>
  </si>
  <si>
    <t>554223</t>
  </si>
  <si>
    <t>Menominee Indian Tribe</t>
  </si>
  <si>
    <t>WI243</t>
  </si>
  <si>
    <t>Menominee Tribal Housing Authority</t>
  </si>
  <si>
    <t>541</t>
  </si>
  <si>
    <t>55-2560.000</t>
  </si>
  <si>
    <t>554910</t>
  </si>
  <si>
    <t>Oneida Tribe</t>
  </si>
  <si>
    <t>WI010</t>
  </si>
  <si>
    <t>Oneida Housing Authority</t>
  </si>
  <si>
    <t>543</t>
  </si>
  <si>
    <t>Green Bay</t>
  </si>
  <si>
    <t>55-3085.000</t>
  </si>
  <si>
    <t>555466</t>
  </si>
  <si>
    <t>Red Cliff Band of Lake Superior Chippewa</t>
  </si>
  <si>
    <t>WI013</t>
  </si>
  <si>
    <t>Red Cliff Chippewa Housing Authority</t>
  </si>
  <si>
    <t>55-3305.000</t>
  </si>
  <si>
    <t>555802</t>
  </si>
  <si>
    <t>Saint Croix Chippewa</t>
  </si>
  <si>
    <t>WI062</t>
  </si>
  <si>
    <t>St. Croix Chippewa Housing Authority</t>
  </si>
  <si>
    <t>55-3885.000</t>
  </si>
  <si>
    <t>556142</t>
  </si>
  <si>
    <t>Sokagoan Chippewa Tribe</t>
  </si>
  <si>
    <t>WI036</t>
  </si>
  <si>
    <t>Sokaogon Chippewa Housing Authority</t>
  </si>
  <si>
    <t>55-4015.000</t>
  </si>
  <si>
    <t>556366</t>
  </si>
  <si>
    <t>Stockbridge-Munsee Tribe</t>
  </si>
  <si>
    <t>WI014</t>
  </si>
  <si>
    <t>Mohican Housing Authority</t>
  </si>
  <si>
    <t>544</t>
  </si>
  <si>
    <t>CO</t>
  </si>
  <si>
    <t>08-3925.000</t>
  </si>
  <si>
    <t>081462</t>
  </si>
  <si>
    <t>Southern Ute Tribe</t>
  </si>
  <si>
    <t>CO010</t>
  </si>
  <si>
    <t>Southern Ute Housing Authority</t>
  </si>
  <si>
    <t>Northern Plains</t>
  </si>
  <si>
    <t>811</t>
  </si>
  <si>
    <t>Durango</t>
  </si>
  <si>
    <t>99-4470.000</t>
  </si>
  <si>
    <t>081546</t>
  </si>
  <si>
    <t>Ute Mountain Tribe</t>
  </si>
  <si>
    <t>CO047</t>
  </si>
  <si>
    <t>Ute Mountain Housing Authority</t>
  </si>
  <si>
    <t>813</t>
  </si>
  <si>
    <t>MT</t>
  </si>
  <si>
    <t>30-0305.000</t>
  </si>
  <si>
    <t>300068</t>
  </si>
  <si>
    <t>Blackfeet Tribe</t>
  </si>
  <si>
    <t>MT008</t>
  </si>
  <si>
    <t>Blackfeet Housing Authority</t>
  </si>
  <si>
    <t>594</t>
  </si>
  <si>
    <t>Great Falls</t>
  </si>
  <si>
    <t>30-0845.000</t>
  </si>
  <si>
    <t>300188</t>
  </si>
  <si>
    <t>Crow Tribe</t>
  </si>
  <si>
    <t>MT014</t>
  </si>
  <si>
    <t>Crow Tribal Housing Authority</t>
  </si>
  <si>
    <t>590</t>
  </si>
  <si>
    <t>Billings</t>
  </si>
  <si>
    <t>30-1150.000</t>
  </si>
  <si>
    <t>300298</t>
  </si>
  <si>
    <t>Fort Belknap Indian Community</t>
  </si>
  <si>
    <t>MT010</t>
  </si>
  <si>
    <t>Fort Belknap Houing Authority</t>
  </si>
  <si>
    <t>595</t>
  </si>
  <si>
    <t>30-1250.000</t>
  </si>
  <si>
    <t>300302</t>
  </si>
  <si>
    <t>Fort Peck Assiniboine and Sioux</t>
  </si>
  <si>
    <t>MT009</t>
  </si>
  <si>
    <t>Fort Peck Housing Authority</t>
  </si>
  <si>
    <t>592</t>
  </si>
  <si>
    <t>30-4975.000</t>
  </si>
  <si>
    <t>300572</t>
  </si>
  <si>
    <t>Northern Cheyenne</t>
  </si>
  <si>
    <t>MT012</t>
  </si>
  <si>
    <t>Northern Cheyenne Housing Authority</t>
  </si>
  <si>
    <t>30-3205.000</t>
  </si>
  <si>
    <t>300646</t>
  </si>
  <si>
    <t>Rocky Boy Chippewa-Cree</t>
  </si>
  <si>
    <t>MT011</t>
  </si>
  <si>
    <t>Chippewa Cree Housing Authority</t>
  </si>
  <si>
    <t>30-1110.000</t>
  </si>
  <si>
    <t>300280</t>
  </si>
  <si>
    <t>Salish and Kootenai Tribes</t>
  </si>
  <si>
    <t>MT013</t>
  </si>
  <si>
    <t>Salish and Kootenai Housing Authority</t>
  </si>
  <si>
    <t>598</t>
  </si>
  <si>
    <t>ND</t>
  </si>
  <si>
    <t>38-0910.000</t>
  </si>
  <si>
    <t>380698</t>
  </si>
  <si>
    <t>Devils Lake Sioux</t>
  </si>
  <si>
    <t>ND008</t>
  </si>
  <si>
    <t>Fort Totten Housing Authority</t>
  </si>
  <si>
    <t>583</t>
  </si>
  <si>
    <t>Grand Forks</t>
  </si>
  <si>
    <t>38-1160.000</t>
  </si>
  <si>
    <t>380694</t>
  </si>
  <si>
    <t>Ft. Berthold Affiliated Tribes</t>
  </si>
  <si>
    <t>ND005</t>
  </si>
  <si>
    <t>Fort Berthold Housing Authority</t>
  </si>
  <si>
    <t>587</t>
  </si>
  <si>
    <t>Minot</t>
  </si>
  <si>
    <t>99-3970.000</t>
  </si>
  <si>
    <t>461552</t>
  </si>
  <si>
    <t>Standing Rock Sioux</t>
  </si>
  <si>
    <t>SD006</t>
  </si>
  <si>
    <t>Standing Rock Housing Authority</t>
  </si>
  <si>
    <t>585</t>
  </si>
  <si>
    <t>Bismarck</t>
  </si>
  <si>
    <t>99-4345.000</t>
  </si>
  <si>
    <t>000000</t>
  </si>
  <si>
    <t>Trenton Band of Chippewa</t>
  </si>
  <si>
    <t>ND068</t>
  </si>
  <si>
    <t>Trenton Housing Authority</t>
  </si>
  <si>
    <t>588</t>
  </si>
  <si>
    <t>Williston</t>
  </si>
  <si>
    <t>381976</t>
  </si>
  <si>
    <t>Turtle Mountain Band of Chippewa</t>
  </si>
  <si>
    <t>ND006</t>
  </si>
  <si>
    <t>Turtle Mountain Housing Authority</t>
  </si>
  <si>
    <t>NE</t>
  </si>
  <si>
    <t>31-9150.000</t>
  </si>
  <si>
    <t>31x</t>
  </si>
  <si>
    <t>Northern Ponca Tribe of Nebraska</t>
  </si>
  <si>
    <t>NE183</t>
  </si>
  <si>
    <t>Northern Ponca Housing Authority</t>
  </si>
  <si>
    <t>681</t>
  </si>
  <si>
    <t>Sioux City, IA</t>
  </si>
  <si>
    <t>99-2550.000</t>
  </si>
  <si>
    <t>312210</t>
  </si>
  <si>
    <t>Omaha Tribe</t>
  </si>
  <si>
    <t>NE013</t>
  </si>
  <si>
    <t>Omaha Tribal Housing Authority</t>
  </si>
  <si>
    <t>680</t>
  </si>
  <si>
    <t>31-3565.000</t>
  </si>
  <si>
    <t>312606</t>
  </si>
  <si>
    <t>Santee Sioux Tribe</t>
  </si>
  <si>
    <t>NE105</t>
  </si>
  <si>
    <t>Santee Sioux Housing Authority</t>
  </si>
  <si>
    <t>687</t>
  </si>
  <si>
    <t>Pierre, SD</t>
  </si>
  <si>
    <t>31-4625.000</t>
  </si>
  <si>
    <t>313182</t>
  </si>
  <si>
    <t>Winnebago Tribe</t>
  </si>
  <si>
    <t>NE045</t>
  </si>
  <si>
    <t>Winnebago Housing Authority</t>
  </si>
  <si>
    <t>333</t>
  </si>
  <si>
    <t>339</t>
  </si>
  <si>
    <t>334</t>
  </si>
  <si>
    <t>SD</t>
  </si>
  <si>
    <t>46-0605.000</t>
  </si>
  <si>
    <t>460356</t>
  </si>
  <si>
    <t>Cheyenne River Sioux</t>
  </si>
  <si>
    <t>SD005</t>
  </si>
  <si>
    <t>Cheyenne River Housing Authority</t>
  </si>
  <si>
    <t>576</t>
  </si>
  <si>
    <t>SOUTH DAKOTA</t>
  </si>
  <si>
    <t>46-0855.000</t>
  </si>
  <si>
    <t>460434</t>
  </si>
  <si>
    <t>Crow Creek Sioux</t>
  </si>
  <si>
    <t>SD004</t>
  </si>
  <si>
    <t>Crow Creek Housing Authority</t>
  </si>
  <si>
    <t>573</t>
  </si>
  <si>
    <t>46-1100.000</t>
  </si>
  <si>
    <t>460632</t>
  </si>
  <si>
    <t>Flandreau Santee Sioux</t>
  </si>
  <si>
    <t>SD049</t>
  </si>
  <si>
    <t>Flandreau Housing Authority</t>
  </si>
  <si>
    <t>570</t>
  </si>
  <si>
    <t>Sioux Falls</t>
  </si>
  <si>
    <t>46-2030.000</t>
  </si>
  <si>
    <t>461052</t>
  </si>
  <si>
    <t>Lower Brule Sioux</t>
  </si>
  <si>
    <t>SD003</t>
  </si>
  <si>
    <t>Lower Brule Housing Authority</t>
  </si>
  <si>
    <t>575</t>
  </si>
  <si>
    <t>99-2810.000</t>
  </si>
  <si>
    <t>461340</t>
  </si>
  <si>
    <t>Oglala Sioux of Pine Ridge Reservation</t>
  </si>
  <si>
    <t>SD001</t>
  </si>
  <si>
    <t>Oglala Sioux Housing Authority</t>
  </si>
  <si>
    <t>577</t>
  </si>
  <si>
    <t>Rapid City</t>
  </si>
  <si>
    <t>46-3235.000</t>
  </si>
  <si>
    <t>461448</t>
  </si>
  <si>
    <t>Rosebud Sioux</t>
  </si>
  <si>
    <t>SD002</t>
  </si>
  <si>
    <t>Rosebud Housing Authority</t>
  </si>
  <si>
    <t>99-1860.000</t>
  </si>
  <si>
    <t>461526</t>
  </si>
  <si>
    <t>Sisseton-Wahpeton Sioux</t>
  </si>
  <si>
    <t>SD015</t>
  </si>
  <si>
    <t>Sisseton-Wahpeton Housing Authority</t>
  </si>
  <si>
    <t>572</t>
  </si>
  <si>
    <t>Huron</t>
  </si>
  <si>
    <t>46-4700.000</t>
  </si>
  <si>
    <t>461892</t>
  </si>
  <si>
    <t>Yankton Sioux</t>
  </si>
  <si>
    <t>SD012</t>
  </si>
  <si>
    <t>Yankton Sioux Housing Authority</t>
  </si>
  <si>
    <t>UT</t>
  </si>
  <si>
    <t>49-2505.000</t>
  </si>
  <si>
    <t>490124</t>
  </si>
  <si>
    <t>NW Band of Shoshoni Nation</t>
  </si>
  <si>
    <t>UT033</t>
  </si>
  <si>
    <t>NW Band of Shoshone IHA</t>
  </si>
  <si>
    <t>Ogden</t>
  </si>
  <si>
    <t>49-3840.000</t>
  </si>
  <si>
    <t>491130</t>
  </si>
  <si>
    <t>Skull Valley Band of Goshute</t>
  </si>
  <si>
    <t>UT??</t>
  </si>
  <si>
    <t>Skull Valley IHA</t>
  </si>
  <si>
    <t>840</t>
  </si>
  <si>
    <t>Salt Lake City</t>
  </si>
  <si>
    <t>49-4390.000</t>
  </si>
  <si>
    <t>491274</t>
  </si>
  <si>
    <t>Uintah &amp; Ouray Ute Indian Tribe</t>
  </si>
  <si>
    <t>UT001</t>
  </si>
  <si>
    <t>Ute Indian Housing Authority</t>
  </si>
  <si>
    <t>49-2625.000</t>
  </si>
  <si>
    <t>490920</t>
  </si>
  <si>
    <t>Utah Paiute Tribe</t>
  </si>
  <si>
    <t>UT010</t>
  </si>
  <si>
    <t>Utah Paiute Housing Authority</t>
  </si>
  <si>
    <t>846</t>
  </si>
  <si>
    <t>St. George</t>
  </si>
  <si>
    <t>WY</t>
  </si>
  <si>
    <t>56-4610.000</t>
  </si>
  <si>
    <t>560560</t>
  </si>
  <si>
    <t>Northern Arapahoe</t>
  </si>
  <si>
    <t>WY018</t>
  </si>
  <si>
    <t>Northern Arapahoe Housing Authority</t>
  </si>
  <si>
    <t>825</t>
  </si>
  <si>
    <t>Casper</t>
  </si>
  <si>
    <t>560562</t>
  </si>
  <si>
    <t>Shoshone Tribe of the Wind River Res.</t>
  </si>
  <si>
    <t>WY001</t>
  </si>
  <si>
    <t>Wind River Housing Authority</t>
  </si>
  <si>
    <t>ID</t>
  </si>
  <si>
    <t>16-0705.000</t>
  </si>
  <si>
    <t>160200</t>
  </si>
  <si>
    <t>Coeur D'Alene Tribe</t>
  </si>
  <si>
    <t>ID007</t>
  </si>
  <si>
    <t>Coeur d'Alene Housing Authority</t>
  </si>
  <si>
    <t>Northwest</t>
  </si>
  <si>
    <t>838</t>
  </si>
  <si>
    <t>IDAHO</t>
  </si>
  <si>
    <t>16-1185.000</t>
  </si>
  <si>
    <t>160348</t>
  </si>
  <si>
    <t>Fort Hall Shoshone-Bannock</t>
  </si>
  <si>
    <t>ID009</t>
  </si>
  <si>
    <t>Fort Hall Housing Authority</t>
  </si>
  <si>
    <t>832</t>
  </si>
  <si>
    <t>Pocatello</t>
  </si>
  <si>
    <t>16-1800.000</t>
  </si>
  <si>
    <t>160590</t>
  </si>
  <si>
    <t>Kootenai Tribe</t>
  </si>
  <si>
    <t>16-2445.000</t>
  </si>
  <si>
    <t>160788</t>
  </si>
  <si>
    <t>Nez Perce Tribe</t>
  </si>
  <si>
    <t>ID008</t>
  </si>
  <si>
    <t>Nez Perce Tribal Housing Authority</t>
  </si>
  <si>
    <t>835</t>
  </si>
  <si>
    <t>OR</t>
  </si>
  <si>
    <t>41-0400.000</t>
  </si>
  <si>
    <t>410152</t>
  </si>
  <si>
    <t>Burns-Paiute Tribe</t>
  </si>
  <si>
    <t>OR039</t>
  </si>
  <si>
    <t>Burns-Paiute IHA</t>
  </si>
  <si>
    <t>977</t>
  </si>
  <si>
    <t>Klamath Falls</t>
  </si>
  <si>
    <t>41-0770.000</t>
  </si>
  <si>
    <t>410272</t>
  </si>
  <si>
    <t>Coos Bay Confederated Tribes</t>
  </si>
  <si>
    <t>OR036</t>
  </si>
  <si>
    <t>CLUSHA Housing Authority</t>
  </si>
  <si>
    <t>974</t>
  </si>
  <si>
    <t>Eugene</t>
  </si>
  <si>
    <t>41-9050.000</t>
  </si>
  <si>
    <t>410277</t>
  </si>
  <si>
    <t>Coquille Indian Tribe</t>
  </si>
  <si>
    <t>OR038</t>
  </si>
  <si>
    <t>Coquille Housing Authority</t>
  </si>
  <si>
    <t>41-0815.000</t>
  </si>
  <si>
    <t>410302</t>
  </si>
  <si>
    <t>Cow Creek Tribes</t>
  </si>
  <si>
    <t>41-1365.000</t>
  </si>
  <si>
    <t>410530</t>
  </si>
  <si>
    <t>Grand Ronde Confederated Tribes</t>
  </si>
  <si>
    <t>OR040</t>
  </si>
  <si>
    <t>GRAND RONDE IHA</t>
  </si>
  <si>
    <t>972</t>
  </si>
  <si>
    <t>Portland</t>
  </si>
  <si>
    <t>41-9110.000</t>
  </si>
  <si>
    <t>410758</t>
  </si>
  <si>
    <t>Klamath Indian Tribe</t>
  </si>
  <si>
    <t>OR037</t>
  </si>
  <si>
    <t>Klamath Tribal Housing Authority</t>
  </si>
  <si>
    <t>976</t>
  </si>
  <si>
    <t>41-3795.000</t>
  </si>
  <si>
    <t>411256</t>
  </si>
  <si>
    <t>Siletz Confederated Tribes</t>
  </si>
  <si>
    <t>OR035</t>
  </si>
  <si>
    <t>Siletz Indian Housing Authority</t>
  </si>
  <si>
    <t>41-4405.000</t>
  </si>
  <si>
    <t>411381</t>
  </si>
  <si>
    <t>Umatilla Confederated Tribes</t>
  </si>
  <si>
    <t>OR012</t>
  </si>
  <si>
    <t>Umatilla Reservation Housing Authority</t>
  </si>
  <si>
    <t>978</t>
  </si>
  <si>
    <t>OREGON</t>
  </si>
  <si>
    <t>41-4545.000</t>
  </si>
  <si>
    <t>411424</t>
  </si>
  <si>
    <t>Warm Springs Confederated Tribes</t>
  </si>
  <si>
    <t>OR013</t>
  </si>
  <si>
    <t>Warm Springs Housing Authority</t>
  </si>
  <si>
    <t>WA</t>
  </si>
  <si>
    <t>53-0575.000</t>
  </si>
  <si>
    <t>530224</t>
  </si>
  <si>
    <t>Chehalis Confederated Tribes</t>
  </si>
  <si>
    <t>WA048</t>
  </si>
  <si>
    <t>Chehalis Tribal Housing Authority</t>
  </si>
  <si>
    <t>985</t>
  </si>
  <si>
    <t>Kitsap Co.</t>
  </si>
  <si>
    <t>53-0760.000</t>
  </si>
  <si>
    <t>530290</t>
  </si>
  <si>
    <t>Colville Confederated Tribes</t>
  </si>
  <si>
    <t>WA043</t>
  </si>
  <si>
    <t>Colville Indian Housing Authority</t>
  </si>
  <si>
    <t>988</t>
  </si>
  <si>
    <t>WASHINGTON</t>
  </si>
  <si>
    <t>Cowlitz</t>
  </si>
  <si>
    <t>986</t>
  </si>
  <si>
    <t>Longview</t>
  </si>
  <si>
    <t>53-1460.000</t>
  </si>
  <si>
    <t>530664</t>
  </si>
  <si>
    <t>Hoh Indian Tribe</t>
  </si>
  <si>
    <t>WA052</t>
  </si>
  <si>
    <t>So. Puget Sound Inter-Tribal HA</t>
  </si>
  <si>
    <t>983</t>
  </si>
  <si>
    <t>Seattle</t>
  </si>
  <si>
    <t>53-1655.000</t>
  </si>
  <si>
    <t>530697</t>
  </si>
  <si>
    <t>Jamestown S'Kallam Tribe</t>
  </si>
  <si>
    <t>53-1735.000</t>
  </si>
  <si>
    <t>530710</t>
  </si>
  <si>
    <t>Kalispel Indian Community</t>
  </si>
  <si>
    <t>WA037</t>
  </si>
  <si>
    <t>Spokane Indian Housing Authority</t>
  </si>
  <si>
    <t>991</t>
  </si>
  <si>
    <t>53-2040.000</t>
  </si>
  <si>
    <t>530841</t>
  </si>
  <si>
    <t>Lower Elwha Tribal Community</t>
  </si>
  <si>
    <t>WA050</t>
  </si>
  <si>
    <t>Lower Elwha housing Authority</t>
  </si>
  <si>
    <t>53-2070.000</t>
  </si>
  <si>
    <t>530842</t>
  </si>
  <si>
    <t>Lummi Tribe</t>
  </si>
  <si>
    <t>WA028</t>
  </si>
  <si>
    <t>Lummi Housing Authority</t>
  </si>
  <si>
    <t>982</t>
  </si>
  <si>
    <t>Bellingham</t>
  </si>
  <si>
    <t>53-2085.000</t>
  </si>
  <si>
    <t>530880</t>
  </si>
  <si>
    <t>Makah Indian Tribe</t>
  </si>
  <si>
    <t>WA029</t>
  </si>
  <si>
    <t>Makah Housing Authority</t>
  </si>
  <si>
    <t>53-2375.000</t>
  </si>
  <si>
    <t>531030</t>
  </si>
  <si>
    <t>Muckleshoot Indian Tribe</t>
  </si>
  <si>
    <t>WA040</t>
  </si>
  <si>
    <t>Muckleshoot Housing Authority</t>
  </si>
  <si>
    <t>980</t>
  </si>
  <si>
    <t>Tacoma</t>
  </si>
  <si>
    <t>53-2460.000</t>
  </si>
  <si>
    <t>531070</t>
  </si>
  <si>
    <t>Nisqually Indian Community</t>
  </si>
  <si>
    <t>984</t>
  </si>
  <si>
    <t>Olympia</t>
  </si>
  <si>
    <t>53-2475.000</t>
  </si>
  <si>
    <t>531076</t>
  </si>
  <si>
    <t>Nooksack Tribe</t>
  </si>
  <si>
    <t>Base Cost, One Story, Ave., w/Crawl Space &amp; Suprinsul. to Bsmt.</t>
  </si>
  <si>
    <t>Masonry Chimney             page 38</t>
  </si>
  <si>
    <t xml:space="preserve">Deck (100 sq. ft.) </t>
  </si>
  <si>
    <t>Arctic Slope Native Regional Corp.</t>
  </si>
  <si>
    <t>Nanwalek (English Bay)</t>
  </si>
  <si>
    <t>Noatak</t>
  </si>
  <si>
    <t>Sun'aq Tribe of Kodiak</t>
  </si>
  <si>
    <t>Tejon Tribe</t>
  </si>
  <si>
    <t>933</t>
  </si>
  <si>
    <t>06-</t>
  </si>
  <si>
    <t>063710</t>
  </si>
  <si>
    <t>Wilton Rancheria</t>
  </si>
  <si>
    <t>Sacramento</t>
  </si>
  <si>
    <t>061146</t>
  </si>
  <si>
    <t>CA061</t>
  </si>
  <si>
    <t>957</t>
  </si>
  <si>
    <t>Chuathbaluk</t>
  </si>
  <si>
    <t xml:space="preserve">Tribe of Kodiak </t>
  </si>
  <si>
    <t>Tangirnaq Native Village</t>
  </si>
  <si>
    <t>Woody Island</t>
  </si>
  <si>
    <t>Shinnecock</t>
  </si>
  <si>
    <t>Suffolk</t>
  </si>
  <si>
    <t>(11/2015)</t>
  </si>
  <si>
    <t>Deep Foundation/Basement                     page 38</t>
  </si>
  <si>
    <t>Ground Floor Area            page 38</t>
  </si>
  <si>
    <t>Arctic Entry (30 sq ft Enclsd. Porch-1 story) page 95</t>
  </si>
  <si>
    <t>Deck (100 sq. ft.)           page 95</t>
  </si>
  <si>
    <t>Wood Burning Stove              page 96</t>
  </si>
  <si>
    <t>Slab on Grade (Deduct) (page 1, section 42)</t>
  </si>
  <si>
    <t>Wood Burning Stove (from Means)</t>
  </si>
  <si>
    <t>Updated with 2018  M&amp;S/B Local Multipliers</t>
  </si>
  <si>
    <t>Garage (1 car)               page 38</t>
  </si>
  <si>
    <t>Fresh Air Exchanger (Allowance)            page 590</t>
  </si>
  <si>
    <t>Smoke Alarm page c-32</t>
  </si>
  <si>
    <t>Nansemond Indian Tribe</t>
  </si>
  <si>
    <t>Monacan Indian Tribe</t>
  </si>
  <si>
    <t>King William</t>
  </si>
  <si>
    <t>Richmond</t>
  </si>
  <si>
    <t>Chesapeake</t>
  </si>
  <si>
    <t>Lynchburg</t>
  </si>
  <si>
    <t>Charles City</t>
  </si>
  <si>
    <t>Forge</t>
  </si>
  <si>
    <t>New kent</t>
  </si>
  <si>
    <t>Upper Mattaponi Tribe</t>
  </si>
  <si>
    <t>Deep Foundation/Basement page 24</t>
  </si>
  <si>
    <t>Arctic Entry (30 sq ft Enclsd. Porch-1 story) page Avg 24</t>
  </si>
  <si>
    <t>Masonry Chimney page 23</t>
  </si>
  <si>
    <t>Garage (1 car) page 25</t>
  </si>
  <si>
    <t xml:space="preserve">Range/Oven                </t>
  </si>
  <si>
    <t xml:space="preserve">Refrigerator                   </t>
  </si>
  <si>
    <t>An</t>
  </si>
  <si>
    <t>Fairbanks</t>
  </si>
  <si>
    <t>Jun</t>
  </si>
  <si>
    <t>Base Cost, Class D, Ave., w/Crawl Space (Incl. one Bath) good page 15</t>
  </si>
  <si>
    <t>Range/Oven page 24</t>
  </si>
  <si>
    <t>Refrigerator page 24</t>
  </si>
  <si>
    <t>Fresh Air Exchanger (page good-23)</t>
  </si>
  <si>
    <t>Smoke Detector              page 95</t>
  </si>
  <si>
    <t>Full Bath         page 95</t>
  </si>
  <si>
    <t>Updated with 2019 Location Factors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</si>
</sst>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3" formatCode="_(* #,##0.00_);_(* \(#,##0.00\);_(* &quot;-&quot;??_);_(@_)"/>
    <numFmt numFmtId="164" formatCode="0.00_)"/>
    <numFmt numFmtId="165" formatCode="0_)"/>
    <numFmt numFmtId="166" formatCode="&quot;$&quot;#,##0"/>
    <numFmt numFmtId="167" formatCode="_(* #,##0_);_(* \(#,##0\);_(* &quot;-&quot;??_);_(@_)"/>
    <numFmt numFmtId="168" formatCode="0.0"/>
  </numFmts>
  <fonts count="14" x14ac:knownFonts="1"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u/>
      <sz val="10"/>
      <name val="Arial"/>
      <family val="2"/>
    </font>
    <font>
      <b/>
      <u/>
      <sz val="10"/>
      <name val="Courier"/>
      <family val="3"/>
    </font>
    <font>
      <b/>
      <u/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0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5" fontId="3" fillId="0" borderId="0" xfId="0" applyNumberFormat="1" applyFont="1"/>
    <xf numFmtId="166" fontId="3" fillId="0" borderId="0" xfId="0" applyNumberFormat="1" applyFont="1"/>
    <xf numFmtId="0" fontId="3" fillId="0" borderId="0" xfId="0" quotePrefix="1" applyFont="1" applyAlignment="1">
      <alignment horizontal="left"/>
    </xf>
    <xf numFmtId="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right"/>
    </xf>
    <xf numFmtId="167" fontId="3" fillId="0" borderId="0" xfId="1" applyNumberFormat="1" applyFont="1" applyAlignment="1">
      <alignment horizontal="right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2"/>
    <xf numFmtId="0" fontId="2" fillId="0" borderId="0" xfId="2" applyAlignment="1">
      <alignment horizontal="right"/>
    </xf>
    <xf numFmtId="0" fontId="2" fillId="0" borderId="0" xfId="2" quotePrefix="1" applyAlignment="1">
      <alignment horizontal="left"/>
    </xf>
    <xf numFmtId="3" fontId="2" fillId="0" borderId="0" xfId="2" quotePrefix="1" applyNumberFormat="1" applyAlignment="1">
      <alignment horizontal="right"/>
    </xf>
    <xf numFmtId="3" fontId="2" fillId="0" borderId="0" xfId="2" applyNumberFormat="1" applyAlignment="1">
      <alignment horizontal="right"/>
    </xf>
    <xf numFmtId="49" fontId="0" fillId="0" borderId="0" xfId="0" applyNumberFormat="1"/>
    <xf numFmtId="0" fontId="4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0" fontId="7" fillId="0" borderId="0" xfId="0" quotePrefix="1" applyFont="1" applyAlignment="1">
      <alignment horizontal="left"/>
    </xf>
    <xf numFmtId="49" fontId="0" fillId="0" borderId="0" xfId="0" quotePrefix="1" applyNumberFormat="1" applyAlignment="1">
      <alignment horizontal="left"/>
    </xf>
    <xf numFmtId="166" fontId="9" fillId="0" borderId="0" xfId="0" applyNumberFormat="1" applyFont="1"/>
    <xf numFmtId="167" fontId="9" fillId="0" borderId="0" xfId="1" applyNumberFormat="1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11" fillId="0" borderId="0" xfId="0" applyFont="1"/>
    <xf numFmtId="166" fontId="11" fillId="0" borderId="0" xfId="0" applyNumberFormat="1" applyFont="1"/>
    <xf numFmtId="166" fontId="11" fillId="0" borderId="0" xfId="1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3" fontId="3" fillId="0" borderId="0" xfId="0" applyNumberFormat="1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1" fillId="0" borderId="0" xfId="0" quotePrefix="1" applyFont="1" applyAlignment="1">
      <alignment horizontal="left"/>
    </xf>
    <xf numFmtId="164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5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left"/>
    </xf>
    <xf numFmtId="167" fontId="3" fillId="0" borderId="0" xfId="1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left"/>
    </xf>
    <xf numFmtId="49" fontId="0" fillId="0" borderId="0" xfId="0" applyNumberFormat="1" applyAlignment="1">
      <alignment horizontal="left"/>
    </xf>
    <xf numFmtId="0" fontId="8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4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2" borderId="0" xfId="0" quotePrefix="1" applyFont="1" applyFill="1" applyAlignment="1">
      <alignment horizontal="left" wrapText="1"/>
    </xf>
    <xf numFmtId="0" fontId="3" fillId="0" borderId="3" xfId="0" applyFont="1" applyBorder="1" applyAlignment="1">
      <alignment horizontal="left"/>
    </xf>
    <xf numFmtId="3" fontId="3" fillId="0" borderId="4" xfId="0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3" fontId="3" fillId="0" borderId="6" xfId="0" applyNumberFormat="1" applyFont="1" applyBorder="1" applyAlignment="1">
      <alignment horizontal="left"/>
    </xf>
    <xf numFmtId="3" fontId="3" fillId="0" borderId="7" xfId="0" applyNumberFormat="1" applyFont="1" applyBorder="1" applyAlignment="1">
      <alignment horizontal="left"/>
    </xf>
    <xf numFmtId="0" fontId="10" fillId="0" borderId="8" xfId="0" quotePrefix="1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2" fillId="0" borderId="0" xfId="2" applyAlignment="1">
      <alignment wrapText="1"/>
    </xf>
    <xf numFmtId="0" fontId="2" fillId="0" borderId="0" xfId="2" quotePrefix="1" applyAlignment="1">
      <alignment horizontal="left" wrapText="1"/>
    </xf>
    <xf numFmtId="0" fontId="2" fillId="2" borderId="0" xfId="2" applyFill="1" applyAlignment="1">
      <alignment wrapText="1"/>
    </xf>
    <xf numFmtId="0" fontId="10" fillId="0" borderId="0" xfId="2" applyFont="1"/>
    <xf numFmtId="3" fontId="2" fillId="3" borderId="0" xfId="2" applyNumberFormat="1" applyFill="1"/>
    <xf numFmtId="3" fontId="2" fillId="2" borderId="0" xfId="2" applyNumberFormat="1" applyFill="1"/>
    <xf numFmtId="0" fontId="2" fillId="2" borderId="0" xfId="2" applyFill="1"/>
    <xf numFmtId="0" fontId="2" fillId="3" borderId="0" xfId="2" applyFill="1"/>
    <xf numFmtId="168" fontId="2" fillId="2" borderId="0" xfId="2" applyNumberFormat="1" applyFill="1"/>
    <xf numFmtId="3" fontId="2" fillId="0" borderId="0" xfId="2" applyNumberFormat="1"/>
    <xf numFmtId="3" fontId="10" fillId="0" borderId="0" xfId="2" applyNumberFormat="1" applyFont="1"/>
    <xf numFmtId="0" fontId="5" fillId="0" borderId="9" xfId="0" applyFont="1" applyBorder="1"/>
    <xf numFmtId="166" fontId="5" fillId="0" borderId="9" xfId="0" applyNumberFormat="1" applyFont="1" applyBorder="1" applyAlignment="1">
      <alignment horizontal="right"/>
    </xf>
    <xf numFmtId="0" fontId="9" fillId="0" borderId="9" xfId="0" applyFont="1" applyBorder="1"/>
    <xf numFmtId="166" fontId="9" fillId="0" borderId="9" xfId="0" applyNumberFormat="1" applyFont="1" applyBorder="1"/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164" fontId="2" fillId="2" borderId="0" xfId="0" applyNumberFormat="1" applyFont="1" applyFill="1" applyAlignment="1">
      <alignment horizontal="left"/>
    </xf>
    <xf numFmtId="164" fontId="3" fillId="4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 wrapText="1"/>
    </xf>
    <xf numFmtId="0" fontId="13" fillId="0" borderId="0" xfId="0" applyFont="1" applyAlignment="1">
      <alignment horizontal="left"/>
    </xf>
    <xf numFmtId="0" fontId="2" fillId="0" borderId="0" xfId="2" applyAlignment="1">
      <alignment horizontal="left"/>
    </xf>
    <xf numFmtId="0" fontId="3" fillId="0" borderId="0" xfId="2" applyFont="1" applyAlignment="1">
      <alignment horizontal="left"/>
    </xf>
    <xf numFmtId="0" fontId="2" fillId="2" borderId="0" xfId="0" applyFont="1" applyFill="1" applyAlignment="1">
      <alignment horizontal="left" wrapText="1"/>
    </xf>
    <xf numFmtId="164" fontId="2" fillId="2" borderId="0" xfId="0" quotePrefix="1" applyNumberFormat="1" applyFont="1" applyFill="1" applyAlignment="1">
      <alignment horizontal="left"/>
    </xf>
    <xf numFmtId="2" fontId="2" fillId="2" borderId="0" xfId="0" applyNumberFormat="1" applyFont="1" applyFill="1" applyAlignment="1">
      <alignment horizontal="left"/>
    </xf>
    <xf numFmtId="0" fontId="2" fillId="5" borderId="0" xfId="2" applyFill="1"/>
    <xf numFmtId="0" fontId="2" fillId="4" borderId="0" xfId="2" applyFill="1"/>
    <xf numFmtId="0" fontId="1" fillId="0" borderId="0" xfId="2" quotePrefix="1" applyFont="1" applyAlignment="1">
      <alignment horizontal="left"/>
    </xf>
    <xf numFmtId="0" fontId="0" fillId="0" borderId="0" xfId="0"/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zoomScaleNormal="100" workbookViewId="0">
      <selection activeCell="D9" sqref="D9"/>
    </sheetView>
  </sheetViews>
  <sheetFormatPr defaultColWidth="9" defaultRowHeight="13.2" x14ac:dyDescent="0.25"/>
  <cols>
    <col min="1" max="1" width="10" style="18" customWidth="1"/>
    <col min="2" max="2" width="45.77734375" style="18" bestFit="1" customWidth="1"/>
    <col min="3" max="3" width="10.44140625" style="18" bestFit="1" customWidth="1"/>
    <col min="4" max="4" width="9.44140625" style="18" customWidth="1"/>
    <col min="5" max="6" width="9.21875" style="18" bestFit="1" customWidth="1"/>
    <col min="7" max="7" width="9.77734375" style="18" bestFit="1" customWidth="1"/>
    <col min="8" max="8" width="1.6640625" style="18" customWidth="1"/>
    <col min="9" max="9" width="7" style="18" customWidth="1"/>
    <col min="10" max="10" width="41.109375" style="18" customWidth="1"/>
    <col min="11" max="11" width="9.44140625" style="18" bestFit="1" customWidth="1"/>
    <col min="12" max="12" width="8.6640625" style="18" bestFit="1" customWidth="1"/>
    <col min="13" max="13" width="9.21875" style="18" customWidth="1"/>
    <col min="14" max="14" width="9.21875" style="18" bestFit="1" customWidth="1"/>
    <col min="15" max="15" width="9.109375" style="18" bestFit="1" customWidth="1"/>
    <col min="16" max="16384" width="9" style="18"/>
  </cols>
  <sheetData>
    <row r="1" spans="1:15" ht="15" customHeight="1" x14ac:dyDescent="0.25">
      <c r="A1" s="72" t="s">
        <v>1490</v>
      </c>
      <c r="B1" s="95" t="s">
        <v>288</v>
      </c>
      <c r="I1" s="72" t="s">
        <v>1491</v>
      </c>
      <c r="J1" s="95" t="s">
        <v>288</v>
      </c>
    </row>
    <row r="2" spans="1:15" ht="15" customHeight="1" x14ac:dyDescent="0.25">
      <c r="B2" s="18" t="s">
        <v>412</v>
      </c>
      <c r="C2" s="19" t="s">
        <v>1069</v>
      </c>
      <c r="D2" s="19" t="s">
        <v>1070</v>
      </c>
      <c r="E2" s="19" t="s">
        <v>1071</v>
      </c>
      <c r="F2" s="19" t="s">
        <v>1072</v>
      </c>
      <c r="G2" s="19" t="s">
        <v>1075</v>
      </c>
      <c r="K2" s="19" t="s">
        <v>1069</v>
      </c>
      <c r="L2" s="19" t="s">
        <v>1070</v>
      </c>
      <c r="M2" s="19" t="s">
        <v>1071</v>
      </c>
      <c r="N2" s="19" t="s">
        <v>1072</v>
      </c>
      <c r="O2" s="19" t="s">
        <v>1075</v>
      </c>
    </row>
    <row r="3" spans="1:15" ht="15" customHeight="1" x14ac:dyDescent="0.25">
      <c r="B3" s="18" t="s">
        <v>1538</v>
      </c>
      <c r="C3" s="18">
        <v>1</v>
      </c>
      <c r="D3" s="18">
        <v>1</v>
      </c>
      <c r="E3" s="18">
        <v>1</v>
      </c>
      <c r="F3" s="18">
        <v>1</v>
      </c>
      <c r="G3" s="18">
        <v>1</v>
      </c>
      <c r="J3" s="18" t="s">
        <v>1538</v>
      </c>
      <c r="K3" s="18">
        <v>1</v>
      </c>
      <c r="L3" s="18">
        <v>1</v>
      </c>
      <c r="M3" s="18">
        <v>1</v>
      </c>
      <c r="N3" s="18">
        <v>1</v>
      </c>
      <c r="O3" s="18">
        <v>1</v>
      </c>
    </row>
    <row r="4" spans="1:15" ht="15" customHeight="1" x14ac:dyDescent="0.25">
      <c r="A4" s="18" t="s">
        <v>1076</v>
      </c>
      <c r="B4" s="18" t="s">
        <v>1534</v>
      </c>
      <c r="C4" s="73">
        <f>149.55*C10</f>
        <v>149550</v>
      </c>
      <c r="D4" s="73">
        <f>138.6*D10</f>
        <v>166320</v>
      </c>
      <c r="E4" s="73">
        <f>129.3*E10</f>
        <v>181020.00000000003</v>
      </c>
      <c r="F4" s="73">
        <f>123.25*F10</f>
        <v>197200</v>
      </c>
      <c r="G4" s="73">
        <f>119.85*G10</f>
        <v>215730</v>
      </c>
      <c r="I4" s="20" t="s">
        <v>1077</v>
      </c>
      <c r="J4" s="90" t="s">
        <v>2698</v>
      </c>
      <c r="K4" s="73">
        <f>133*K10</f>
        <v>133000</v>
      </c>
      <c r="L4" s="73">
        <f>128*L10</f>
        <v>153600</v>
      </c>
      <c r="M4" s="73">
        <f>125*M10</f>
        <v>175000</v>
      </c>
      <c r="N4" s="73">
        <f>122*N10</f>
        <v>195200</v>
      </c>
      <c r="O4" s="73">
        <f>119*O10</f>
        <v>214200</v>
      </c>
    </row>
    <row r="5" spans="1:15" ht="15" customHeight="1" x14ac:dyDescent="0.25">
      <c r="A5" s="18" t="s">
        <v>1078</v>
      </c>
      <c r="B5" s="90" t="s">
        <v>1535</v>
      </c>
      <c r="C5" s="74">
        <f>C4+(1.12*C10)+((1.27*C11)*12)</f>
        <v>152803.6</v>
      </c>
      <c r="D5" s="74">
        <f>D4+(1.12*D10)+((1.27*D11)*12)</f>
        <v>169919.52</v>
      </c>
      <c r="E5" s="74">
        <f>E4+(1.12*E10)+((1.27*E11)*12)</f>
        <v>185194.04000000004</v>
      </c>
      <c r="F5" s="74">
        <f>F4+(1.12*F10)+((1.27*F11)*12)</f>
        <v>202070.48</v>
      </c>
      <c r="G5" s="74">
        <f>G4+(1.12*G10)+((1.27*G11)*12)</f>
        <v>221068.32</v>
      </c>
      <c r="I5" s="20" t="s">
        <v>1079</v>
      </c>
      <c r="J5" s="90" t="s">
        <v>1536</v>
      </c>
      <c r="K5" s="74">
        <f>K4+(1.12*K10)+((1.27*K11)*12)</f>
        <v>136253.6</v>
      </c>
      <c r="L5" s="74">
        <f>L4+(1.12*L10)+((1.27*L11)*12)</f>
        <v>157199.51999999999</v>
      </c>
      <c r="M5" s="74">
        <f>M4+(1.12*M10)+((1.27*M11)*12)</f>
        <v>179174.04</v>
      </c>
      <c r="N5" s="74">
        <f>N4+(1.12*N10)+((1.27*N11)*12)</f>
        <v>200070.48</v>
      </c>
      <c r="O5" s="74">
        <f>O4+(1.12*O10)+((1.27*O11)*12)</f>
        <v>219538.32</v>
      </c>
    </row>
    <row r="6" spans="1:15" ht="15" customHeight="1" x14ac:dyDescent="0.25">
      <c r="A6" s="18" t="s">
        <v>1080</v>
      </c>
      <c r="B6" s="91" t="s">
        <v>2645</v>
      </c>
      <c r="C6" s="74">
        <f>C4+(1.12*C10)+((1.27*C11)*16)</f>
        <v>153514.79999999999</v>
      </c>
      <c r="D6" s="74">
        <f>D4+(1.12*D10)+((1.27*D11)*16)</f>
        <v>170671.35999999999</v>
      </c>
      <c r="E6" s="74">
        <f>E4+(1.12*E10)+((1.27*E11)*16)</f>
        <v>186062.72000000003</v>
      </c>
      <c r="F6" s="74">
        <f>F4+(1.12*F10)+((1.27*F11)*16)</f>
        <v>203096.64</v>
      </c>
      <c r="G6" s="74">
        <f>G4+(1.12*G10)+((1.27*G11)*16)</f>
        <v>222175.76</v>
      </c>
      <c r="I6" s="20" t="s">
        <v>1081</v>
      </c>
      <c r="J6" s="90" t="s">
        <v>1537</v>
      </c>
      <c r="K6" s="74">
        <f>K4+(1.12*K10)+((1.27*K11)*16)</f>
        <v>136964.79999999999</v>
      </c>
      <c r="L6" s="74">
        <f>L4+(1.12*L10)+((1.27*L11)*16)</f>
        <v>157951.35999999999</v>
      </c>
      <c r="M6" s="74">
        <f>M4+(1.12*M10)+((1.27*M11)*16)</f>
        <v>180042.72</v>
      </c>
      <c r="N6" s="74">
        <f>N4+(1.12*N10)+((1.27*N11)*16)</f>
        <v>201096.64</v>
      </c>
      <c r="O6" s="74">
        <f>O4+(1.12*O10)+((1.27*O11)*16)</f>
        <v>220645.76000000001</v>
      </c>
    </row>
    <row r="7" spans="1:15" ht="15" customHeight="1" x14ac:dyDescent="0.25">
      <c r="A7" s="18" t="s">
        <v>1082</v>
      </c>
      <c r="B7" s="69" t="s">
        <v>1995</v>
      </c>
      <c r="C7" s="73">
        <f>-14.35*C11*4</f>
        <v>-8036</v>
      </c>
      <c r="D7" s="73">
        <f>-13.31*D11*4</f>
        <v>-7879.52</v>
      </c>
      <c r="E7" s="73">
        <f>-12.45*E11*4</f>
        <v>-8515.7999999999993</v>
      </c>
      <c r="F7" s="73">
        <f>-11.9*F11*4</f>
        <v>-9615.2000000000007</v>
      </c>
      <c r="G7" s="73">
        <f>-11.55*G11*4</f>
        <v>-10071.6</v>
      </c>
      <c r="I7" s="20" t="s">
        <v>1083</v>
      </c>
      <c r="J7" s="18" t="s">
        <v>2673</v>
      </c>
      <c r="K7" s="73">
        <f>-6.94*K11*4</f>
        <v>-3886.4</v>
      </c>
      <c r="L7" s="73">
        <f>-6.94*L11*4</f>
        <v>-4108.4800000000005</v>
      </c>
      <c r="M7" s="73">
        <f>-6.94*M11*4</f>
        <v>-4746.96</v>
      </c>
      <c r="N7" s="73">
        <f>-6.94*N11*4</f>
        <v>-5607.52</v>
      </c>
      <c r="O7" s="73">
        <f>-6.94*O11*4</f>
        <v>-6051.68</v>
      </c>
    </row>
    <row r="8" spans="1:15" ht="15" customHeight="1" x14ac:dyDescent="0.25">
      <c r="A8" s="18" t="s">
        <v>1084</v>
      </c>
      <c r="B8" s="70" t="s">
        <v>1994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  <c r="I8" s="18" t="s">
        <v>1085</v>
      </c>
      <c r="J8" s="18" t="s">
        <v>1994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</row>
    <row r="9" spans="1:15" ht="15" customHeight="1" x14ac:dyDescent="0.25">
      <c r="A9" s="18" t="s">
        <v>1086</v>
      </c>
      <c r="B9" s="70" t="s">
        <v>2668</v>
      </c>
      <c r="C9" s="73">
        <f>14.35*C10</f>
        <v>14350</v>
      </c>
      <c r="D9" s="73">
        <f>13.31*D10</f>
        <v>15972</v>
      </c>
      <c r="E9" s="73">
        <f>12.45*E10</f>
        <v>17430</v>
      </c>
      <c r="F9" s="73">
        <f>11.9*F10</f>
        <v>19040</v>
      </c>
      <c r="G9" s="73">
        <f>11.55*G10</f>
        <v>20790</v>
      </c>
      <c r="I9" s="18" t="s">
        <v>1087</v>
      </c>
      <c r="J9" s="20" t="s">
        <v>2689</v>
      </c>
      <c r="K9" s="73">
        <f>20.7*K10</f>
        <v>20700</v>
      </c>
      <c r="L9" s="73">
        <f>19.55*L10</f>
        <v>23460</v>
      </c>
      <c r="M9" s="73">
        <f>18.95*M10</f>
        <v>26530</v>
      </c>
      <c r="N9" s="73">
        <f>18.35*N10</f>
        <v>29360.000000000004</v>
      </c>
      <c r="O9" s="73">
        <f>18.1*O10</f>
        <v>32580.000000000004</v>
      </c>
    </row>
    <row r="10" spans="1:15" ht="15" customHeight="1" x14ac:dyDescent="0.25">
      <c r="A10" s="18" t="s">
        <v>1088</v>
      </c>
      <c r="B10" s="69" t="s">
        <v>2669</v>
      </c>
      <c r="C10" s="96">
        <v>1000</v>
      </c>
      <c r="D10" s="96">
        <v>1200</v>
      </c>
      <c r="E10" s="96">
        <v>1400</v>
      </c>
      <c r="F10" s="96">
        <v>1600</v>
      </c>
      <c r="G10" s="96">
        <v>1800</v>
      </c>
      <c r="I10" s="18" t="s">
        <v>1090</v>
      </c>
      <c r="J10" s="18" t="s">
        <v>1089</v>
      </c>
      <c r="K10" s="96">
        <v>1000</v>
      </c>
      <c r="L10" s="96">
        <v>1200</v>
      </c>
      <c r="M10" s="96">
        <v>1400</v>
      </c>
      <c r="N10" s="96">
        <v>1600</v>
      </c>
      <c r="O10" s="96">
        <v>1800</v>
      </c>
    </row>
    <row r="11" spans="1:15" ht="15" customHeight="1" x14ac:dyDescent="0.25">
      <c r="A11" s="18" t="s">
        <v>1091</v>
      </c>
      <c r="B11" s="70" t="s">
        <v>1092</v>
      </c>
      <c r="C11" s="75">
        <v>140</v>
      </c>
      <c r="D11" s="75">
        <v>148</v>
      </c>
      <c r="E11" s="75">
        <v>171</v>
      </c>
      <c r="F11" s="75">
        <v>202</v>
      </c>
      <c r="G11" s="75">
        <v>218</v>
      </c>
      <c r="I11" s="18" t="s">
        <v>1093</v>
      </c>
      <c r="J11" s="20" t="s">
        <v>1092</v>
      </c>
      <c r="K11" s="75">
        <v>140</v>
      </c>
      <c r="L11" s="75">
        <v>148</v>
      </c>
      <c r="M11" s="75">
        <v>171</v>
      </c>
      <c r="N11" s="75">
        <v>202</v>
      </c>
      <c r="O11" s="75">
        <v>218</v>
      </c>
    </row>
    <row r="12" spans="1:15" ht="15" customHeight="1" x14ac:dyDescent="0.25">
      <c r="A12" s="18" t="s">
        <v>1094</v>
      </c>
      <c r="B12" s="69" t="s">
        <v>1095</v>
      </c>
      <c r="C12" s="77">
        <f>C10/C11</f>
        <v>7.1428571428571432</v>
      </c>
      <c r="D12" s="77">
        <f>D10/D11</f>
        <v>8.1081081081081088</v>
      </c>
      <c r="E12" s="77">
        <f>E10/E11</f>
        <v>8.1871345029239766</v>
      </c>
      <c r="F12" s="77">
        <f>F10/F11</f>
        <v>7.9207920792079207</v>
      </c>
      <c r="G12" s="77">
        <f>G10/G11</f>
        <v>8.2568807339449535</v>
      </c>
      <c r="I12" s="18" t="s">
        <v>1096</v>
      </c>
      <c r="J12" s="18" t="s">
        <v>1097</v>
      </c>
      <c r="K12" s="77">
        <f>K10/K11</f>
        <v>7.1428571428571432</v>
      </c>
      <c r="L12" s="77">
        <f>L10/L11</f>
        <v>8.1081081081081088</v>
      </c>
      <c r="M12" s="77">
        <f>M10/M11</f>
        <v>8.1871345029239766</v>
      </c>
      <c r="N12" s="77">
        <f>N10/N11</f>
        <v>7.9207920792079207</v>
      </c>
      <c r="O12" s="77">
        <f>O10/O11</f>
        <v>8.2568807339449535</v>
      </c>
    </row>
    <row r="13" spans="1:15" ht="15" customHeight="1" x14ac:dyDescent="0.25">
      <c r="A13" s="18" t="s">
        <v>1098</v>
      </c>
      <c r="B13" s="69" t="s">
        <v>963</v>
      </c>
      <c r="C13" s="75">
        <v>1</v>
      </c>
      <c r="D13" s="75">
        <v>1</v>
      </c>
      <c r="E13" s="75">
        <v>1</v>
      </c>
      <c r="F13" s="75">
        <v>1</v>
      </c>
      <c r="G13" s="75">
        <v>1</v>
      </c>
      <c r="I13" s="18" t="s">
        <v>1099</v>
      </c>
      <c r="J13" s="18" t="s">
        <v>963</v>
      </c>
      <c r="K13" s="75">
        <v>1</v>
      </c>
      <c r="L13" s="75">
        <v>1</v>
      </c>
      <c r="M13" s="75">
        <v>1</v>
      </c>
      <c r="N13" s="75">
        <v>1</v>
      </c>
      <c r="O13" s="75">
        <v>1</v>
      </c>
    </row>
    <row r="14" spans="1:15" ht="15" customHeight="1" x14ac:dyDescent="0.25">
      <c r="A14" s="18" t="s">
        <v>1100</v>
      </c>
      <c r="B14" s="69" t="s">
        <v>2671</v>
      </c>
      <c r="C14" s="73">
        <f>46.95*100</f>
        <v>4695</v>
      </c>
      <c r="D14" s="73">
        <f>46.95*100</f>
        <v>4695</v>
      </c>
      <c r="E14" s="73">
        <f>46.95*100</f>
        <v>4695</v>
      </c>
      <c r="F14" s="73">
        <f>46.95*100</f>
        <v>4695</v>
      </c>
      <c r="G14" s="73">
        <f>46.95*100</f>
        <v>4695</v>
      </c>
      <c r="I14" s="18" t="s">
        <v>1101</v>
      </c>
      <c r="J14" s="18" t="s">
        <v>2647</v>
      </c>
      <c r="K14" s="73">
        <f>38*100</f>
        <v>3800</v>
      </c>
      <c r="L14" s="73">
        <f>38*100</f>
        <v>3800</v>
      </c>
      <c r="M14" s="73">
        <f>38*100</f>
        <v>3800</v>
      </c>
      <c r="N14" s="73">
        <f>38*100</f>
        <v>3800</v>
      </c>
      <c r="O14" s="73">
        <f>38*100</f>
        <v>3800</v>
      </c>
    </row>
    <row r="15" spans="1:15" ht="15" customHeight="1" x14ac:dyDescent="0.25">
      <c r="A15" s="18" t="s">
        <v>1102</v>
      </c>
      <c r="B15" s="20" t="s">
        <v>2670</v>
      </c>
      <c r="C15" s="73">
        <f>106.19*30</f>
        <v>3185.7</v>
      </c>
      <c r="D15" s="73">
        <f>106.19*30</f>
        <v>3185.7</v>
      </c>
      <c r="E15" s="73">
        <f>106.19*30</f>
        <v>3185.7</v>
      </c>
      <c r="F15" s="73">
        <f>106.19*30</f>
        <v>3185.7</v>
      </c>
      <c r="G15" s="73">
        <f>106.19*30</f>
        <v>3185.7</v>
      </c>
      <c r="I15" s="18" t="s">
        <v>1103</v>
      </c>
      <c r="J15" s="20" t="s">
        <v>2690</v>
      </c>
      <c r="K15" s="73">
        <v>3320</v>
      </c>
      <c r="L15" s="73">
        <f>110.68*30</f>
        <v>3320.4</v>
      </c>
      <c r="M15" s="73">
        <f>110.68*30</f>
        <v>3320.4</v>
      </c>
      <c r="N15" s="73">
        <f>110.68*30</f>
        <v>3320.4</v>
      </c>
      <c r="O15" s="73">
        <f>110.68*30</f>
        <v>3320.4</v>
      </c>
    </row>
    <row r="16" spans="1:15" ht="15" customHeight="1" x14ac:dyDescent="0.25">
      <c r="A16" s="18" t="s">
        <v>1104</v>
      </c>
      <c r="B16" s="70" t="s">
        <v>2646</v>
      </c>
      <c r="C16" s="73">
        <v>6942</v>
      </c>
      <c r="D16" s="73">
        <v>6942</v>
      </c>
      <c r="E16" s="73">
        <v>6942</v>
      </c>
      <c r="F16" s="73">
        <v>6942</v>
      </c>
      <c r="G16" s="73">
        <v>6942</v>
      </c>
      <c r="I16" s="18" t="s">
        <v>1105</v>
      </c>
      <c r="J16" s="20" t="s">
        <v>2691</v>
      </c>
      <c r="K16" s="73">
        <v>5850</v>
      </c>
      <c r="L16" s="73">
        <v>5850</v>
      </c>
      <c r="M16" s="73">
        <v>5850</v>
      </c>
      <c r="N16" s="73">
        <v>5850</v>
      </c>
      <c r="O16" s="73">
        <v>5850</v>
      </c>
    </row>
    <row r="17" spans="1:17" ht="15" customHeight="1" x14ac:dyDescent="0.25">
      <c r="A17" s="18" t="s">
        <v>1225</v>
      </c>
      <c r="B17" s="69" t="s">
        <v>1106</v>
      </c>
      <c r="C17" s="73">
        <v>4789</v>
      </c>
      <c r="D17" s="73">
        <v>4789</v>
      </c>
      <c r="E17" s="73">
        <v>4789</v>
      </c>
      <c r="F17" s="73">
        <v>4789</v>
      </c>
      <c r="G17" s="73">
        <v>4789</v>
      </c>
      <c r="I17" s="18" t="s">
        <v>1107</v>
      </c>
      <c r="J17" s="18" t="s">
        <v>289</v>
      </c>
      <c r="K17" s="73">
        <v>4856</v>
      </c>
      <c r="L17" s="73">
        <v>4856</v>
      </c>
      <c r="M17" s="73">
        <v>4856</v>
      </c>
      <c r="N17" s="73">
        <v>4856</v>
      </c>
      <c r="O17" s="73">
        <v>4856</v>
      </c>
    </row>
    <row r="18" spans="1:17" ht="15" customHeight="1" x14ac:dyDescent="0.25">
      <c r="A18" s="18" t="s">
        <v>1108</v>
      </c>
      <c r="B18" s="69" t="s">
        <v>2703</v>
      </c>
      <c r="C18" s="76">
        <v>0</v>
      </c>
      <c r="D18" s="76">
        <v>0</v>
      </c>
      <c r="E18" s="73">
        <v>8111</v>
      </c>
      <c r="F18" s="73">
        <v>8111</v>
      </c>
      <c r="G18" s="73">
        <v>8111</v>
      </c>
      <c r="I18" s="18" t="s">
        <v>1109</v>
      </c>
      <c r="J18" s="18" t="s">
        <v>290</v>
      </c>
      <c r="K18" s="76">
        <v>0</v>
      </c>
      <c r="L18" s="76">
        <v>0</v>
      </c>
      <c r="M18" s="73">
        <v>8054</v>
      </c>
      <c r="N18" s="73">
        <v>8054</v>
      </c>
      <c r="O18" s="73">
        <v>8054</v>
      </c>
    </row>
    <row r="19" spans="1:17" ht="15" customHeight="1" x14ac:dyDescent="0.25">
      <c r="A19" s="18" t="s">
        <v>1110</v>
      </c>
      <c r="B19" s="69" t="s">
        <v>2677</v>
      </c>
      <c r="C19" s="73">
        <v>251</v>
      </c>
      <c r="D19" s="73">
        <v>251</v>
      </c>
      <c r="E19" s="73">
        <v>251</v>
      </c>
      <c r="F19" s="73">
        <v>251</v>
      </c>
      <c r="G19" s="73">
        <v>251</v>
      </c>
      <c r="I19" s="18" t="s">
        <v>1111</v>
      </c>
      <c r="J19" s="18" t="s">
        <v>2701</v>
      </c>
      <c r="K19" s="73">
        <v>220</v>
      </c>
      <c r="L19" s="73">
        <v>220</v>
      </c>
      <c r="M19" s="73">
        <v>220</v>
      </c>
      <c r="N19" s="73">
        <v>220</v>
      </c>
      <c r="O19" s="73">
        <v>220</v>
      </c>
    </row>
    <row r="20" spans="1:17" ht="15" customHeight="1" x14ac:dyDescent="0.25">
      <c r="A20" s="18" t="s">
        <v>1112</v>
      </c>
      <c r="B20" s="69" t="s">
        <v>2702</v>
      </c>
      <c r="C20" s="76">
        <v>135</v>
      </c>
      <c r="D20" s="76">
        <v>136</v>
      </c>
      <c r="E20" s="76">
        <v>136</v>
      </c>
      <c r="F20" s="76">
        <v>136</v>
      </c>
      <c r="G20" s="76">
        <v>136</v>
      </c>
      <c r="I20" s="18" t="s">
        <v>1113</v>
      </c>
      <c r="J20" s="18" t="s">
        <v>2678</v>
      </c>
      <c r="K20" s="76">
        <v>155</v>
      </c>
      <c r="L20" s="76">
        <v>155</v>
      </c>
      <c r="M20" s="76">
        <v>155</v>
      </c>
      <c r="N20" s="76">
        <v>155</v>
      </c>
      <c r="O20" s="76">
        <v>155</v>
      </c>
      <c r="Q20" s="18" t="s">
        <v>412</v>
      </c>
    </row>
    <row r="21" spans="1:17" ht="15" customHeight="1" x14ac:dyDescent="0.25">
      <c r="A21" s="18" t="s">
        <v>1114</v>
      </c>
      <c r="B21" s="69" t="s">
        <v>2672</v>
      </c>
      <c r="C21" s="73">
        <v>2295</v>
      </c>
      <c r="D21" s="73">
        <v>2295</v>
      </c>
      <c r="E21" s="73">
        <v>2295</v>
      </c>
      <c r="F21" s="73">
        <v>2295</v>
      </c>
      <c r="G21" s="73">
        <v>2295</v>
      </c>
      <c r="H21" s="78"/>
      <c r="I21" s="18" t="s">
        <v>1115</v>
      </c>
      <c r="J21" s="18" t="s">
        <v>2674</v>
      </c>
      <c r="K21" s="73">
        <v>2275</v>
      </c>
      <c r="L21" s="73">
        <v>2275</v>
      </c>
      <c r="M21" s="73">
        <v>2275</v>
      </c>
      <c r="N21" s="73">
        <v>2275</v>
      </c>
      <c r="O21" s="73">
        <v>2275</v>
      </c>
    </row>
    <row r="22" spans="1:17" ht="15" customHeight="1" x14ac:dyDescent="0.25">
      <c r="A22" s="18" t="s">
        <v>1116</v>
      </c>
      <c r="B22" s="69" t="s">
        <v>2693</v>
      </c>
      <c r="C22" s="73">
        <v>1975</v>
      </c>
      <c r="D22" s="73">
        <v>1975</v>
      </c>
      <c r="E22" s="73">
        <v>1975</v>
      </c>
      <c r="F22" s="73">
        <v>1975</v>
      </c>
      <c r="G22" s="73">
        <v>1975</v>
      </c>
      <c r="I22" s="18" t="s">
        <v>1117</v>
      </c>
      <c r="J22" s="18" t="s">
        <v>2699</v>
      </c>
      <c r="K22" s="73">
        <v>2430</v>
      </c>
      <c r="L22" s="73">
        <v>2430</v>
      </c>
      <c r="M22" s="73">
        <v>2430</v>
      </c>
      <c r="N22" s="73">
        <v>2430</v>
      </c>
      <c r="O22" s="73">
        <v>2430</v>
      </c>
    </row>
    <row r="23" spans="1:17" ht="15" customHeight="1" x14ac:dyDescent="0.25">
      <c r="A23" s="18" t="s">
        <v>1118</v>
      </c>
      <c r="B23" s="69" t="s">
        <v>2694</v>
      </c>
      <c r="C23" s="76">
        <v>2270</v>
      </c>
      <c r="D23" s="76">
        <v>2270</v>
      </c>
      <c r="E23" s="76">
        <v>2270</v>
      </c>
      <c r="F23" s="76">
        <v>2270</v>
      </c>
      <c r="G23" s="76">
        <v>2270</v>
      </c>
      <c r="I23" s="18" t="s">
        <v>1119</v>
      </c>
      <c r="J23" s="18" t="s">
        <v>2700</v>
      </c>
      <c r="K23" s="76">
        <v>1800</v>
      </c>
      <c r="L23" s="76">
        <v>1800</v>
      </c>
      <c r="M23" s="76">
        <v>1800</v>
      </c>
      <c r="N23" s="76">
        <v>1800</v>
      </c>
      <c r="O23" s="76">
        <v>1800</v>
      </c>
    </row>
    <row r="24" spans="1:17" ht="15" customHeight="1" x14ac:dyDescent="0.25">
      <c r="A24" s="18" t="s">
        <v>1476</v>
      </c>
      <c r="B24" s="69" t="s">
        <v>2676</v>
      </c>
      <c r="C24" s="73">
        <v>15383</v>
      </c>
      <c r="D24" s="73">
        <v>15383</v>
      </c>
      <c r="E24" s="73">
        <v>15383</v>
      </c>
      <c r="F24" s="73">
        <v>15383</v>
      </c>
      <c r="G24" s="73">
        <v>15383</v>
      </c>
      <c r="I24" s="18" t="s">
        <v>1120</v>
      </c>
      <c r="J24" s="18" t="s">
        <v>2692</v>
      </c>
      <c r="K24" s="76">
        <v>14800</v>
      </c>
      <c r="L24" s="76">
        <v>14800</v>
      </c>
      <c r="M24" s="76">
        <v>14800</v>
      </c>
      <c r="N24" s="76">
        <v>14800</v>
      </c>
      <c r="O24" s="76">
        <v>14800</v>
      </c>
    </row>
    <row r="25" spans="1:17" ht="15" customHeight="1" x14ac:dyDescent="0.25"/>
    <row r="26" spans="1:17" ht="15" customHeight="1" x14ac:dyDescent="0.25">
      <c r="B26" s="97" t="s">
        <v>662</v>
      </c>
      <c r="C26" s="98"/>
      <c r="D26" s="98"/>
      <c r="E26" s="98"/>
      <c r="F26" s="98"/>
      <c r="G26" s="98"/>
      <c r="J26" s="97" t="s">
        <v>662</v>
      </c>
      <c r="K26" s="98"/>
      <c r="L26" s="98"/>
      <c r="M26" s="98"/>
      <c r="N26" s="98"/>
      <c r="O26" s="98"/>
    </row>
    <row r="27" spans="1:17" ht="15" customHeight="1" x14ac:dyDescent="0.25">
      <c r="B27" s="18" t="s">
        <v>1121</v>
      </c>
      <c r="C27" s="21">
        <f>C4</f>
        <v>149550</v>
      </c>
      <c r="D27" s="21">
        <f>D4</f>
        <v>166320</v>
      </c>
      <c r="E27" s="21">
        <f>E4</f>
        <v>181020.00000000003</v>
      </c>
      <c r="F27" s="21">
        <f>F4</f>
        <v>197200</v>
      </c>
      <c r="G27" s="21">
        <f>G4</f>
        <v>215730</v>
      </c>
      <c r="J27" s="18" t="s">
        <v>1121</v>
      </c>
      <c r="K27" s="78">
        <f>K4</f>
        <v>133000</v>
      </c>
      <c r="L27" s="78">
        <f>L4</f>
        <v>153600</v>
      </c>
      <c r="M27" s="78">
        <f>M4</f>
        <v>175000</v>
      </c>
      <c r="N27" s="78">
        <f>N4</f>
        <v>195200</v>
      </c>
      <c r="O27" s="78">
        <f>O4</f>
        <v>214200</v>
      </c>
    </row>
    <row r="28" spans="1:17" ht="15" customHeight="1" x14ac:dyDescent="0.25">
      <c r="B28" s="20" t="s">
        <v>1122</v>
      </c>
      <c r="C28" s="78">
        <f>C7</f>
        <v>-8036</v>
      </c>
      <c r="D28" s="78">
        <f>D7</f>
        <v>-7879.52</v>
      </c>
      <c r="E28" s="78">
        <f>E7</f>
        <v>-8515.7999999999993</v>
      </c>
      <c r="F28" s="78">
        <f>F7</f>
        <v>-9615.2000000000007</v>
      </c>
      <c r="G28" s="78">
        <f>G7</f>
        <v>-10071.6</v>
      </c>
      <c r="J28" s="20" t="s">
        <v>1122</v>
      </c>
      <c r="K28" s="78">
        <f>K7</f>
        <v>-3886.4</v>
      </c>
      <c r="L28" s="78">
        <f>L7</f>
        <v>-4108.4800000000005</v>
      </c>
      <c r="M28" s="78">
        <f>M7</f>
        <v>-4746.96</v>
      </c>
      <c r="N28" s="78">
        <f>N7</f>
        <v>-5607.52</v>
      </c>
      <c r="O28" s="78">
        <f>O7</f>
        <v>-6051.68</v>
      </c>
    </row>
    <row r="29" spans="1:17" ht="15" customHeight="1" x14ac:dyDescent="0.25">
      <c r="B29" s="20" t="s">
        <v>1123</v>
      </c>
      <c r="C29" s="78">
        <f>(C27+C28)*C13</f>
        <v>141514</v>
      </c>
      <c r="D29" s="78">
        <f>(D27+D28)*D13</f>
        <v>158440.48000000001</v>
      </c>
      <c r="E29" s="78">
        <f>(E27+E28)*E13</f>
        <v>172504.20000000004</v>
      </c>
      <c r="F29" s="78">
        <f>(F27+F28)*F13</f>
        <v>187584.8</v>
      </c>
      <c r="G29" s="78">
        <f>(G27+G28)*G13</f>
        <v>205658.4</v>
      </c>
      <c r="J29" s="20" t="s">
        <v>1124</v>
      </c>
      <c r="K29" s="78">
        <f>(K27+K28)*K13</f>
        <v>129113.60000000001</v>
      </c>
      <c r="L29" s="78">
        <f>(L27+L28)*L13</f>
        <v>149491.51999999999</v>
      </c>
      <c r="M29" s="78">
        <f>(M27+M28)*M13</f>
        <v>170253.04</v>
      </c>
      <c r="N29" s="78">
        <f>(N27+N28)*N13</f>
        <v>189592.48</v>
      </c>
      <c r="O29" s="78">
        <f>(O27+O28)*O13</f>
        <v>208148.32</v>
      </c>
    </row>
    <row r="30" spans="1:17" ht="15" customHeight="1" x14ac:dyDescent="0.25">
      <c r="B30" s="18" t="s">
        <v>1125</v>
      </c>
      <c r="C30" s="78">
        <f>C14+C16+C17+C18+C20+C21+C22+C23+C24</f>
        <v>38484</v>
      </c>
      <c r="D30" s="78">
        <f>D14+D16+D17+D18+D20+D21+D22+D23+D24</f>
        <v>38485</v>
      </c>
      <c r="E30" s="78">
        <f>E14+E16+E17+E18+E20+E21+E22+E23+E24</f>
        <v>46596</v>
      </c>
      <c r="F30" s="78">
        <f>F14+F16+F17+F18+F20+F21+F22+F23+F24</f>
        <v>46596</v>
      </c>
      <c r="G30" s="78">
        <f>G14+G16+G17+G18+G20+G21+G22+G23+G24</f>
        <v>46596</v>
      </c>
      <c r="J30" s="18" t="s">
        <v>1125</v>
      </c>
      <c r="K30" s="78">
        <f>K14+K16+K17+K18+K20+K21+K22+K23+K24</f>
        <v>35966</v>
      </c>
      <c r="L30" s="78">
        <f>L14+L16+L17+L18+L20+L21+L22+L23+L24</f>
        <v>35966</v>
      </c>
      <c r="M30" s="78">
        <f>M14+M16+M17+M18+M20+M21+M22+M23+M24</f>
        <v>44020</v>
      </c>
      <c r="N30" s="78">
        <f>N14+N16+N17+N18+N20+N21+N22+N23+N24</f>
        <v>44020</v>
      </c>
      <c r="O30" s="78">
        <f>O14+O16+O17+O18+O20+O21+O22+O23+O24</f>
        <v>44020</v>
      </c>
    </row>
    <row r="31" spans="1:17" ht="15" customHeight="1" x14ac:dyDescent="0.25">
      <c r="B31" s="20" t="s">
        <v>1126</v>
      </c>
      <c r="C31" s="79">
        <f>C29+C30</f>
        <v>179998</v>
      </c>
      <c r="D31" s="79">
        <f>D29+D30</f>
        <v>196925.48</v>
      </c>
      <c r="E31" s="79">
        <f>E29+E30</f>
        <v>219100.20000000004</v>
      </c>
      <c r="F31" s="79">
        <f>F29+F30</f>
        <v>234180.8</v>
      </c>
      <c r="G31" s="79">
        <f>G29+G30</f>
        <v>252254.4</v>
      </c>
      <c r="J31" s="20" t="s">
        <v>1126</v>
      </c>
      <c r="K31" s="79">
        <f>K29+K30</f>
        <v>165079.6</v>
      </c>
      <c r="L31" s="79">
        <f>L29+L30</f>
        <v>185457.52</v>
      </c>
      <c r="M31" s="79">
        <f>M29+M30</f>
        <v>214273.04</v>
      </c>
      <c r="N31" s="79">
        <f>N29+N30</f>
        <v>233612.48</v>
      </c>
      <c r="O31" s="79">
        <f>O29+O30</f>
        <v>252168.32000000001</v>
      </c>
    </row>
    <row r="32" spans="1:17" ht="15" customHeight="1" x14ac:dyDescent="0.25">
      <c r="B32" s="20"/>
      <c r="J32" s="20"/>
    </row>
    <row r="33" spans="2:15" ht="15" customHeight="1" x14ac:dyDescent="0.25">
      <c r="B33" s="97" t="s">
        <v>663</v>
      </c>
      <c r="C33" s="98"/>
      <c r="D33" s="98"/>
      <c r="E33" s="98"/>
      <c r="F33" s="98"/>
      <c r="G33" s="98"/>
      <c r="J33" s="97" t="s">
        <v>663</v>
      </c>
      <c r="K33" s="98"/>
      <c r="L33" s="98"/>
      <c r="M33" s="98"/>
      <c r="N33" s="98"/>
      <c r="O33" s="98"/>
    </row>
    <row r="34" spans="2:15" ht="15" customHeight="1" x14ac:dyDescent="0.25">
      <c r="B34" s="18" t="s">
        <v>1121</v>
      </c>
      <c r="C34" s="22">
        <f>C5</f>
        <v>152803.6</v>
      </c>
      <c r="D34" s="22">
        <f>D5</f>
        <v>169919.52</v>
      </c>
      <c r="E34" s="22">
        <f>E5</f>
        <v>185194.04000000004</v>
      </c>
      <c r="F34" s="22">
        <f>F5</f>
        <v>202070.48</v>
      </c>
      <c r="G34" s="22">
        <f>G5</f>
        <v>221068.32</v>
      </c>
      <c r="J34" s="18" t="s">
        <v>1121</v>
      </c>
      <c r="K34" s="78">
        <f>K5</f>
        <v>136253.6</v>
      </c>
      <c r="L34" s="78">
        <f>L5</f>
        <v>157199.51999999999</v>
      </c>
      <c r="M34" s="78">
        <f>M5</f>
        <v>179174.04</v>
      </c>
      <c r="N34" s="78">
        <f>N5</f>
        <v>200070.48</v>
      </c>
      <c r="O34" s="78">
        <f>O5</f>
        <v>219538.32</v>
      </c>
    </row>
    <row r="35" spans="2:15" ht="15" customHeight="1" x14ac:dyDescent="0.25">
      <c r="B35" s="20" t="s">
        <v>1122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J35" s="20" t="s">
        <v>1122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</row>
    <row r="36" spans="2:15" ht="15" customHeight="1" x14ac:dyDescent="0.25">
      <c r="B36" s="20" t="s">
        <v>1127</v>
      </c>
      <c r="C36" s="78">
        <f>(C34+C35)*C13</f>
        <v>152803.6</v>
      </c>
      <c r="D36" s="78">
        <f>(D34+D35)*D13</f>
        <v>169919.52</v>
      </c>
      <c r="E36" s="78">
        <f>(E34+E35)*E13</f>
        <v>185194.04000000004</v>
      </c>
      <c r="F36" s="78">
        <f>(F34+F35)*F13</f>
        <v>202070.48</v>
      </c>
      <c r="G36" s="78">
        <f>(G34+G35)*G13</f>
        <v>221068.32</v>
      </c>
      <c r="J36" s="20" t="s">
        <v>1128</v>
      </c>
      <c r="K36" s="78">
        <f>(K34+K35)*K13</f>
        <v>136253.6</v>
      </c>
      <c r="L36" s="78">
        <f>(L34+L35)*L13</f>
        <v>157199.51999999999</v>
      </c>
      <c r="M36" s="78">
        <f>(M34+M35)*M13</f>
        <v>179174.04</v>
      </c>
      <c r="N36" s="78">
        <f>(N34+N35)*N13</f>
        <v>200070.48</v>
      </c>
      <c r="O36" s="78">
        <f>(O34+O35)*O13</f>
        <v>219538.32</v>
      </c>
    </row>
    <row r="37" spans="2:15" ht="15" customHeight="1" x14ac:dyDescent="0.25">
      <c r="B37" s="18" t="s">
        <v>1125</v>
      </c>
      <c r="C37" s="78">
        <f>C14+C16+C17+C18+C20+C21+C22+C23+C24+C19</f>
        <v>38735</v>
      </c>
      <c r="D37" s="78">
        <f>D14+D16+D17+D18+D20+D21+D22+D23+D24+D19</f>
        <v>38736</v>
      </c>
      <c r="E37" s="78">
        <f>E14+E16+E17+E18+E20+E21+E22+E23+E24+E19</f>
        <v>46847</v>
      </c>
      <c r="F37" s="78">
        <f>F14+F16+F17+F18+F20+F21+F22+F23+F24+F19</f>
        <v>46847</v>
      </c>
      <c r="G37" s="78">
        <f>G14+G16+G17+G18+G20+G21+G22+G23+G24+G19</f>
        <v>46847</v>
      </c>
      <c r="J37" s="18" t="s">
        <v>1125</v>
      </c>
      <c r="K37" s="78">
        <f>K14+K16+K17+K18+K20+K21+K22+K23+K24+K19</f>
        <v>36186</v>
      </c>
      <c r="L37" s="78">
        <f>L14+L16+L17+L18+L20+L21+L22+L23+L24+L19</f>
        <v>36186</v>
      </c>
      <c r="M37" s="78">
        <f>M14+M16+M17+M18+M20+M21+M22+M23+M24+M19</f>
        <v>44240</v>
      </c>
      <c r="N37" s="78">
        <f>N14+N16+N17+N18+N20+N21+N22+N23+N24+N19</f>
        <v>44240</v>
      </c>
      <c r="O37" s="78">
        <f>O14+O16+O17+O18+O20+O21+O22+O23+O24+O19</f>
        <v>44240</v>
      </c>
    </row>
    <row r="38" spans="2:15" ht="15" customHeight="1" x14ac:dyDescent="0.25">
      <c r="B38" s="20" t="s">
        <v>1126</v>
      </c>
      <c r="C38" s="79">
        <f>C36+C37</f>
        <v>191538.6</v>
      </c>
      <c r="D38" s="79">
        <f>D36+D37</f>
        <v>208655.52</v>
      </c>
      <c r="E38" s="79">
        <f>E36+E37</f>
        <v>232041.04000000004</v>
      </c>
      <c r="F38" s="79">
        <f>F36+F37</f>
        <v>248917.48</v>
      </c>
      <c r="G38" s="79">
        <f>G36+G37</f>
        <v>267915.32</v>
      </c>
      <c r="J38" s="20" t="s">
        <v>1126</v>
      </c>
      <c r="K38" s="79">
        <f>K36+K37</f>
        <v>172439.6</v>
      </c>
      <c r="L38" s="79">
        <f>L36+L37</f>
        <v>193385.52</v>
      </c>
      <c r="M38" s="79">
        <f>M36+M37</f>
        <v>223414.04</v>
      </c>
      <c r="N38" s="79">
        <f>N36+N37</f>
        <v>244310.48</v>
      </c>
      <c r="O38" s="79">
        <f>O36+O37</f>
        <v>263778.32</v>
      </c>
    </row>
    <row r="39" spans="2:15" ht="15" customHeight="1" x14ac:dyDescent="0.25">
      <c r="B39" s="20"/>
      <c r="J39" s="20"/>
    </row>
    <row r="40" spans="2:15" ht="15" customHeight="1" x14ac:dyDescent="0.25">
      <c r="B40" s="97" t="s">
        <v>964</v>
      </c>
      <c r="C40" s="98"/>
      <c r="D40" s="98"/>
      <c r="E40" s="98"/>
      <c r="F40" s="98"/>
      <c r="G40" s="98"/>
      <c r="J40" s="97" t="s">
        <v>964</v>
      </c>
      <c r="K40" s="98"/>
      <c r="L40" s="98"/>
      <c r="M40" s="98"/>
      <c r="N40" s="98"/>
      <c r="O40" s="98"/>
    </row>
    <row r="41" spans="2:15" ht="15" customHeight="1" x14ac:dyDescent="0.25">
      <c r="B41" s="18" t="s">
        <v>1121</v>
      </c>
      <c r="C41" s="78">
        <f>C6</f>
        <v>153514.79999999999</v>
      </c>
      <c r="D41" s="78">
        <f>D6</f>
        <v>170671.35999999999</v>
      </c>
      <c r="E41" s="78">
        <f>E6</f>
        <v>186062.72000000003</v>
      </c>
      <c r="F41" s="78">
        <f>F6</f>
        <v>203096.64</v>
      </c>
      <c r="G41" s="78">
        <f>G6</f>
        <v>222175.76</v>
      </c>
      <c r="J41" s="18" t="s">
        <v>1121</v>
      </c>
      <c r="K41" s="78">
        <f>K6</f>
        <v>136964.79999999999</v>
      </c>
      <c r="L41" s="78">
        <f>L6</f>
        <v>157951.35999999999</v>
      </c>
      <c r="M41" s="78">
        <f>M6</f>
        <v>180042.72</v>
      </c>
      <c r="N41" s="78">
        <f>N6</f>
        <v>201096.64</v>
      </c>
      <c r="O41" s="78">
        <f>O6</f>
        <v>220645.76000000001</v>
      </c>
    </row>
    <row r="42" spans="2:15" ht="15" customHeight="1" x14ac:dyDescent="0.25">
      <c r="B42" s="20" t="s">
        <v>1122</v>
      </c>
      <c r="C42" s="78">
        <f>C9</f>
        <v>14350</v>
      </c>
      <c r="D42" s="78">
        <f>D9</f>
        <v>15972</v>
      </c>
      <c r="E42" s="78">
        <f>E9</f>
        <v>17430</v>
      </c>
      <c r="F42" s="78">
        <f>F9</f>
        <v>19040</v>
      </c>
      <c r="G42" s="78">
        <f>G9</f>
        <v>20790</v>
      </c>
      <c r="J42" s="20" t="s">
        <v>1122</v>
      </c>
      <c r="K42" s="78">
        <f>K9</f>
        <v>20700</v>
      </c>
      <c r="L42" s="78">
        <f>L9</f>
        <v>23460</v>
      </c>
      <c r="M42" s="78">
        <f>M9</f>
        <v>26530</v>
      </c>
      <c r="N42" s="78">
        <f>N9</f>
        <v>29360.000000000004</v>
      </c>
      <c r="O42" s="78">
        <f>O9</f>
        <v>32580.000000000004</v>
      </c>
    </row>
    <row r="43" spans="2:15" ht="15" customHeight="1" x14ac:dyDescent="0.25">
      <c r="B43" s="20" t="s">
        <v>1127</v>
      </c>
      <c r="C43" s="78">
        <f>(C41+C42)*C13</f>
        <v>167864.8</v>
      </c>
      <c r="D43" s="78">
        <f>(D41+D42)*D13</f>
        <v>186643.36</v>
      </c>
      <c r="E43" s="78">
        <f>(E41+E42)*E13</f>
        <v>203492.72000000003</v>
      </c>
      <c r="F43" s="78">
        <f>(F41+F42)*F13</f>
        <v>222136.64</v>
      </c>
      <c r="G43" s="78">
        <f>(G41+G42)*G13</f>
        <v>242965.76000000001</v>
      </c>
      <c r="J43" s="20" t="s">
        <v>1124</v>
      </c>
      <c r="K43" s="78">
        <f>(K41+K42)*K13</f>
        <v>157664.79999999999</v>
      </c>
      <c r="L43" s="78">
        <f>(L41+L42)*L13</f>
        <v>181411.36</v>
      </c>
      <c r="M43" s="78">
        <f>(M41+M42)*M13</f>
        <v>206572.72</v>
      </c>
      <c r="N43" s="78">
        <f>(N41+N42)*N13</f>
        <v>230456.64</v>
      </c>
      <c r="O43" s="78">
        <f>(O41+O42)*O13</f>
        <v>253225.76</v>
      </c>
    </row>
    <row r="44" spans="2:15" ht="15" customHeight="1" x14ac:dyDescent="0.25">
      <c r="B44" s="18" t="s">
        <v>1125</v>
      </c>
      <c r="C44" s="78">
        <f>C14+C16+C17+C18+C20+C21+C22+C23+C24+C15+C19</f>
        <v>41920.699999999997</v>
      </c>
      <c r="D44" s="78">
        <f>D14+D16+D17+D18+D20+D21+D22+D23+D24+D15+D19</f>
        <v>41921.699999999997</v>
      </c>
      <c r="E44" s="78">
        <f>E14+E16+E17+E18+E20+E21+E22+E23+E24+E15+E19</f>
        <v>50032.7</v>
      </c>
      <c r="F44" s="78">
        <f>F14+F16+F17+F18+F20+F21+F22+F23+F24+F15+F19</f>
        <v>50032.7</v>
      </c>
      <c r="G44" s="78">
        <f>G14+G16+G17+G18+G20+G21+G22+G23+G24+G15+G19</f>
        <v>50032.7</v>
      </c>
      <c r="J44" s="18" t="s">
        <v>1125</v>
      </c>
      <c r="K44" s="78">
        <f>K14+K16+K17+K18+K20+K21+K22+K23+K24+K15+K19</f>
        <v>39506</v>
      </c>
      <c r="L44" s="78">
        <f>L14+L16+L17+L18+L20+L21+L22+L23+L24+L15+L19</f>
        <v>39506.400000000001</v>
      </c>
      <c r="M44" s="78">
        <f>M14+M16+M17+M18+M20+M21+M22+M23+M24+M15+M19</f>
        <v>47560.4</v>
      </c>
      <c r="N44" s="78">
        <f>N14+N16+N17+N18+N20+N21+N22+N23+N24+N15+N19</f>
        <v>47560.4</v>
      </c>
      <c r="O44" s="78">
        <f>O14+O16+O17+O18+O20+O21+O22+O23+O24+O15+O19</f>
        <v>47560.4</v>
      </c>
    </row>
    <row r="45" spans="2:15" ht="15" customHeight="1" x14ac:dyDescent="0.25">
      <c r="B45" s="20" t="s">
        <v>1126</v>
      </c>
      <c r="C45" s="79">
        <f>C43+C44</f>
        <v>209785.5</v>
      </c>
      <c r="D45" s="79">
        <f>D43+D44</f>
        <v>228565.06</v>
      </c>
      <c r="E45" s="79">
        <f>E43+E44</f>
        <v>253525.42000000004</v>
      </c>
      <c r="F45" s="79">
        <f>F43+F44</f>
        <v>272169.34000000003</v>
      </c>
      <c r="G45" s="79">
        <f>G43+G44</f>
        <v>292998.46000000002</v>
      </c>
      <c r="J45" s="20" t="s">
        <v>1126</v>
      </c>
      <c r="K45" s="79">
        <f>K43+K44</f>
        <v>197170.8</v>
      </c>
      <c r="L45" s="79">
        <f>L43+L44</f>
        <v>220917.75999999998</v>
      </c>
      <c r="M45" s="79">
        <f>M43+M44</f>
        <v>254133.12</v>
      </c>
      <c r="N45" s="79">
        <f>N43+N44</f>
        <v>278017.04000000004</v>
      </c>
      <c r="O45" s="79">
        <f>O43+O44</f>
        <v>300786.16000000003</v>
      </c>
    </row>
    <row r="46" spans="2:15" ht="15" customHeight="1" x14ac:dyDescent="0.25">
      <c r="B46" s="20"/>
      <c r="J46" s="20"/>
    </row>
  </sheetData>
  <mergeCells count="6">
    <mergeCell ref="B26:G26"/>
    <mergeCell ref="B33:G33"/>
    <mergeCell ref="B40:G40"/>
    <mergeCell ref="J26:O26"/>
    <mergeCell ref="J33:O33"/>
    <mergeCell ref="J40:O40"/>
  </mergeCells>
  <phoneticPr fontId="0" type="noConversion"/>
  <printOptions horizontalCentered="1" verticalCentered="1" headings="1" gridLines="1"/>
  <pageMargins left="0.27" right="0.3" top="0.5" bottom="0.5" header="0.5" footer="0.5"/>
  <pageSetup scale="61" orientation="landscape" blackAndWhite="1" horizontalDpi="4294967293" verticalDpi="4294967293" r:id="rId1"/>
  <headerFooter alignWithMargins="0">
    <oddHeader>&amp;C&amp;"Arial,Bold"&amp;14TDC Base Figures - Revised 
March 2019</oddHeader>
    <oddFooter>&amp;CPage 1 of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16"/>
  <sheetViews>
    <sheetView topLeftCell="A239" zoomScale="130" zoomScaleNormal="130" workbookViewId="0">
      <selection activeCell="C239" sqref="C239"/>
    </sheetView>
  </sheetViews>
  <sheetFormatPr defaultRowHeight="12" x14ac:dyDescent="0.2"/>
  <cols>
    <col min="1" max="1" width="14.109375" bestFit="1" customWidth="1"/>
    <col min="2" max="2" width="14.88671875" bestFit="1" customWidth="1"/>
    <col min="3" max="3" width="17.109375" style="23" customWidth="1"/>
    <col min="4" max="4" width="24.88671875" customWidth="1"/>
    <col min="5" max="5" width="22.21875" bestFit="1" customWidth="1"/>
  </cols>
  <sheetData>
    <row r="1" spans="1:5" ht="52.8" x14ac:dyDescent="0.25">
      <c r="A1" s="71" t="s">
        <v>288</v>
      </c>
      <c r="B1" s="24" t="s">
        <v>1491</v>
      </c>
      <c r="D1" s="88" t="s">
        <v>2675</v>
      </c>
      <c r="E1" s="40"/>
    </row>
    <row r="2" spans="1:5" ht="13.2" x14ac:dyDescent="0.25">
      <c r="A2" s="26" t="s">
        <v>1129</v>
      </c>
      <c r="B2" s="52" t="s">
        <v>1130</v>
      </c>
      <c r="C2" s="53" t="s">
        <v>133</v>
      </c>
      <c r="D2" s="54" t="s">
        <v>1131</v>
      </c>
      <c r="E2" s="40"/>
    </row>
    <row r="3" spans="1:5" ht="13.2" x14ac:dyDescent="0.25">
      <c r="A3" s="1" t="s">
        <v>1000</v>
      </c>
      <c r="B3" s="1" t="s">
        <v>1919</v>
      </c>
      <c r="C3" s="55">
        <v>0.92</v>
      </c>
      <c r="D3" s="1" t="s">
        <v>1911</v>
      </c>
      <c r="E3" s="40"/>
    </row>
    <row r="4" spans="1:5" x14ac:dyDescent="0.2">
      <c r="A4" s="40"/>
      <c r="B4" s="40"/>
      <c r="C4" s="40"/>
      <c r="D4" s="40"/>
      <c r="E4" s="40"/>
    </row>
    <row r="5" spans="1:5" ht="13.2" x14ac:dyDescent="0.25">
      <c r="A5" s="40" t="s">
        <v>1188</v>
      </c>
      <c r="B5" s="40">
        <v>996</v>
      </c>
      <c r="C5" s="56">
        <v>1.34</v>
      </c>
      <c r="D5" s="40" t="s">
        <v>1132</v>
      </c>
      <c r="E5" s="40"/>
    </row>
    <row r="6" spans="1:5" ht="13.2" x14ac:dyDescent="0.25">
      <c r="A6" s="40" t="s">
        <v>1188</v>
      </c>
      <c r="B6" s="40">
        <v>997</v>
      </c>
      <c r="C6" s="56">
        <v>1.34</v>
      </c>
      <c r="D6" s="40" t="s">
        <v>1132</v>
      </c>
      <c r="E6" s="40"/>
    </row>
    <row r="7" spans="1:5" ht="13.2" x14ac:dyDescent="0.25">
      <c r="A7" s="40" t="s">
        <v>1188</v>
      </c>
      <c r="B7" s="1">
        <v>998</v>
      </c>
      <c r="C7" s="56">
        <v>1.36</v>
      </c>
      <c r="D7" s="40" t="s">
        <v>1132</v>
      </c>
      <c r="E7" s="40"/>
    </row>
    <row r="8" spans="1:5" ht="13.2" x14ac:dyDescent="0.25">
      <c r="A8" s="1" t="s">
        <v>1133</v>
      </c>
      <c r="B8" s="1" t="s">
        <v>354</v>
      </c>
      <c r="C8" s="55">
        <v>0.98</v>
      </c>
      <c r="D8" s="1" t="s">
        <v>316</v>
      </c>
      <c r="E8" s="40"/>
    </row>
    <row r="9" spans="1:5" ht="13.2" x14ac:dyDescent="0.25">
      <c r="A9" s="1" t="s">
        <v>1133</v>
      </c>
      <c r="B9" s="1" t="s">
        <v>324</v>
      </c>
      <c r="C9" s="55">
        <v>0.93</v>
      </c>
      <c r="D9" s="1" t="s">
        <v>316</v>
      </c>
      <c r="E9" s="40"/>
    </row>
    <row r="10" spans="1:5" ht="13.2" x14ac:dyDescent="0.25">
      <c r="A10" s="1" t="s">
        <v>1133</v>
      </c>
      <c r="B10" s="1" t="s">
        <v>366</v>
      </c>
      <c r="C10" s="55">
        <v>0.99</v>
      </c>
      <c r="D10" s="1" t="s">
        <v>316</v>
      </c>
      <c r="E10" s="40"/>
    </row>
    <row r="11" spans="1:5" ht="13.2" x14ac:dyDescent="0.25">
      <c r="A11" s="1" t="s">
        <v>1133</v>
      </c>
      <c r="B11" s="1" t="s">
        <v>383</v>
      </c>
      <c r="C11" s="55">
        <v>0.94</v>
      </c>
      <c r="D11" s="1" t="s">
        <v>316</v>
      </c>
      <c r="E11" s="40"/>
    </row>
    <row r="12" spans="1:5" ht="13.2" x14ac:dyDescent="0.25">
      <c r="A12" s="1" t="s">
        <v>1133</v>
      </c>
      <c r="B12" s="1" t="s">
        <v>331</v>
      </c>
      <c r="C12" s="55">
        <v>0.95</v>
      </c>
      <c r="D12" s="1" t="s">
        <v>316</v>
      </c>
      <c r="E12" s="40"/>
    </row>
    <row r="13" spans="1:5" ht="13.2" x14ac:dyDescent="0.25">
      <c r="A13" s="1"/>
      <c r="B13" s="1"/>
      <c r="C13" s="44"/>
      <c r="D13" s="1"/>
      <c r="E13" s="40"/>
    </row>
    <row r="14" spans="1:5" ht="13.2" x14ac:dyDescent="0.25">
      <c r="A14" s="1" t="s">
        <v>1133</v>
      </c>
      <c r="B14" s="1" t="s">
        <v>426</v>
      </c>
      <c r="C14" s="55">
        <v>1.22</v>
      </c>
      <c r="D14" s="1" t="s">
        <v>421</v>
      </c>
      <c r="E14" s="40"/>
    </row>
    <row r="15" spans="1:5" ht="13.2" x14ac:dyDescent="0.25">
      <c r="A15" s="1" t="s">
        <v>1133</v>
      </c>
      <c r="B15" s="1" t="s">
        <v>455</v>
      </c>
      <c r="C15" s="55">
        <v>1.26</v>
      </c>
      <c r="D15" s="1" t="s">
        <v>421</v>
      </c>
      <c r="E15" s="40"/>
    </row>
    <row r="16" spans="1:5" ht="13.2" x14ac:dyDescent="0.25">
      <c r="A16" s="1" t="s">
        <v>1133</v>
      </c>
      <c r="B16" s="1" t="s">
        <v>466</v>
      </c>
      <c r="C16" s="55">
        <v>1.31</v>
      </c>
      <c r="D16" s="1" t="s">
        <v>421</v>
      </c>
      <c r="E16" s="40"/>
    </row>
    <row r="17" spans="1:5" ht="13.2" x14ac:dyDescent="0.25">
      <c r="A17" s="1" t="s">
        <v>1133</v>
      </c>
      <c r="B17" s="1" t="s">
        <v>732</v>
      </c>
      <c r="C17" s="55">
        <v>1.17</v>
      </c>
      <c r="D17" s="1" t="s">
        <v>421</v>
      </c>
      <c r="E17" s="40"/>
    </row>
    <row r="18" spans="1:5" ht="13.2" x14ac:dyDescent="0.25">
      <c r="A18" s="1" t="s">
        <v>1133</v>
      </c>
      <c r="B18" s="7" t="s">
        <v>343</v>
      </c>
      <c r="C18" s="55">
        <v>1.1499999999999999</v>
      </c>
      <c r="D18" s="1" t="s">
        <v>421</v>
      </c>
      <c r="E18" s="40"/>
    </row>
    <row r="19" spans="1:5" ht="13.2" x14ac:dyDescent="0.25">
      <c r="A19" s="1" t="s">
        <v>1133</v>
      </c>
      <c r="B19" s="1" t="s">
        <v>562</v>
      </c>
      <c r="C19" s="56">
        <v>1.38</v>
      </c>
      <c r="D19" s="1" t="s">
        <v>421</v>
      </c>
      <c r="E19" s="40"/>
    </row>
    <row r="20" spans="1:5" ht="13.2" x14ac:dyDescent="0.25">
      <c r="A20" s="1" t="s">
        <v>1133</v>
      </c>
      <c r="B20" s="1" t="s">
        <v>634</v>
      </c>
      <c r="C20" s="55">
        <v>1.22</v>
      </c>
      <c r="D20" s="1" t="s">
        <v>421</v>
      </c>
      <c r="E20" s="40"/>
    </row>
    <row r="21" spans="1:5" ht="13.2" x14ac:dyDescent="0.25">
      <c r="A21" s="1" t="s">
        <v>1133</v>
      </c>
      <c r="B21" s="1" t="s">
        <v>678</v>
      </c>
      <c r="C21" s="55">
        <v>1.28</v>
      </c>
      <c r="D21" s="1" t="s">
        <v>421</v>
      </c>
      <c r="E21" s="40"/>
    </row>
    <row r="22" spans="1:5" ht="13.2" x14ac:dyDescent="0.25">
      <c r="A22" s="1" t="s">
        <v>1133</v>
      </c>
      <c r="B22" s="1" t="s">
        <v>444</v>
      </c>
      <c r="C22" s="55">
        <v>1.17</v>
      </c>
      <c r="D22" s="1" t="s">
        <v>421</v>
      </c>
      <c r="E22" s="40"/>
    </row>
    <row r="23" spans="1:5" ht="13.2" x14ac:dyDescent="0.25">
      <c r="A23" s="1" t="s">
        <v>1133</v>
      </c>
      <c r="B23" s="1" t="s">
        <v>737</v>
      </c>
      <c r="C23" s="55">
        <v>1.26</v>
      </c>
      <c r="D23" s="1" t="s">
        <v>421</v>
      </c>
      <c r="E23" s="40"/>
    </row>
    <row r="24" spans="1:5" ht="13.2" x14ac:dyDescent="0.25">
      <c r="A24" s="1" t="s">
        <v>1133</v>
      </c>
      <c r="B24" s="1" t="s">
        <v>513</v>
      </c>
      <c r="C24" s="55">
        <v>1.25</v>
      </c>
      <c r="D24" s="1" t="s">
        <v>421</v>
      </c>
      <c r="E24" s="40"/>
    </row>
    <row r="25" spans="1:5" ht="13.2" x14ac:dyDescent="0.25">
      <c r="A25" s="1" t="s">
        <v>1133</v>
      </c>
      <c r="B25" s="1" t="s">
        <v>556</v>
      </c>
      <c r="C25" s="55">
        <v>1.17</v>
      </c>
      <c r="D25" s="1" t="s">
        <v>421</v>
      </c>
      <c r="E25" s="40"/>
    </row>
    <row r="26" spans="1:5" ht="13.2" x14ac:dyDescent="0.25">
      <c r="A26" s="84" t="s">
        <v>1133</v>
      </c>
      <c r="B26" s="84" t="s">
        <v>2657</v>
      </c>
      <c r="C26" s="44">
        <v>1.24</v>
      </c>
      <c r="D26" s="84" t="s">
        <v>421</v>
      </c>
      <c r="E26" s="40"/>
    </row>
    <row r="27" spans="1:5" ht="13.2" x14ac:dyDescent="0.25">
      <c r="A27" s="1" t="s">
        <v>1011</v>
      </c>
      <c r="B27" s="1" t="s">
        <v>2300</v>
      </c>
      <c r="C27" s="55">
        <v>0.9</v>
      </c>
      <c r="D27" s="1" t="s">
        <v>2292</v>
      </c>
      <c r="E27" s="40"/>
    </row>
    <row r="28" spans="1:5" ht="13.2" x14ac:dyDescent="0.25">
      <c r="A28" s="1"/>
      <c r="B28" s="1"/>
      <c r="C28" s="44"/>
      <c r="D28" s="1"/>
      <c r="E28" s="40"/>
    </row>
    <row r="29" spans="1:5" ht="13.2" x14ac:dyDescent="0.25">
      <c r="A29" s="1" t="s">
        <v>1000</v>
      </c>
      <c r="B29" s="1" t="s">
        <v>1002</v>
      </c>
      <c r="C29" s="55">
        <v>1.21</v>
      </c>
      <c r="D29" s="1" t="s">
        <v>1927</v>
      </c>
      <c r="E29" s="40"/>
    </row>
    <row r="30" spans="1:5" ht="13.2" x14ac:dyDescent="0.25">
      <c r="A30" s="1" t="s">
        <v>1000</v>
      </c>
      <c r="B30" s="1" t="s">
        <v>1934</v>
      </c>
      <c r="C30" s="55">
        <v>1.1200000000000001</v>
      </c>
      <c r="D30" s="1" t="s">
        <v>1927</v>
      </c>
      <c r="E30" s="40"/>
    </row>
    <row r="31" spans="1:5" ht="13.2" x14ac:dyDescent="0.25">
      <c r="A31" s="1" t="s">
        <v>1000</v>
      </c>
      <c r="B31" s="1" t="s">
        <v>1009</v>
      </c>
      <c r="C31" s="55">
        <v>1.1000000000000001</v>
      </c>
      <c r="D31" s="1" t="s">
        <v>1927</v>
      </c>
      <c r="E31" s="40"/>
    </row>
    <row r="32" spans="1:5" ht="13.2" x14ac:dyDescent="0.25">
      <c r="A32" s="1"/>
      <c r="B32" s="1"/>
      <c r="C32" s="44"/>
      <c r="D32" s="1"/>
      <c r="E32" s="40"/>
    </row>
    <row r="33" spans="1:5" ht="13.2" x14ac:dyDescent="0.25">
      <c r="A33" s="1"/>
      <c r="B33" s="1"/>
      <c r="C33" s="44"/>
      <c r="D33" s="1"/>
      <c r="E33" s="40"/>
    </row>
    <row r="34" spans="1:5" ht="13.2" x14ac:dyDescent="0.25">
      <c r="A34" s="1" t="s">
        <v>1000</v>
      </c>
      <c r="B34" s="1" t="s">
        <v>1154</v>
      </c>
      <c r="C34" s="55">
        <v>0.97</v>
      </c>
      <c r="D34" s="1" t="s">
        <v>1940</v>
      </c>
      <c r="E34" s="40"/>
    </row>
    <row r="35" spans="1:5" ht="13.2" x14ac:dyDescent="0.25">
      <c r="A35" s="1" t="s">
        <v>1000</v>
      </c>
      <c r="B35" s="1" t="s">
        <v>1948</v>
      </c>
      <c r="C35" s="55">
        <v>0.98</v>
      </c>
      <c r="D35" s="1" t="s">
        <v>1940</v>
      </c>
      <c r="E35" s="40"/>
    </row>
    <row r="36" spans="1:5" ht="13.2" x14ac:dyDescent="0.25">
      <c r="A36" s="1" t="s">
        <v>1000</v>
      </c>
      <c r="B36" s="1" t="s">
        <v>1950</v>
      </c>
      <c r="C36" s="55">
        <v>0.98</v>
      </c>
      <c r="D36" s="1" t="s">
        <v>1940</v>
      </c>
      <c r="E36" s="40"/>
    </row>
    <row r="37" spans="1:5" ht="13.2" x14ac:dyDescent="0.25">
      <c r="A37" s="1" t="s">
        <v>1000</v>
      </c>
      <c r="B37" s="1" t="s">
        <v>1155</v>
      </c>
      <c r="C37" s="55">
        <v>0.94</v>
      </c>
      <c r="D37" s="1" t="s">
        <v>1940</v>
      </c>
      <c r="E37" s="40"/>
    </row>
    <row r="38" spans="1:5" ht="13.2" x14ac:dyDescent="0.25">
      <c r="A38" s="1" t="s">
        <v>1000</v>
      </c>
      <c r="B38" s="1" t="s">
        <v>1155</v>
      </c>
      <c r="C38" s="55">
        <v>0.94</v>
      </c>
      <c r="D38" s="1" t="s">
        <v>1940</v>
      </c>
      <c r="E38" s="40"/>
    </row>
    <row r="39" spans="1:5" ht="13.2" x14ac:dyDescent="0.25">
      <c r="A39" s="1" t="s">
        <v>1000</v>
      </c>
      <c r="B39" s="1" t="s">
        <v>1948</v>
      </c>
      <c r="C39" s="55">
        <v>0.98</v>
      </c>
      <c r="D39" s="1" t="s">
        <v>1940</v>
      </c>
      <c r="E39" s="40"/>
    </row>
    <row r="40" spans="1:5" ht="13.2" x14ac:dyDescent="0.25">
      <c r="A40" s="1" t="s">
        <v>1000</v>
      </c>
      <c r="B40" s="1" t="s">
        <v>1153</v>
      </c>
      <c r="C40" s="55">
        <v>0.99</v>
      </c>
      <c r="D40" s="1" t="s">
        <v>1940</v>
      </c>
      <c r="E40" s="40"/>
    </row>
    <row r="41" spans="1:5" ht="13.2" x14ac:dyDescent="0.25">
      <c r="A41" s="1"/>
      <c r="B41" s="1"/>
      <c r="C41" s="44"/>
      <c r="D41" s="1"/>
      <c r="E41" s="40"/>
    </row>
    <row r="42" spans="1:5" ht="13.2" x14ac:dyDescent="0.25">
      <c r="A42" s="1" t="s">
        <v>1000</v>
      </c>
      <c r="B42" s="1" t="s">
        <v>1028</v>
      </c>
      <c r="C42" s="55">
        <v>0.83</v>
      </c>
      <c r="D42" s="1" t="s">
        <v>1024</v>
      </c>
      <c r="E42" s="40"/>
    </row>
    <row r="43" spans="1:5" ht="13.2" x14ac:dyDescent="0.25">
      <c r="A43" s="1"/>
      <c r="B43" s="1"/>
      <c r="C43" s="44"/>
      <c r="D43" s="1"/>
      <c r="E43" s="40"/>
    </row>
    <row r="44" spans="1:5" ht="13.2" x14ac:dyDescent="0.25">
      <c r="A44" s="1" t="s">
        <v>1013</v>
      </c>
      <c r="B44" s="1" t="s">
        <v>2509</v>
      </c>
      <c r="C44" s="55">
        <v>0.98</v>
      </c>
      <c r="D44" s="1" t="s">
        <v>2501</v>
      </c>
      <c r="E44" s="40"/>
    </row>
    <row r="45" spans="1:5" ht="13.2" x14ac:dyDescent="0.25">
      <c r="A45" s="1" t="s">
        <v>1013</v>
      </c>
      <c r="B45" s="1" t="s">
        <v>2516</v>
      </c>
      <c r="C45" s="55">
        <v>0.96</v>
      </c>
      <c r="D45" s="1" t="s">
        <v>2501</v>
      </c>
      <c r="E45" s="40"/>
    </row>
    <row r="46" spans="1:5" ht="13.2" x14ac:dyDescent="0.25">
      <c r="A46" s="1"/>
      <c r="B46" s="1"/>
      <c r="C46" s="44"/>
      <c r="D46" s="1"/>
      <c r="E46" s="40"/>
    </row>
    <row r="47" spans="1:5" ht="13.2" x14ac:dyDescent="0.25">
      <c r="A47" s="1" t="s">
        <v>1000</v>
      </c>
      <c r="B47" s="1" t="s">
        <v>1967</v>
      </c>
      <c r="C47" s="55">
        <v>1.22</v>
      </c>
      <c r="D47" s="1" t="s">
        <v>1960</v>
      </c>
      <c r="E47" s="40"/>
    </row>
    <row r="48" spans="1:5" ht="13.2" x14ac:dyDescent="0.25">
      <c r="A48" s="1"/>
      <c r="B48" s="1"/>
      <c r="C48" s="44"/>
      <c r="D48" s="1"/>
      <c r="E48" s="40"/>
    </row>
    <row r="49" spans="1:5" ht="13.2" x14ac:dyDescent="0.25">
      <c r="A49" s="1" t="s">
        <v>1000</v>
      </c>
      <c r="B49" s="1" t="s">
        <v>1958</v>
      </c>
      <c r="C49" s="55">
        <v>0.97</v>
      </c>
      <c r="D49" s="1" t="s">
        <v>1951</v>
      </c>
      <c r="E49" s="40"/>
    </row>
    <row r="50" spans="1:5" ht="13.2" x14ac:dyDescent="0.25">
      <c r="A50" s="1" t="s">
        <v>1011</v>
      </c>
      <c r="B50" s="1" t="s">
        <v>2390</v>
      </c>
      <c r="C50" s="55">
        <v>0.92</v>
      </c>
      <c r="D50" s="1" t="s">
        <v>1951</v>
      </c>
      <c r="E50" s="40"/>
    </row>
    <row r="51" spans="1:5" ht="13.2" x14ac:dyDescent="0.25">
      <c r="A51" s="1"/>
      <c r="B51" s="1"/>
      <c r="C51" s="44"/>
      <c r="D51" s="1"/>
      <c r="E51" s="40"/>
    </row>
    <row r="52" spans="1:5" ht="13.2" x14ac:dyDescent="0.25">
      <c r="A52" s="1" t="s">
        <v>198</v>
      </c>
      <c r="B52" s="1" t="s">
        <v>80</v>
      </c>
      <c r="C52" s="55">
        <v>0.95</v>
      </c>
      <c r="D52" s="7" t="s">
        <v>72</v>
      </c>
      <c r="E52" s="40"/>
    </row>
    <row r="53" spans="1:5" ht="13.2" x14ac:dyDescent="0.25">
      <c r="A53" s="1"/>
      <c r="B53" s="1"/>
      <c r="C53" s="44"/>
      <c r="D53" s="1"/>
      <c r="E53" s="40"/>
    </row>
    <row r="54" spans="1:5" ht="13.2" x14ac:dyDescent="0.25">
      <c r="A54" s="1" t="s">
        <v>198</v>
      </c>
      <c r="B54" s="1" t="s">
        <v>112</v>
      </c>
      <c r="C54" s="55">
        <v>0.88</v>
      </c>
      <c r="D54" s="1" t="s">
        <v>99</v>
      </c>
      <c r="E54" s="40"/>
    </row>
    <row r="55" spans="1:5" ht="13.2" x14ac:dyDescent="0.25">
      <c r="A55" s="1" t="s">
        <v>198</v>
      </c>
      <c r="B55" s="1" t="s">
        <v>106</v>
      </c>
      <c r="C55" s="55">
        <v>0.88</v>
      </c>
      <c r="D55" s="1" t="s">
        <v>99</v>
      </c>
      <c r="E55" s="40"/>
    </row>
    <row r="56" spans="1:5" ht="13.2" x14ac:dyDescent="0.25">
      <c r="A56" s="1"/>
      <c r="B56" s="1"/>
      <c r="C56" s="44"/>
      <c r="D56" s="1"/>
      <c r="E56" s="40"/>
    </row>
    <row r="57" spans="1:5" ht="13.2" x14ac:dyDescent="0.25">
      <c r="A57" s="1" t="s">
        <v>1000</v>
      </c>
      <c r="B57" s="1" t="s">
        <v>2000</v>
      </c>
      <c r="C57" s="55">
        <v>1</v>
      </c>
      <c r="D57" s="1" t="s">
        <v>1980</v>
      </c>
      <c r="E57" s="40"/>
    </row>
    <row r="58" spans="1:5" ht="13.2" x14ac:dyDescent="0.25">
      <c r="A58" s="1" t="s">
        <v>1000</v>
      </c>
      <c r="B58" s="1" t="s">
        <v>1987</v>
      </c>
      <c r="C58" s="55">
        <v>0.95</v>
      </c>
      <c r="D58" s="1" t="s">
        <v>1980</v>
      </c>
      <c r="E58" s="40"/>
    </row>
    <row r="59" spans="1:5" ht="13.2" x14ac:dyDescent="0.25">
      <c r="A59" s="1"/>
      <c r="B59" s="1"/>
      <c r="C59" s="44"/>
      <c r="D59" s="1"/>
      <c r="E59" s="40"/>
    </row>
    <row r="60" spans="1:5" ht="13.2" x14ac:dyDescent="0.25">
      <c r="A60" s="1" t="s">
        <v>1000</v>
      </c>
      <c r="B60" s="1" t="s">
        <v>1975</v>
      </c>
      <c r="C60" s="55">
        <v>1.21</v>
      </c>
      <c r="D60" s="1" t="s">
        <v>1968</v>
      </c>
      <c r="E60" s="40"/>
    </row>
    <row r="61" spans="1:5" ht="13.2" x14ac:dyDescent="0.25">
      <c r="A61" s="1" t="s">
        <v>1000</v>
      </c>
      <c r="B61" s="1" t="s">
        <v>1979</v>
      </c>
      <c r="C61" s="55">
        <v>1.19</v>
      </c>
      <c r="D61" s="1" t="s">
        <v>1968</v>
      </c>
      <c r="E61" s="40"/>
    </row>
    <row r="62" spans="1:5" ht="13.2" x14ac:dyDescent="0.25">
      <c r="A62" s="1" t="s">
        <v>1000</v>
      </c>
      <c r="B62" s="1" t="s">
        <v>1023</v>
      </c>
      <c r="C62" s="55">
        <v>1.1399999999999999</v>
      </c>
      <c r="D62" s="1" t="s">
        <v>1968</v>
      </c>
      <c r="E62" s="40"/>
    </row>
    <row r="63" spans="1:5" ht="13.2" x14ac:dyDescent="0.25">
      <c r="A63" s="1"/>
      <c r="B63" s="1"/>
      <c r="C63" s="44"/>
      <c r="D63" s="1"/>
      <c r="E63" s="40"/>
    </row>
    <row r="64" spans="1:5" ht="13.2" x14ac:dyDescent="0.25">
      <c r="A64" s="1" t="s">
        <v>1000</v>
      </c>
      <c r="B64" s="1" t="s">
        <v>2039</v>
      </c>
      <c r="C64" s="55">
        <v>1.01</v>
      </c>
      <c r="D64" s="1" t="s">
        <v>2011</v>
      </c>
      <c r="E64" s="40"/>
    </row>
    <row r="65" spans="1:5" ht="13.2" x14ac:dyDescent="0.25">
      <c r="A65" s="1" t="s">
        <v>1000</v>
      </c>
      <c r="B65" s="1" t="s">
        <v>2067</v>
      </c>
      <c r="C65" s="55">
        <v>1.04</v>
      </c>
      <c r="D65" s="1" t="s">
        <v>2011</v>
      </c>
      <c r="E65" s="40"/>
    </row>
    <row r="66" spans="1:5" ht="13.2" x14ac:dyDescent="0.25">
      <c r="A66" s="1" t="s">
        <v>1000</v>
      </c>
      <c r="B66" s="1" t="s">
        <v>2032</v>
      </c>
      <c r="C66" s="55">
        <v>0.97</v>
      </c>
      <c r="D66" s="1" t="s">
        <v>2011</v>
      </c>
      <c r="E66" s="40"/>
    </row>
    <row r="67" spans="1:5" ht="13.2" x14ac:dyDescent="0.25">
      <c r="A67" s="1" t="s">
        <v>1000</v>
      </c>
      <c r="B67" s="1" t="s">
        <v>2059</v>
      </c>
      <c r="C67" s="55">
        <v>1</v>
      </c>
      <c r="D67" s="1" t="s">
        <v>2011</v>
      </c>
      <c r="E67" s="40"/>
    </row>
    <row r="68" spans="1:5" ht="13.2" x14ac:dyDescent="0.25">
      <c r="A68" s="1" t="s">
        <v>1000</v>
      </c>
      <c r="B68" s="1" t="s">
        <v>2052</v>
      </c>
      <c r="C68" s="55">
        <v>0.99</v>
      </c>
      <c r="D68" s="1" t="s">
        <v>2011</v>
      </c>
      <c r="E68" s="40"/>
    </row>
    <row r="69" spans="1:5" ht="13.2" x14ac:dyDescent="0.25">
      <c r="A69" s="1" t="s">
        <v>1000</v>
      </c>
      <c r="B69" s="7" t="s">
        <v>2046</v>
      </c>
      <c r="C69" s="55">
        <v>0.99</v>
      </c>
      <c r="D69" s="1" t="s">
        <v>2011</v>
      </c>
      <c r="E69" s="40"/>
    </row>
    <row r="70" spans="1:5" ht="13.2" x14ac:dyDescent="0.25">
      <c r="A70" s="1" t="s">
        <v>1000</v>
      </c>
      <c r="B70" s="1" t="s">
        <v>2060</v>
      </c>
      <c r="C70" s="55">
        <v>1.07</v>
      </c>
      <c r="D70" s="1" t="s">
        <v>2011</v>
      </c>
      <c r="E70" s="40"/>
    </row>
    <row r="71" spans="1:5" ht="13.2" x14ac:dyDescent="0.25">
      <c r="A71" s="1" t="s">
        <v>1000</v>
      </c>
      <c r="B71" s="1" t="s">
        <v>2018</v>
      </c>
      <c r="C71" s="55">
        <v>0.99</v>
      </c>
      <c r="D71" s="1" t="s">
        <v>2011</v>
      </c>
      <c r="E71" s="40"/>
    </row>
    <row r="72" spans="1:5" ht="13.2" x14ac:dyDescent="0.25">
      <c r="A72" s="1" t="s">
        <v>1000</v>
      </c>
      <c r="B72" s="1" t="s">
        <v>2025</v>
      </c>
      <c r="C72" s="55">
        <v>1</v>
      </c>
      <c r="D72" s="1" t="s">
        <v>2011</v>
      </c>
      <c r="E72" s="40"/>
    </row>
    <row r="73" spans="1:5" ht="13.2" x14ac:dyDescent="0.25">
      <c r="A73" s="1"/>
      <c r="B73" s="1"/>
      <c r="C73" s="44"/>
      <c r="D73" s="1"/>
      <c r="E73" s="40"/>
    </row>
    <row r="74" spans="1:5" ht="13.2" x14ac:dyDescent="0.25">
      <c r="A74" s="1" t="s">
        <v>1000</v>
      </c>
      <c r="B74" s="1" t="s">
        <v>2132</v>
      </c>
      <c r="C74" s="55">
        <v>1.07</v>
      </c>
      <c r="D74" s="1" t="s">
        <v>2075</v>
      </c>
      <c r="E74" s="40"/>
    </row>
    <row r="75" spans="1:5" ht="13.2" x14ac:dyDescent="0.25">
      <c r="A75" s="1" t="s">
        <v>1000</v>
      </c>
      <c r="B75" s="1" t="s">
        <v>2088</v>
      </c>
      <c r="C75" s="55">
        <v>1.08</v>
      </c>
      <c r="D75" s="1" t="s">
        <v>2075</v>
      </c>
      <c r="E75" s="40"/>
    </row>
    <row r="76" spans="1:5" ht="13.2" x14ac:dyDescent="0.25">
      <c r="A76" s="1" t="s">
        <v>1000</v>
      </c>
      <c r="B76" s="1" t="s">
        <v>2082</v>
      </c>
      <c r="C76" s="55">
        <v>1.04</v>
      </c>
      <c r="D76" s="1" t="s">
        <v>2075</v>
      </c>
      <c r="E76" s="40"/>
    </row>
    <row r="77" spans="1:5" ht="13.2" x14ac:dyDescent="0.25">
      <c r="A77" s="1" t="s">
        <v>1000</v>
      </c>
      <c r="B77" s="1" t="s">
        <v>2106</v>
      </c>
      <c r="C77" s="55">
        <v>1.04</v>
      </c>
      <c r="D77" s="1" t="s">
        <v>2075</v>
      </c>
      <c r="E77" s="40"/>
    </row>
    <row r="78" spans="1:5" ht="13.2" x14ac:dyDescent="0.25">
      <c r="A78" s="1" t="s">
        <v>1000</v>
      </c>
      <c r="B78" s="1" t="s">
        <v>2128</v>
      </c>
      <c r="C78" s="55">
        <v>1.1499999999999999</v>
      </c>
      <c r="D78" s="1" t="s">
        <v>2075</v>
      </c>
      <c r="E78" s="40"/>
    </row>
    <row r="79" spans="1:5" ht="13.2" x14ac:dyDescent="0.25">
      <c r="A79" s="1" t="s">
        <v>1000</v>
      </c>
      <c r="B79" s="1" t="s">
        <v>2139</v>
      </c>
      <c r="C79" s="55">
        <v>1.01</v>
      </c>
      <c r="D79" s="1" t="s">
        <v>2075</v>
      </c>
      <c r="E79" s="40"/>
    </row>
    <row r="80" spans="1:5" ht="13.2" x14ac:dyDescent="0.25">
      <c r="A80" s="1" t="s">
        <v>1000</v>
      </c>
      <c r="B80" s="1" t="s">
        <v>2113</v>
      </c>
      <c r="C80" s="55">
        <v>1.08</v>
      </c>
      <c r="D80" s="1" t="s">
        <v>2075</v>
      </c>
      <c r="E80" s="40"/>
    </row>
    <row r="81" spans="1:5" ht="13.2" x14ac:dyDescent="0.25">
      <c r="A81" s="1" t="s">
        <v>1000</v>
      </c>
      <c r="B81" s="1" t="s">
        <v>2118</v>
      </c>
      <c r="C81" s="55">
        <v>1.1499999999999999</v>
      </c>
      <c r="D81" s="1" t="s">
        <v>2075</v>
      </c>
      <c r="E81" s="40"/>
    </row>
    <row r="82" spans="1:5" ht="13.2" x14ac:dyDescent="0.25">
      <c r="A82" s="1"/>
      <c r="B82" s="1"/>
      <c r="C82" s="44"/>
      <c r="D82" s="1"/>
      <c r="E82" s="40"/>
    </row>
    <row r="83" spans="1:5" ht="13.2" x14ac:dyDescent="0.25">
      <c r="A83" s="1" t="s">
        <v>1000</v>
      </c>
      <c r="B83" s="1" t="s">
        <v>2147</v>
      </c>
      <c r="C83" s="55">
        <v>0.89</v>
      </c>
      <c r="D83" s="1" t="s">
        <v>2140</v>
      </c>
      <c r="E83" s="40"/>
    </row>
    <row r="84" spans="1:5" ht="13.2" x14ac:dyDescent="0.25">
      <c r="A84" s="40"/>
      <c r="B84" s="40"/>
      <c r="C84" s="44"/>
      <c r="D84" s="40"/>
      <c r="E84" s="40"/>
    </row>
    <row r="85" spans="1:5" ht="13.2" x14ac:dyDescent="0.25">
      <c r="A85" s="1" t="s">
        <v>1011</v>
      </c>
      <c r="B85" s="1" t="s">
        <v>2321</v>
      </c>
      <c r="C85" s="55">
        <v>0.97</v>
      </c>
      <c r="D85" s="1" t="s">
        <v>2307</v>
      </c>
      <c r="E85" s="40"/>
    </row>
    <row r="86" spans="1:5" ht="13.2" x14ac:dyDescent="0.25">
      <c r="A86" s="1" t="s">
        <v>1011</v>
      </c>
      <c r="B86" s="1" t="s">
        <v>2314</v>
      </c>
      <c r="C86" s="55">
        <v>0.92</v>
      </c>
      <c r="D86" s="1" t="s">
        <v>2307</v>
      </c>
      <c r="E86" s="40"/>
    </row>
    <row r="87" spans="1:5" ht="13.2" x14ac:dyDescent="0.25">
      <c r="A87" s="40"/>
      <c r="B87" s="40"/>
      <c r="C87" s="44"/>
      <c r="D87" s="40"/>
      <c r="E87" s="40"/>
    </row>
    <row r="88" spans="1:5" ht="13.2" x14ac:dyDescent="0.25">
      <c r="A88" s="1"/>
      <c r="B88" s="1"/>
      <c r="C88" s="44"/>
      <c r="D88" s="1"/>
      <c r="E88" s="40"/>
    </row>
    <row r="89" spans="1:5" ht="13.2" x14ac:dyDescent="0.25">
      <c r="A89" s="1" t="s">
        <v>1133</v>
      </c>
      <c r="B89" s="1" t="s">
        <v>905</v>
      </c>
      <c r="C89" s="55">
        <v>1.0900000000000001</v>
      </c>
      <c r="D89" s="1" t="s">
        <v>891</v>
      </c>
      <c r="E89" s="40"/>
    </row>
    <row r="90" spans="1:5" ht="13.2" x14ac:dyDescent="0.25">
      <c r="A90" s="1" t="s">
        <v>1133</v>
      </c>
      <c r="B90" s="1" t="s">
        <v>898</v>
      </c>
      <c r="C90" s="55">
        <v>1.1000000000000001</v>
      </c>
      <c r="D90" s="1" t="s">
        <v>891</v>
      </c>
      <c r="E90" s="40"/>
    </row>
    <row r="91" spans="1:5" ht="13.2" x14ac:dyDescent="0.25">
      <c r="A91" s="1" t="s">
        <v>1133</v>
      </c>
      <c r="B91" s="1" t="s">
        <v>916</v>
      </c>
      <c r="C91" s="55">
        <v>1.01</v>
      </c>
      <c r="D91" s="1" t="s">
        <v>891</v>
      </c>
      <c r="E91" s="40"/>
    </row>
    <row r="92" spans="1:5" ht="13.2" x14ac:dyDescent="0.25">
      <c r="A92" s="1" t="s">
        <v>1133</v>
      </c>
      <c r="B92" s="1" t="s">
        <v>937</v>
      </c>
      <c r="C92" s="55">
        <v>1.05</v>
      </c>
      <c r="D92" s="1" t="s">
        <v>891</v>
      </c>
      <c r="E92" s="40"/>
    </row>
    <row r="93" spans="1:5" ht="13.2" x14ac:dyDescent="0.25">
      <c r="A93" s="40"/>
      <c r="B93" s="40"/>
      <c r="C93" s="44"/>
      <c r="D93" s="40"/>
      <c r="E93" s="40"/>
    </row>
    <row r="94" spans="1:5" ht="13.2" x14ac:dyDescent="0.25">
      <c r="A94" s="1" t="s">
        <v>1000</v>
      </c>
      <c r="B94" s="1" t="s">
        <v>1033</v>
      </c>
      <c r="C94" s="55">
        <v>1.27</v>
      </c>
      <c r="D94" s="1" t="s">
        <v>1029</v>
      </c>
      <c r="E94" s="40"/>
    </row>
    <row r="95" spans="1:5" ht="13.2" x14ac:dyDescent="0.25">
      <c r="A95" s="40"/>
      <c r="B95" s="40"/>
      <c r="C95" s="44"/>
      <c r="D95" s="40"/>
      <c r="E95" s="40"/>
    </row>
    <row r="96" spans="1:5" ht="13.2" x14ac:dyDescent="0.25">
      <c r="A96" s="1" t="s">
        <v>1133</v>
      </c>
      <c r="B96" s="1" t="s">
        <v>812</v>
      </c>
      <c r="C96" s="55">
        <v>0.92</v>
      </c>
      <c r="D96" s="1" t="s">
        <v>805</v>
      </c>
      <c r="E96" s="40"/>
    </row>
    <row r="97" spans="1:5" ht="13.2" x14ac:dyDescent="0.25">
      <c r="A97" s="1" t="s">
        <v>1133</v>
      </c>
      <c r="B97" s="1" t="s">
        <v>840</v>
      </c>
      <c r="C97" s="55">
        <v>0.86</v>
      </c>
      <c r="D97" s="1" t="s">
        <v>805</v>
      </c>
      <c r="E97" s="40"/>
    </row>
    <row r="98" spans="1:5" ht="13.2" x14ac:dyDescent="0.25">
      <c r="A98" s="1" t="s">
        <v>1133</v>
      </c>
      <c r="B98" s="1" t="s">
        <v>820</v>
      </c>
      <c r="C98" s="55">
        <v>0.9</v>
      </c>
      <c r="D98" s="1" t="s">
        <v>805</v>
      </c>
      <c r="E98" s="40"/>
    </row>
    <row r="99" spans="1:5" ht="13.2" x14ac:dyDescent="0.25">
      <c r="A99" s="1" t="s">
        <v>1133</v>
      </c>
      <c r="B99" s="1" t="s">
        <v>890</v>
      </c>
      <c r="C99" s="55">
        <v>0.89</v>
      </c>
      <c r="D99" s="1" t="s">
        <v>805</v>
      </c>
      <c r="E99" s="40"/>
    </row>
    <row r="100" spans="1:5" ht="13.2" x14ac:dyDescent="0.25">
      <c r="A100" s="1" t="s">
        <v>1133</v>
      </c>
      <c r="B100" s="1" t="s">
        <v>847</v>
      </c>
      <c r="C100" s="55">
        <v>0.96</v>
      </c>
      <c r="D100" s="1" t="s">
        <v>805</v>
      </c>
      <c r="E100" s="40"/>
    </row>
    <row r="101" spans="1:5" ht="13.2" x14ac:dyDescent="0.25">
      <c r="A101" s="40"/>
      <c r="B101" s="40"/>
      <c r="C101" s="44"/>
      <c r="D101" s="40"/>
      <c r="E101" s="40"/>
    </row>
    <row r="102" spans="1:5" ht="13.2" x14ac:dyDescent="0.25">
      <c r="A102" s="1" t="s">
        <v>1000</v>
      </c>
      <c r="B102" s="1" t="s">
        <v>1041</v>
      </c>
      <c r="C102" s="55">
        <v>1.1000000000000001</v>
      </c>
      <c r="D102" s="1" t="s">
        <v>2172</v>
      </c>
      <c r="E102" s="40"/>
    </row>
    <row r="103" spans="1:5" ht="13.2" x14ac:dyDescent="0.25">
      <c r="A103" s="1" t="s">
        <v>1000</v>
      </c>
      <c r="B103" s="1" t="s">
        <v>2177</v>
      </c>
      <c r="C103" s="55">
        <v>1.1599999999999999</v>
      </c>
      <c r="D103" s="1" t="s">
        <v>2172</v>
      </c>
      <c r="E103" s="40"/>
    </row>
    <row r="104" spans="1:5" ht="13.2" x14ac:dyDescent="0.25">
      <c r="A104" s="1" t="s">
        <v>1000</v>
      </c>
      <c r="B104" s="1" t="s">
        <v>2210</v>
      </c>
      <c r="C104" s="55">
        <v>1.1399999999999999</v>
      </c>
      <c r="D104" s="1" t="s">
        <v>2172</v>
      </c>
      <c r="E104" s="40"/>
    </row>
    <row r="105" spans="1:5" ht="13.2" x14ac:dyDescent="0.25">
      <c r="A105" s="1" t="s">
        <v>1000</v>
      </c>
      <c r="B105" s="1" t="s">
        <v>2201</v>
      </c>
      <c r="C105" s="55">
        <v>1.04</v>
      </c>
      <c r="D105" s="1" t="s">
        <v>2172</v>
      </c>
      <c r="E105" s="40"/>
    </row>
    <row r="106" spans="1:5" ht="13.2" x14ac:dyDescent="0.25">
      <c r="A106" s="1" t="s">
        <v>1000</v>
      </c>
      <c r="B106" s="1" t="s">
        <v>2184</v>
      </c>
      <c r="C106" s="55">
        <v>1.1100000000000001</v>
      </c>
      <c r="D106" s="1" t="s">
        <v>2172</v>
      </c>
      <c r="E106" s="40"/>
    </row>
    <row r="107" spans="1:5" ht="13.2" x14ac:dyDescent="0.25">
      <c r="A107" s="89"/>
      <c r="B107" s="40"/>
      <c r="C107" s="44"/>
      <c r="D107" s="40"/>
      <c r="E107" s="40"/>
    </row>
    <row r="108" spans="1:5" ht="13.2" x14ac:dyDescent="0.25">
      <c r="A108" s="1" t="s">
        <v>1000</v>
      </c>
      <c r="B108" s="1" t="s">
        <v>2162</v>
      </c>
      <c r="C108" s="55">
        <v>0.92</v>
      </c>
      <c r="D108" s="1" t="s">
        <v>2148</v>
      </c>
      <c r="E108" s="40"/>
    </row>
    <row r="109" spans="1:5" ht="13.2" x14ac:dyDescent="0.25">
      <c r="A109" s="1" t="s">
        <v>1000</v>
      </c>
      <c r="B109" s="1" t="s">
        <v>2155</v>
      </c>
      <c r="C109" s="55">
        <v>0.91</v>
      </c>
      <c r="D109" s="1" t="s">
        <v>2148</v>
      </c>
      <c r="E109" s="40"/>
    </row>
    <row r="110" spans="1:5" ht="13.2" x14ac:dyDescent="0.25">
      <c r="A110" s="1" t="s">
        <v>1000</v>
      </c>
      <c r="B110" s="1" t="s">
        <v>2165</v>
      </c>
      <c r="C110" s="55">
        <v>0.93</v>
      </c>
      <c r="D110" s="1" t="s">
        <v>2148</v>
      </c>
      <c r="E110" s="40"/>
    </row>
    <row r="111" spans="1:5" ht="13.2" x14ac:dyDescent="0.25">
      <c r="A111" s="40"/>
      <c r="B111" s="40"/>
      <c r="C111" s="44"/>
      <c r="D111" s="40"/>
      <c r="E111" s="40"/>
    </row>
    <row r="112" spans="1:5" ht="13.2" x14ac:dyDescent="0.25">
      <c r="A112" s="1" t="s">
        <v>1011</v>
      </c>
      <c r="B112" s="1" t="s">
        <v>2371</v>
      </c>
      <c r="C112" s="55">
        <v>1</v>
      </c>
      <c r="D112" s="1" t="s">
        <v>2350</v>
      </c>
      <c r="E112" s="40"/>
    </row>
    <row r="113" spans="1:5" ht="13.2" x14ac:dyDescent="0.25">
      <c r="A113" s="1" t="s">
        <v>1011</v>
      </c>
      <c r="B113" s="1" t="s">
        <v>2357</v>
      </c>
      <c r="C113" s="55">
        <v>0.99</v>
      </c>
      <c r="D113" s="1" t="s">
        <v>2350</v>
      </c>
      <c r="E113" s="40"/>
    </row>
    <row r="114" spans="1:5" ht="13.2" x14ac:dyDescent="0.25">
      <c r="A114" s="1" t="s">
        <v>1011</v>
      </c>
      <c r="B114" s="1" t="s">
        <v>2364</v>
      </c>
      <c r="C114" s="55">
        <v>1</v>
      </c>
      <c r="D114" s="1" t="s">
        <v>2350</v>
      </c>
      <c r="E114" s="40"/>
    </row>
    <row r="115" spans="1:5" ht="13.2" x14ac:dyDescent="0.25">
      <c r="A115" s="1" t="s">
        <v>1011</v>
      </c>
      <c r="B115" s="1" t="s">
        <v>2378</v>
      </c>
      <c r="C115" s="55">
        <v>1</v>
      </c>
      <c r="D115" s="1" t="s">
        <v>2350</v>
      </c>
      <c r="E115" s="40"/>
    </row>
    <row r="116" spans="1:5" ht="13.2" x14ac:dyDescent="0.25">
      <c r="A116" s="40"/>
      <c r="B116" s="40"/>
      <c r="C116" s="44"/>
      <c r="D116" s="40"/>
      <c r="E116" s="40"/>
    </row>
    <row r="117" spans="1:5" ht="13.2" x14ac:dyDescent="0.25">
      <c r="A117" s="1" t="s">
        <v>198</v>
      </c>
      <c r="B117" s="1" t="s">
        <v>198</v>
      </c>
      <c r="C117" s="55">
        <v>0.9</v>
      </c>
      <c r="D117" s="1" t="s">
        <v>122</v>
      </c>
      <c r="E117" s="40"/>
    </row>
    <row r="118" spans="1:5" ht="13.2" x14ac:dyDescent="0.25">
      <c r="A118" s="1" t="s">
        <v>198</v>
      </c>
      <c r="B118" s="1" t="s">
        <v>244</v>
      </c>
      <c r="C118" s="55">
        <v>0.86</v>
      </c>
      <c r="D118" s="1" t="s">
        <v>122</v>
      </c>
      <c r="E118" s="40"/>
    </row>
    <row r="119" spans="1:5" ht="13.2" x14ac:dyDescent="0.25">
      <c r="A119" s="1" t="s">
        <v>198</v>
      </c>
      <c r="B119" s="1" t="s">
        <v>167</v>
      </c>
      <c r="C119" s="55">
        <v>0.93</v>
      </c>
      <c r="D119" s="1" t="s">
        <v>122</v>
      </c>
      <c r="E119" s="40"/>
    </row>
    <row r="120" spans="1:5" ht="13.2" x14ac:dyDescent="0.25">
      <c r="A120" s="1" t="s">
        <v>198</v>
      </c>
      <c r="B120" s="1" t="s">
        <v>148</v>
      </c>
      <c r="C120" s="55">
        <v>0.85</v>
      </c>
      <c r="D120" s="1" t="s">
        <v>122</v>
      </c>
      <c r="E120" s="40"/>
    </row>
    <row r="121" spans="1:5" ht="13.2" x14ac:dyDescent="0.25">
      <c r="A121" s="1" t="s">
        <v>198</v>
      </c>
      <c r="B121" s="1" t="s">
        <v>129</v>
      </c>
      <c r="C121" s="55">
        <v>0.93</v>
      </c>
      <c r="D121" s="1" t="s">
        <v>122</v>
      </c>
      <c r="E121" s="40"/>
    </row>
    <row r="122" spans="1:5" ht="13.2" x14ac:dyDescent="0.25">
      <c r="A122" s="1" t="s">
        <v>198</v>
      </c>
      <c r="B122" s="1" t="s">
        <v>140</v>
      </c>
      <c r="C122" s="55">
        <v>0.9</v>
      </c>
      <c r="D122" s="1" t="s">
        <v>122</v>
      </c>
      <c r="E122" s="40"/>
    </row>
    <row r="123" spans="1:5" ht="13.2" x14ac:dyDescent="0.25">
      <c r="A123" s="40"/>
      <c r="B123" s="40"/>
      <c r="C123" s="44"/>
      <c r="D123" s="40"/>
      <c r="E123" s="40"/>
    </row>
    <row r="124" spans="1:5" ht="13.2" x14ac:dyDescent="0.25">
      <c r="A124" s="1" t="s">
        <v>1133</v>
      </c>
      <c r="B124" s="1" t="s">
        <v>2573</v>
      </c>
      <c r="C124" s="55">
        <v>1.05</v>
      </c>
      <c r="D124" s="1" t="s">
        <v>2526</v>
      </c>
      <c r="E124" s="40"/>
    </row>
    <row r="125" spans="1:5" ht="13.2" x14ac:dyDescent="0.25">
      <c r="A125" s="1" t="s">
        <v>1013</v>
      </c>
      <c r="B125" s="1" t="s">
        <v>2573</v>
      </c>
      <c r="C125" s="55">
        <v>1.05</v>
      </c>
      <c r="D125" s="1" t="s">
        <v>2526</v>
      </c>
      <c r="E125" s="40"/>
    </row>
    <row r="126" spans="1:5" ht="13.2" x14ac:dyDescent="0.25">
      <c r="A126" s="1" t="s">
        <v>1013</v>
      </c>
      <c r="B126" s="1" t="s">
        <v>2540</v>
      </c>
      <c r="C126" s="55">
        <v>1.08</v>
      </c>
      <c r="D126" s="1" t="s">
        <v>2526</v>
      </c>
      <c r="E126" s="40"/>
    </row>
    <row r="127" spans="1:5" ht="13.2" x14ac:dyDescent="0.25">
      <c r="A127" s="1" t="s">
        <v>1013</v>
      </c>
      <c r="B127" s="1" t="s">
        <v>2533</v>
      </c>
      <c r="C127" s="55">
        <v>1.03</v>
      </c>
      <c r="D127" s="1" t="s">
        <v>2526</v>
      </c>
      <c r="E127" s="40"/>
    </row>
    <row r="128" spans="1:5" ht="13.2" x14ac:dyDescent="0.25">
      <c r="A128" s="1" t="s">
        <v>1013</v>
      </c>
      <c r="B128" s="1" t="s">
        <v>2555</v>
      </c>
      <c r="C128" s="55">
        <v>1.0900000000000001</v>
      </c>
      <c r="D128" s="1" t="s">
        <v>2526</v>
      </c>
      <c r="E128" s="40"/>
    </row>
    <row r="129" spans="1:5" ht="13.2" x14ac:dyDescent="0.25">
      <c r="A129" s="40"/>
      <c r="B129" s="40"/>
      <c r="C129" s="44"/>
      <c r="D129" s="40"/>
      <c r="E129" s="40"/>
    </row>
    <row r="130" spans="1:5" ht="13.2" x14ac:dyDescent="0.25">
      <c r="A130" s="1" t="s">
        <v>1000</v>
      </c>
      <c r="B130" s="1" t="s">
        <v>2218</v>
      </c>
      <c r="C130" s="55">
        <v>1.1200000000000001</v>
      </c>
      <c r="D130" s="1" t="s">
        <v>2211</v>
      </c>
      <c r="E130" s="40"/>
    </row>
    <row r="131" spans="1:5" ht="13.2" x14ac:dyDescent="0.25">
      <c r="A131" s="1"/>
      <c r="B131" s="1"/>
      <c r="C131" s="44"/>
      <c r="D131" s="1"/>
      <c r="E131" s="40"/>
    </row>
    <row r="132" spans="1:5" ht="13.2" x14ac:dyDescent="0.25">
      <c r="A132" s="1" t="s">
        <v>1000</v>
      </c>
      <c r="B132" s="1" t="s">
        <v>2226</v>
      </c>
      <c r="C132" s="55">
        <v>0.92</v>
      </c>
      <c r="D132" s="1" t="s">
        <v>2219</v>
      </c>
      <c r="E132" s="40"/>
    </row>
    <row r="133" spans="1:5" ht="13.2" x14ac:dyDescent="0.25">
      <c r="A133" s="40"/>
      <c r="B133" s="40"/>
      <c r="C133" s="44"/>
      <c r="D133" s="40"/>
      <c r="E133" s="40"/>
    </row>
    <row r="134" spans="1:5" ht="13.2" x14ac:dyDescent="0.25">
      <c r="A134" s="1" t="s">
        <v>1011</v>
      </c>
      <c r="B134" s="1" t="s">
        <v>2419</v>
      </c>
      <c r="C134" s="55">
        <v>0.92</v>
      </c>
      <c r="D134" s="1" t="s">
        <v>2412</v>
      </c>
      <c r="E134" s="40"/>
    </row>
    <row r="135" spans="1:5" ht="13.2" x14ac:dyDescent="0.25">
      <c r="A135" s="1" t="s">
        <v>1011</v>
      </c>
      <c r="B135" s="1" t="s">
        <v>2457</v>
      </c>
      <c r="C135" s="55">
        <v>0.92</v>
      </c>
      <c r="D135" s="1" t="s">
        <v>2412</v>
      </c>
      <c r="E135" s="40"/>
    </row>
    <row r="136" spans="1:5" ht="13.2" x14ac:dyDescent="0.25">
      <c r="A136" s="7" t="s">
        <v>1011</v>
      </c>
      <c r="B136" s="7" t="s">
        <v>2403</v>
      </c>
      <c r="C136" s="55">
        <v>0.91</v>
      </c>
      <c r="D136" s="1" t="s">
        <v>2412</v>
      </c>
      <c r="E136" s="40"/>
    </row>
    <row r="137" spans="1:5" ht="13.2" x14ac:dyDescent="0.25">
      <c r="A137" s="1" t="s">
        <v>1011</v>
      </c>
      <c r="B137" s="1" t="s">
        <v>2445</v>
      </c>
      <c r="C137" s="55">
        <v>0.93</v>
      </c>
      <c r="D137" s="1" t="s">
        <v>2412</v>
      </c>
      <c r="E137" s="40"/>
    </row>
    <row r="138" spans="1:5" ht="13.2" x14ac:dyDescent="0.25">
      <c r="A138" s="1" t="s">
        <v>1011</v>
      </c>
      <c r="B138" s="1" t="s">
        <v>2432</v>
      </c>
      <c r="C138" s="55">
        <v>0.93</v>
      </c>
      <c r="D138" s="1" t="s">
        <v>2412</v>
      </c>
      <c r="E138" s="40"/>
    </row>
    <row r="139" spans="1:5" ht="13.2" x14ac:dyDescent="0.25">
      <c r="A139" s="1"/>
      <c r="B139" s="1"/>
      <c r="C139" s="44"/>
      <c r="D139" s="1"/>
      <c r="E139" s="40"/>
    </row>
    <row r="140" spans="1:5" ht="13.2" x14ac:dyDescent="0.25">
      <c r="A140" s="1" t="s">
        <v>1133</v>
      </c>
      <c r="B140" s="1" t="s">
        <v>988</v>
      </c>
      <c r="C140" s="55">
        <v>0.89</v>
      </c>
      <c r="D140" s="1" t="s">
        <v>299</v>
      </c>
      <c r="E140" s="40"/>
    </row>
    <row r="141" spans="1:5" ht="13.2" x14ac:dyDescent="0.25">
      <c r="A141" s="1" t="s">
        <v>198</v>
      </c>
      <c r="B141" s="1" t="s">
        <v>306</v>
      </c>
      <c r="C141" s="55">
        <v>0.89</v>
      </c>
      <c r="D141" s="1" t="s">
        <v>299</v>
      </c>
      <c r="E141" s="40"/>
    </row>
    <row r="142" spans="1:5" ht="13.2" x14ac:dyDescent="0.25">
      <c r="A142" s="1" t="s">
        <v>198</v>
      </c>
      <c r="B142" s="1" t="s">
        <v>314</v>
      </c>
      <c r="C142" s="55">
        <v>0.8</v>
      </c>
      <c r="D142" s="1" t="s">
        <v>299</v>
      </c>
      <c r="E142" s="40"/>
    </row>
    <row r="143" spans="1:5" ht="13.2" x14ac:dyDescent="0.25">
      <c r="A143" s="1"/>
      <c r="B143" s="1"/>
      <c r="C143" s="44"/>
      <c r="D143" s="1"/>
      <c r="E143" s="40"/>
    </row>
    <row r="144" spans="1:5" ht="13.2" x14ac:dyDescent="0.25">
      <c r="A144" s="1" t="s">
        <v>1133</v>
      </c>
      <c r="B144" s="1" t="s">
        <v>992</v>
      </c>
      <c r="C144" s="55">
        <v>0.98</v>
      </c>
      <c r="D144" s="1" t="s">
        <v>2463</v>
      </c>
      <c r="E144" s="40"/>
    </row>
    <row r="145" spans="1:5" ht="13.2" x14ac:dyDescent="0.25">
      <c r="A145" s="1" t="s">
        <v>1011</v>
      </c>
      <c r="B145" s="1" t="s">
        <v>2469</v>
      </c>
      <c r="C145" s="55">
        <v>1.02</v>
      </c>
      <c r="D145" s="1" t="s">
        <v>2463</v>
      </c>
      <c r="E145" s="40"/>
    </row>
    <row r="146" spans="1:5" ht="13.2" x14ac:dyDescent="0.25">
      <c r="A146" s="1" t="s">
        <v>1011</v>
      </c>
      <c r="B146" s="1" t="s">
        <v>2476</v>
      </c>
      <c r="C146" s="55">
        <v>0.98</v>
      </c>
      <c r="D146" s="1" t="s">
        <v>2463</v>
      </c>
      <c r="E146" s="40"/>
    </row>
    <row r="147" spans="1:5" ht="13.2" x14ac:dyDescent="0.25">
      <c r="A147" s="1" t="s">
        <v>1011</v>
      </c>
      <c r="B147" s="1" t="s">
        <v>2488</v>
      </c>
      <c r="C147" s="55">
        <v>0.95</v>
      </c>
      <c r="D147" s="1" t="s">
        <v>2463</v>
      </c>
      <c r="E147" s="40"/>
    </row>
    <row r="148" spans="1:5" ht="13.2" x14ac:dyDescent="0.25">
      <c r="A148" s="1"/>
      <c r="B148" s="1"/>
      <c r="C148" s="44"/>
      <c r="D148" s="1"/>
      <c r="E148" s="40"/>
    </row>
    <row r="149" spans="1:5" ht="13.2" x14ac:dyDescent="0.25">
      <c r="A149" s="1" t="s">
        <v>1000</v>
      </c>
      <c r="B149" s="1" t="s">
        <v>1049</v>
      </c>
      <c r="C149" s="55">
        <v>0.96</v>
      </c>
      <c r="D149" s="1" t="s">
        <v>1045</v>
      </c>
      <c r="E149" s="40"/>
    </row>
    <row r="150" spans="1:5" ht="13.2" x14ac:dyDescent="0.25">
      <c r="A150" s="1"/>
      <c r="B150" s="1"/>
      <c r="C150" s="44"/>
      <c r="D150" s="1"/>
      <c r="E150" s="40"/>
    </row>
    <row r="151" spans="1:5" ht="13.2" x14ac:dyDescent="0.25">
      <c r="A151" s="1" t="s">
        <v>1013</v>
      </c>
      <c r="B151" s="1" t="s">
        <v>2593</v>
      </c>
      <c r="C151" s="55">
        <v>1.1299999999999999</v>
      </c>
      <c r="D151" s="1" t="s">
        <v>2579</v>
      </c>
      <c r="E151" s="40"/>
    </row>
    <row r="152" spans="1:5" ht="13.2" x14ac:dyDescent="0.25">
      <c r="A152" s="1" t="s">
        <v>1013</v>
      </c>
      <c r="B152" s="1" t="s">
        <v>2624</v>
      </c>
      <c r="C152" s="55">
        <v>1.1399999999999999</v>
      </c>
      <c r="D152" s="1" t="s">
        <v>2579</v>
      </c>
      <c r="E152" s="40"/>
    </row>
    <row r="153" spans="1:5" ht="13.2" x14ac:dyDescent="0.25">
      <c r="A153" s="1" t="s">
        <v>1013</v>
      </c>
      <c r="B153" s="1" t="s">
        <v>60</v>
      </c>
      <c r="C153" s="55">
        <v>1.2</v>
      </c>
      <c r="D153" s="1" t="s">
        <v>2579</v>
      </c>
      <c r="E153" s="40"/>
    </row>
    <row r="154" spans="1:5" ht="13.2" x14ac:dyDescent="0.25">
      <c r="A154" s="1" t="s">
        <v>1013</v>
      </c>
      <c r="B154" s="1" t="s">
        <v>2586</v>
      </c>
      <c r="C154" s="55">
        <v>1.1599999999999999</v>
      </c>
      <c r="D154" s="1" t="s">
        <v>2579</v>
      </c>
      <c r="E154" s="40"/>
    </row>
    <row r="155" spans="1:5" ht="13.2" x14ac:dyDescent="0.25">
      <c r="A155" s="1" t="s">
        <v>1013</v>
      </c>
      <c r="B155" s="1" t="s">
        <v>2596</v>
      </c>
      <c r="C155" s="55">
        <v>1.07</v>
      </c>
      <c r="D155" s="1" t="s">
        <v>2579</v>
      </c>
      <c r="E155" s="40"/>
    </row>
    <row r="156" spans="1:5" ht="13.2" x14ac:dyDescent="0.25">
      <c r="A156" s="1" t="s">
        <v>1013</v>
      </c>
      <c r="B156" s="1" t="s">
        <v>2641</v>
      </c>
      <c r="C156" s="55">
        <v>1.21</v>
      </c>
      <c r="D156" s="1" t="s">
        <v>2579</v>
      </c>
      <c r="E156" s="40"/>
    </row>
    <row r="157" spans="1:5" ht="13.2" x14ac:dyDescent="0.25">
      <c r="A157" s="1" t="s">
        <v>1013</v>
      </c>
      <c r="B157" s="1" t="s">
        <v>2603</v>
      </c>
      <c r="C157" s="55">
        <v>1.21</v>
      </c>
      <c r="D157" s="1" t="s">
        <v>2579</v>
      </c>
      <c r="E157" s="40"/>
    </row>
    <row r="158" spans="1:5" ht="13.2" x14ac:dyDescent="0.25">
      <c r="A158" s="1" t="s">
        <v>1013</v>
      </c>
      <c r="B158" s="1" t="s">
        <v>2636</v>
      </c>
      <c r="C158" s="55">
        <v>1.2</v>
      </c>
      <c r="D158" s="1" t="s">
        <v>2579</v>
      </c>
      <c r="E158" s="40"/>
    </row>
    <row r="159" spans="1:5" ht="13.2" x14ac:dyDescent="0.25">
      <c r="A159" s="1" t="s">
        <v>1013</v>
      </c>
      <c r="B159" s="1" t="s">
        <v>71</v>
      </c>
      <c r="C159" s="55">
        <v>1.0900000000000001</v>
      </c>
      <c r="D159" s="1" t="s">
        <v>2579</v>
      </c>
      <c r="E159" s="40"/>
    </row>
    <row r="160" spans="1:5" ht="13.2" x14ac:dyDescent="0.25">
      <c r="A160" s="40"/>
      <c r="B160" s="40"/>
      <c r="C160" s="44"/>
      <c r="D160" s="40"/>
      <c r="E160" s="40"/>
    </row>
    <row r="161" spans="1:5" ht="13.2" x14ac:dyDescent="0.25">
      <c r="A161" s="1" t="s">
        <v>1000</v>
      </c>
      <c r="B161" s="1" t="s">
        <v>2270</v>
      </c>
      <c r="C161" s="55">
        <v>1.05</v>
      </c>
      <c r="D161" s="1" t="s">
        <v>2227</v>
      </c>
      <c r="E161" s="40"/>
    </row>
    <row r="162" spans="1:5" ht="13.2" x14ac:dyDescent="0.25">
      <c r="A162" s="1" t="s">
        <v>1000</v>
      </c>
      <c r="B162" s="1" t="s">
        <v>2247</v>
      </c>
      <c r="C162" s="55">
        <v>1.06</v>
      </c>
      <c r="D162" s="1" t="s">
        <v>2227</v>
      </c>
      <c r="E162" s="40"/>
    </row>
    <row r="163" spans="1:5" ht="13.2" x14ac:dyDescent="0.25">
      <c r="A163" s="1" t="s">
        <v>1000</v>
      </c>
      <c r="B163" s="1" t="s">
        <v>2234</v>
      </c>
      <c r="C163" s="55">
        <v>1.05</v>
      </c>
      <c r="D163" s="1" t="s">
        <v>2227</v>
      </c>
      <c r="E163" s="40"/>
    </row>
    <row r="164" spans="1:5" ht="13.2" x14ac:dyDescent="0.25">
      <c r="A164" s="1" t="s">
        <v>1000</v>
      </c>
      <c r="B164" s="1" t="s">
        <v>2241</v>
      </c>
      <c r="C164" s="55">
        <v>1.05</v>
      </c>
      <c r="D164" s="1" t="s">
        <v>2227</v>
      </c>
      <c r="E164" s="40"/>
    </row>
    <row r="165" spans="1:5" ht="15" customHeight="1" x14ac:dyDescent="0.25">
      <c r="A165" s="1"/>
      <c r="B165" s="1"/>
      <c r="C165" s="44"/>
      <c r="D165" s="1"/>
      <c r="E165" s="40"/>
    </row>
    <row r="166" spans="1:5" ht="13.2" x14ac:dyDescent="0.25">
      <c r="A166" s="1" t="s">
        <v>1011</v>
      </c>
      <c r="B166" s="1" t="s">
        <v>2496</v>
      </c>
      <c r="C166" s="55">
        <v>0.93</v>
      </c>
      <c r="D166" s="1" t="s">
        <v>2489</v>
      </c>
      <c r="E166" s="40"/>
    </row>
    <row r="167" spans="1:5" ht="13.2" x14ac:dyDescent="0.25">
      <c r="A167" s="1"/>
      <c r="B167" s="1"/>
      <c r="C167" s="44"/>
      <c r="D167" s="1"/>
      <c r="E167" s="40"/>
    </row>
    <row r="168" spans="1:5" x14ac:dyDescent="0.2">
      <c r="A168" s="40"/>
      <c r="B168" s="40"/>
      <c r="C168" s="51"/>
      <c r="D168" s="40"/>
      <c r="E168" s="40"/>
    </row>
    <row r="169" spans="1:5" ht="24.6" x14ac:dyDescent="0.25">
      <c r="A169" s="57" t="s">
        <v>132</v>
      </c>
      <c r="B169" s="1"/>
      <c r="C169" s="44"/>
      <c r="D169" s="88" t="s">
        <v>2704</v>
      </c>
      <c r="E169" s="40"/>
    </row>
    <row r="170" spans="1:5" x14ac:dyDescent="0.2">
      <c r="A170" s="26" t="s">
        <v>1129</v>
      </c>
      <c r="B170" s="54" t="s">
        <v>1134</v>
      </c>
      <c r="C170" s="53" t="s">
        <v>658</v>
      </c>
      <c r="D170" s="54" t="s">
        <v>1131</v>
      </c>
    </row>
    <row r="171" spans="1:5" ht="13.2" x14ac:dyDescent="0.25">
      <c r="A171" s="1" t="s">
        <v>1000</v>
      </c>
      <c r="B171" s="1" t="s">
        <v>1926</v>
      </c>
      <c r="C171" s="55">
        <v>0.82</v>
      </c>
      <c r="D171" s="1" t="s">
        <v>1911</v>
      </c>
      <c r="E171" s="40"/>
    </row>
    <row r="172" spans="1:5" ht="13.2" x14ac:dyDescent="0.25">
      <c r="A172" s="1" t="s">
        <v>1000</v>
      </c>
      <c r="B172" s="1" t="s">
        <v>1918</v>
      </c>
      <c r="C172" s="55">
        <v>0.82</v>
      </c>
      <c r="D172" s="1" t="s">
        <v>1911</v>
      </c>
      <c r="E172" s="40"/>
    </row>
    <row r="173" spans="1:5" x14ac:dyDescent="0.2">
      <c r="A173" s="40"/>
      <c r="B173" s="40"/>
      <c r="C173" s="51"/>
      <c r="D173" s="40"/>
      <c r="E173" s="40"/>
    </row>
    <row r="174" spans="1:5" ht="13.2" x14ac:dyDescent="0.25">
      <c r="A174" s="1" t="s">
        <v>1188</v>
      </c>
      <c r="B174" s="27" t="s">
        <v>1135</v>
      </c>
      <c r="C174" s="56">
        <v>1.29</v>
      </c>
      <c r="D174" s="1" t="s">
        <v>1180</v>
      </c>
      <c r="E174" s="40" t="s">
        <v>2695</v>
      </c>
    </row>
    <row r="175" spans="1:5" ht="13.2" x14ac:dyDescent="0.25">
      <c r="A175" s="1" t="s">
        <v>1188</v>
      </c>
      <c r="B175" s="25" t="s">
        <v>1136</v>
      </c>
      <c r="C175" s="56">
        <v>1.3</v>
      </c>
      <c r="D175" s="1" t="s">
        <v>1180</v>
      </c>
      <c r="E175" s="40" t="s">
        <v>2696</v>
      </c>
    </row>
    <row r="176" spans="1:5" ht="13.2" x14ac:dyDescent="0.25">
      <c r="A176" s="1" t="s">
        <v>1188</v>
      </c>
      <c r="B176" s="25" t="s">
        <v>1137</v>
      </c>
      <c r="C176" s="56">
        <v>1.34</v>
      </c>
      <c r="D176" s="1" t="s">
        <v>1180</v>
      </c>
      <c r="E176" s="40" t="s">
        <v>2697</v>
      </c>
    </row>
    <row r="177" spans="1:5" x14ac:dyDescent="0.2">
      <c r="A177" s="40"/>
      <c r="B177" s="40"/>
      <c r="C177" s="51"/>
      <c r="D177" s="40"/>
      <c r="E177" s="40"/>
    </row>
    <row r="178" spans="1:5" x14ac:dyDescent="0.2">
      <c r="A178" s="40"/>
      <c r="B178" s="40"/>
      <c r="C178" s="51"/>
      <c r="D178" s="40"/>
      <c r="E178" s="40"/>
    </row>
    <row r="179" spans="1:5" ht="13.2" x14ac:dyDescent="0.25">
      <c r="A179" s="1" t="s">
        <v>1133</v>
      </c>
      <c r="B179" s="1" t="s">
        <v>349</v>
      </c>
      <c r="C179" s="93">
        <v>0.87</v>
      </c>
      <c r="D179" s="1" t="s">
        <v>316</v>
      </c>
      <c r="E179" s="40"/>
    </row>
    <row r="180" spans="1:5" ht="13.2" x14ac:dyDescent="0.25">
      <c r="A180" s="1" t="s">
        <v>1133</v>
      </c>
      <c r="B180" s="1" t="s">
        <v>323</v>
      </c>
      <c r="C180" s="55">
        <v>0.85</v>
      </c>
      <c r="D180" s="1" t="s">
        <v>316</v>
      </c>
      <c r="E180" s="40"/>
    </row>
    <row r="181" spans="1:5" ht="13.2" x14ac:dyDescent="0.25">
      <c r="A181" s="1" t="s">
        <v>1133</v>
      </c>
      <c r="B181" s="1" t="s">
        <v>330</v>
      </c>
      <c r="C181" s="55">
        <v>0.87</v>
      </c>
      <c r="D181" s="1" t="s">
        <v>316</v>
      </c>
      <c r="E181" s="40"/>
    </row>
    <row r="182" spans="1:5" ht="13.2" x14ac:dyDescent="0.25">
      <c r="A182" s="1" t="s">
        <v>1133</v>
      </c>
      <c r="B182" s="1" t="s">
        <v>387</v>
      </c>
      <c r="C182" s="55">
        <v>0.84</v>
      </c>
      <c r="D182" s="1" t="s">
        <v>316</v>
      </c>
      <c r="E182" s="40"/>
    </row>
    <row r="183" spans="1:5" ht="13.2" x14ac:dyDescent="0.25">
      <c r="A183" s="1" t="s">
        <v>1133</v>
      </c>
      <c r="B183" s="1" t="s">
        <v>382</v>
      </c>
      <c r="C183" s="55">
        <v>0.85</v>
      </c>
      <c r="D183" s="1" t="s">
        <v>316</v>
      </c>
      <c r="E183" s="40"/>
    </row>
    <row r="184" spans="1:5" ht="13.2" x14ac:dyDescent="0.25">
      <c r="A184" s="1" t="s">
        <v>1133</v>
      </c>
      <c r="B184" s="1" t="s">
        <v>353</v>
      </c>
      <c r="C184" s="55">
        <v>0.88</v>
      </c>
      <c r="D184" s="1" t="s">
        <v>316</v>
      </c>
      <c r="E184" s="40"/>
    </row>
    <row r="185" spans="1:5" ht="13.2" x14ac:dyDescent="0.25">
      <c r="A185" s="1" t="s">
        <v>1133</v>
      </c>
      <c r="B185" s="1" t="s">
        <v>365</v>
      </c>
      <c r="C185" s="55">
        <v>0.87</v>
      </c>
      <c r="D185" s="1" t="s">
        <v>316</v>
      </c>
      <c r="E185" s="40"/>
    </row>
    <row r="186" spans="1:5" ht="13.2" x14ac:dyDescent="0.25">
      <c r="A186" s="1" t="s">
        <v>1133</v>
      </c>
      <c r="B186" s="1" t="s">
        <v>342</v>
      </c>
      <c r="C186" s="55">
        <v>0.85</v>
      </c>
      <c r="D186" s="1" t="s">
        <v>316</v>
      </c>
      <c r="E186" s="40"/>
    </row>
    <row r="187" spans="1:5" ht="13.2" x14ac:dyDescent="0.25">
      <c r="A187" s="1" t="s">
        <v>1133</v>
      </c>
      <c r="B187" s="1" t="s">
        <v>411</v>
      </c>
      <c r="C187" s="55">
        <v>0.87</v>
      </c>
      <c r="D187" s="1" t="s">
        <v>316</v>
      </c>
      <c r="E187" s="40"/>
    </row>
    <row r="188" spans="1:5" ht="13.2" x14ac:dyDescent="0.25">
      <c r="A188" s="1"/>
      <c r="B188" s="1"/>
      <c r="C188" s="44"/>
      <c r="D188" s="1"/>
      <c r="E188" s="40"/>
    </row>
    <row r="189" spans="1:5" ht="13.2" x14ac:dyDescent="0.25">
      <c r="A189" s="84" t="s">
        <v>1133</v>
      </c>
      <c r="B189" s="1">
        <v>933</v>
      </c>
      <c r="C189" s="87">
        <v>1.1200000000000001</v>
      </c>
      <c r="D189" s="84" t="s">
        <v>421</v>
      </c>
      <c r="E189" s="40"/>
    </row>
    <row r="190" spans="1:5" ht="13.2" x14ac:dyDescent="0.25">
      <c r="A190" s="1" t="s">
        <v>1133</v>
      </c>
      <c r="B190" s="1" t="s">
        <v>493</v>
      </c>
      <c r="C190" s="55">
        <v>1.1000000000000001</v>
      </c>
      <c r="D190" s="1" t="s">
        <v>421</v>
      </c>
      <c r="E190" s="40"/>
    </row>
    <row r="191" spans="1:5" ht="13.2" x14ac:dyDescent="0.25">
      <c r="A191" s="1" t="s">
        <v>1133</v>
      </c>
      <c r="B191" s="1" t="s">
        <v>443</v>
      </c>
      <c r="C191" s="55">
        <v>1.1000000000000001</v>
      </c>
      <c r="D191" s="1" t="s">
        <v>421</v>
      </c>
      <c r="E191" s="40"/>
    </row>
    <row r="192" spans="1:5" ht="13.2" x14ac:dyDescent="0.25">
      <c r="A192" s="1" t="s">
        <v>1133</v>
      </c>
      <c r="B192" s="1" t="s">
        <v>633</v>
      </c>
      <c r="C192" s="55">
        <v>1.1200000000000001</v>
      </c>
      <c r="D192" s="1" t="s">
        <v>421</v>
      </c>
      <c r="E192" s="40"/>
    </row>
    <row r="193" spans="1:5" ht="13.2" x14ac:dyDescent="0.25">
      <c r="A193" s="1" t="s">
        <v>1133</v>
      </c>
      <c r="B193" s="1" t="s">
        <v>502</v>
      </c>
      <c r="C193" s="55">
        <v>1.1299999999999999</v>
      </c>
      <c r="D193" s="1" t="s">
        <v>421</v>
      </c>
      <c r="E193" s="40"/>
    </row>
    <row r="194" spans="1:5" ht="13.2" x14ac:dyDescent="0.25">
      <c r="A194" s="1" t="s">
        <v>1133</v>
      </c>
      <c r="B194" s="1" t="s">
        <v>425</v>
      </c>
      <c r="C194" s="55">
        <v>1.1399999999999999</v>
      </c>
      <c r="D194" s="1" t="s">
        <v>421</v>
      </c>
      <c r="E194" s="40"/>
    </row>
    <row r="195" spans="1:5" ht="13.2" x14ac:dyDescent="0.25">
      <c r="A195" s="1" t="s">
        <v>1133</v>
      </c>
      <c r="B195" s="1" t="s">
        <v>731</v>
      </c>
      <c r="C195" s="55">
        <v>1.1200000000000001</v>
      </c>
      <c r="D195" s="1" t="s">
        <v>421</v>
      </c>
      <c r="E195" s="40"/>
    </row>
    <row r="196" spans="1:5" ht="13.2" x14ac:dyDescent="0.25">
      <c r="A196" s="1" t="s">
        <v>1133</v>
      </c>
      <c r="B196" s="1" t="s">
        <v>736</v>
      </c>
      <c r="C196" s="55">
        <v>1.1499999999999999</v>
      </c>
      <c r="D196" s="1" t="s">
        <v>421</v>
      </c>
      <c r="E196" s="40"/>
    </row>
    <row r="197" spans="1:5" ht="13.2" x14ac:dyDescent="0.25">
      <c r="A197" s="1" t="s">
        <v>1133</v>
      </c>
      <c r="B197" s="1" t="s">
        <v>461</v>
      </c>
      <c r="C197" s="55">
        <v>1.1299999999999999</v>
      </c>
      <c r="D197" s="1" t="s">
        <v>421</v>
      </c>
      <c r="E197" s="40"/>
    </row>
    <row r="198" spans="1:5" ht="13.2" x14ac:dyDescent="0.25">
      <c r="A198" s="1" t="s">
        <v>1133</v>
      </c>
      <c r="B198" s="1" t="s">
        <v>638</v>
      </c>
      <c r="C198" s="55">
        <v>1.17</v>
      </c>
      <c r="D198" s="1" t="s">
        <v>421</v>
      </c>
      <c r="E198" s="40"/>
    </row>
    <row r="199" spans="1:5" ht="13.2" x14ac:dyDescent="0.25">
      <c r="A199" s="1" t="s">
        <v>1133</v>
      </c>
      <c r="B199" s="1" t="s">
        <v>465</v>
      </c>
      <c r="C199" s="55">
        <v>1.17</v>
      </c>
      <c r="D199" s="1" t="s">
        <v>421</v>
      </c>
      <c r="E199" s="40"/>
    </row>
    <row r="200" spans="1:5" ht="13.2" x14ac:dyDescent="0.25">
      <c r="A200" s="1" t="s">
        <v>1133</v>
      </c>
      <c r="B200" s="1">
        <v>949</v>
      </c>
      <c r="C200" s="55">
        <v>1.3</v>
      </c>
      <c r="D200" s="1" t="s">
        <v>421</v>
      </c>
      <c r="E200" s="40"/>
    </row>
    <row r="201" spans="1:5" ht="13.2" x14ac:dyDescent="0.25">
      <c r="A201" s="1" t="s">
        <v>1133</v>
      </c>
      <c r="B201" s="1" t="s">
        <v>743</v>
      </c>
      <c r="C201" s="55">
        <v>1.2</v>
      </c>
      <c r="D201" s="1" t="s">
        <v>421</v>
      </c>
      <c r="E201" s="40"/>
    </row>
    <row r="202" spans="1:5" ht="13.2" x14ac:dyDescent="0.25">
      <c r="A202" s="1" t="s">
        <v>1133</v>
      </c>
      <c r="B202" s="1" t="s">
        <v>506</v>
      </c>
      <c r="C202" s="55">
        <v>1.18</v>
      </c>
      <c r="D202" s="1" t="s">
        <v>421</v>
      </c>
      <c r="E202" s="40"/>
    </row>
    <row r="203" spans="1:5" ht="13.2" x14ac:dyDescent="0.25">
      <c r="A203" s="1" t="s">
        <v>1133</v>
      </c>
      <c r="B203" s="1" t="s">
        <v>470</v>
      </c>
      <c r="C203" s="55">
        <v>1.27</v>
      </c>
      <c r="D203" s="1" t="s">
        <v>421</v>
      </c>
      <c r="E203" s="40"/>
    </row>
    <row r="204" spans="1:5" ht="13.2" x14ac:dyDescent="0.25">
      <c r="A204" s="1" t="s">
        <v>1133</v>
      </c>
      <c r="B204" s="1" t="s">
        <v>454</v>
      </c>
      <c r="C204" s="55">
        <v>1.24</v>
      </c>
      <c r="D204" s="1" t="s">
        <v>421</v>
      </c>
      <c r="E204" s="40"/>
    </row>
    <row r="205" spans="1:5" ht="13.2" x14ac:dyDescent="0.25">
      <c r="A205" s="1" t="s">
        <v>1133</v>
      </c>
      <c r="B205" s="1" t="s">
        <v>515</v>
      </c>
      <c r="C205" s="55">
        <v>1.24</v>
      </c>
      <c r="D205" s="1" t="s">
        <v>421</v>
      </c>
      <c r="E205" s="40"/>
    </row>
    <row r="206" spans="1:5" ht="13.2" x14ac:dyDescent="0.25">
      <c r="A206" s="1" t="s">
        <v>1133</v>
      </c>
      <c r="B206" s="1" t="s">
        <v>450</v>
      </c>
      <c r="C206" s="55">
        <v>1.2</v>
      </c>
      <c r="D206" s="1" t="s">
        <v>421</v>
      </c>
      <c r="E206" s="40"/>
    </row>
    <row r="207" spans="1:5" ht="13.2" x14ac:dyDescent="0.25">
      <c r="A207" s="1" t="s">
        <v>1133</v>
      </c>
      <c r="B207" s="1" t="s">
        <v>647</v>
      </c>
      <c r="C207" s="55">
        <v>1.24</v>
      </c>
      <c r="D207" s="1" t="s">
        <v>421</v>
      </c>
      <c r="E207" s="40"/>
    </row>
    <row r="208" spans="1:5" ht="13.2" x14ac:dyDescent="0.25">
      <c r="A208" s="1" t="s">
        <v>1133</v>
      </c>
      <c r="B208" s="1" t="s">
        <v>430</v>
      </c>
      <c r="C208" s="55">
        <v>1.24</v>
      </c>
      <c r="D208" s="1" t="s">
        <v>421</v>
      </c>
      <c r="E208" s="40"/>
    </row>
    <row r="209" spans="1:5" ht="13.2" x14ac:dyDescent="0.25">
      <c r="A209" s="89" t="s">
        <v>1133</v>
      </c>
      <c r="B209" s="40">
        <v>957</v>
      </c>
      <c r="C209" s="44">
        <v>1.24</v>
      </c>
      <c r="D209" s="84" t="s">
        <v>421</v>
      </c>
      <c r="E209" s="40"/>
    </row>
    <row r="210" spans="1:5" ht="13.2" x14ac:dyDescent="0.25">
      <c r="A210" s="1" t="s">
        <v>1011</v>
      </c>
      <c r="B210" s="1" t="s">
        <v>2299</v>
      </c>
      <c r="C210" s="55">
        <v>0.84</v>
      </c>
      <c r="D210" s="1" t="s">
        <v>2292</v>
      </c>
      <c r="E210" s="40"/>
    </row>
    <row r="211" spans="1:5" ht="13.2" x14ac:dyDescent="0.25">
      <c r="A211" s="1" t="s">
        <v>1011</v>
      </c>
      <c r="B211" s="1" t="s">
        <v>2306</v>
      </c>
      <c r="C211" s="55">
        <v>0.87</v>
      </c>
      <c r="D211" s="1" t="s">
        <v>2292</v>
      </c>
      <c r="E211" s="40"/>
    </row>
    <row r="212" spans="1:5" ht="13.2" x14ac:dyDescent="0.25">
      <c r="A212" s="1"/>
      <c r="B212" s="1"/>
      <c r="C212" s="44"/>
      <c r="D212" s="1"/>
      <c r="E212" s="40"/>
    </row>
    <row r="213" spans="1:5" ht="13.2" x14ac:dyDescent="0.25">
      <c r="A213" s="1" t="s">
        <v>1000</v>
      </c>
      <c r="B213" s="1" t="s">
        <v>1933</v>
      </c>
      <c r="C213" s="55">
        <v>1.0900000000000001</v>
      </c>
      <c r="D213" s="1" t="s">
        <v>1927</v>
      </c>
      <c r="E213" s="40"/>
    </row>
    <row r="214" spans="1:5" ht="13.2" x14ac:dyDescent="0.25">
      <c r="A214" s="1" t="s">
        <v>1000</v>
      </c>
      <c r="B214" s="1" t="s">
        <v>1008</v>
      </c>
      <c r="C214" s="55">
        <v>1.0900000000000001</v>
      </c>
      <c r="D214" s="1" t="s">
        <v>1927</v>
      </c>
      <c r="E214" s="40"/>
    </row>
    <row r="215" spans="1:5" ht="13.2" x14ac:dyDescent="0.25">
      <c r="A215" s="1" t="s">
        <v>1000</v>
      </c>
      <c r="B215" s="1" t="s">
        <v>1001</v>
      </c>
      <c r="C215" s="55">
        <v>1.1000000000000001</v>
      </c>
      <c r="D215" s="1" t="s">
        <v>1927</v>
      </c>
      <c r="E215" s="40"/>
    </row>
    <row r="216" spans="1:5" ht="13.2" x14ac:dyDescent="0.25">
      <c r="A216" s="1"/>
      <c r="B216" s="1"/>
      <c r="C216" s="44"/>
      <c r="D216" s="1"/>
      <c r="E216" s="40"/>
    </row>
    <row r="217" spans="1:5" ht="13.2" x14ac:dyDescent="0.25">
      <c r="A217" s="1"/>
      <c r="B217" s="1"/>
      <c r="C217" s="44"/>
      <c r="D217" s="1"/>
      <c r="E217" s="40"/>
    </row>
    <row r="218" spans="1:5" ht="13.2" x14ac:dyDescent="0.25">
      <c r="A218" s="1" t="s">
        <v>1000</v>
      </c>
      <c r="B218" s="1">
        <v>331</v>
      </c>
      <c r="C218" s="55">
        <v>0.81</v>
      </c>
      <c r="D218" s="1" t="s">
        <v>1940</v>
      </c>
      <c r="E218" s="40"/>
    </row>
    <row r="219" spans="1:5" ht="13.2" x14ac:dyDescent="0.25">
      <c r="A219" s="1" t="s">
        <v>1000</v>
      </c>
      <c r="B219" s="1">
        <v>333</v>
      </c>
      <c r="C219" s="55">
        <v>0.82</v>
      </c>
      <c r="D219" s="1" t="s">
        <v>1940</v>
      </c>
      <c r="E219" s="40"/>
    </row>
    <row r="220" spans="1:5" ht="13.2" x14ac:dyDescent="0.25">
      <c r="A220" s="1" t="s">
        <v>1000</v>
      </c>
      <c r="B220" s="1" t="s">
        <v>1949</v>
      </c>
      <c r="C220" s="55">
        <v>0.81</v>
      </c>
      <c r="D220" s="1" t="s">
        <v>1940</v>
      </c>
      <c r="E220" s="40"/>
    </row>
    <row r="221" spans="1:5" ht="13.2" x14ac:dyDescent="0.25">
      <c r="A221" s="1" t="s">
        <v>1000</v>
      </c>
      <c r="B221" s="1">
        <v>339</v>
      </c>
      <c r="C221" s="55">
        <v>0.8</v>
      </c>
      <c r="D221" s="1" t="s">
        <v>1940</v>
      </c>
      <c r="E221" s="40"/>
    </row>
    <row r="222" spans="1:5" ht="13.2" x14ac:dyDescent="0.25">
      <c r="A222" s="1" t="s">
        <v>1000</v>
      </c>
      <c r="B222" s="1">
        <v>339</v>
      </c>
      <c r="C222" s="55">
        <v>0.8</v>
      </c>
      <c r="D222" s="1" t="s">
        <v>1940</v>
      </c>
      <c r="E222" s="40"/>
    </row>
    <row r="223" spans="1:5" ht="13.2" x14ac:dyDescent="0.25">
      <c r="A223" s="1" t="s">
        <v>1000</v>
      </c>
      <c r="B223" s="1">
        <v>333</v>
      </c>
      <c r="C223" s="55">
        <v>0.82</v>
      </c>
      <c r="D223" s="1" t="s">
        <v>1940</v>
      </c>
      <c r="E223" s="40"/>
    </row>
    <row r="224" spans="1:5" ht="13.2" x14ac:dyDescent="0.25">
      <c r="A224" s="1" t="s">
        <v>1000</v>
      </c>
      <c r="B224" s="1">
        <v>334</v>
      </c>
      <c r="C224" s="55">
        <v>0.82</v>
      </c>
      <c r="D224" s="1" t="s">
        <v>1940</v>
      </c>
      <c r="E224" s="40"/>
    </row>
    <row r="225" spans="1:5" ht="13.2" x14ac:dyDescent="0.25">
      <c r="A225" s="1"/>
      <c r="B225" s="1"/>
      <c r="C225" s="44"/>
      <c r="D225" s="1"/>
      <c r="E225" s="40"/>
    </row>
    <row r="226" spans="1:5" ht="13.2" x14ac:dyDescent="0.25">
      <c r="A226" s="1"/>
      <c r="B226" s="1"/>
      <c r="C226" s="44"/>
      <c r="D226" s="1"/>
      <c r="E226" s="40"/>
    </row>
    <row r="227" spans="1:5" ht="13.2" x14ac:dyDescent="0.25">
      <c r="A227" s="1" t="s">
        <v>1000</v>
      </c>
      <c r="B227" s="1" t="s">
        <v>1027</v>
      </c>
      <c r="C227" s="55">
        <v>0.82</v>
      </c>
      <c r="D227" s="1" t="s">
        <v>1024</v>
      </c>
      <c r="E227" s="40"/>
    </row>
    <row r="228" spans="1:5" ht="13.2" x14ac:dyDescent="0.25">
      <c r="A228" s="1"/>
      <c r="B228" s="1"/>
      <c r="C228" s="44"/>
      <c r="D228" s="1"/>
      <c r="E228" s="40"/>
    </row>
    <row r="229" spans="1:5" ht="13.2" x14ac:dyDescent="0.25">
      <c r="A229" s="1" t="s">
        <v>1013</v>
      </c>
      <c r="B229" s="1" t="s">
        <v>2515</v>
      </c>
      <c r="C229" s="55">
        <v>0.89</v>
      </c>
      <c r="D229" s="7" t="s">
        <v>2501</v>
      </c>
      <c r="E229" s="40"/>
    </row>
    <row r="230" spans="1:5" ht="13.2" x14ac:dyDescent="0.25">
      <c r="A230" s="1" t="s">
        <v>1013</v>
      </c>
      <c r="B230" s="1" t="s">
        <v>2525</v>
      </c>
      <c r="C230" s="55">
        <v>0.98</v>
      </c>
      <c r="D230" s="7" t="s">
        <v>2501</v>
      </c>
      <c r="E230" s="40"/>
    </row>
    <row r="231" spans="1:5" ht="13.2" x14ac:dyDescent="0.25">
      <c r="A231" s="1" t="s">
        <v>1013</v>
      </c>
      <c r="B231" s="1" t="s">
        <v>2508</v>
      </c>
      <c r="C231" s="55">
        <v>0.99</v>
      </c>
      <c r="D231" s="7" t="s">
        <v>2501</v>
      </c>
      <c r="E231" s="40"/>
    </row>
    <row r="232" spans="1:5" ht="13.2" x14ac:dyDescent="0.25">
      <c r="A232" s="1"/>
      <c r="B232" s="1"/>
      <c r="C232" s="44"/>
      <c r="D232" s="1"/>
      <c r="E232" s="40"/>
    </row>
    <row r="233" spans="1:5" ht="13.2" x14ac:dyDescent="0.25">
      <c r="A233" s="1" t="s">
        <v>1000</v>
      </c>
      <c r="B233" s="1" t="s">
        <v>1966</v>
      </c>
      <c r="C233" s="55">
        <v>1.03</v>
      </c>
      <c r="D233" s="7" t="s">
        <v>1960</v>
      </c>
      <c r="E233" s="40"/>
    </row>
    <row r="234" spans="1:5" ht="13.2" x14ac:dyDescent="0.25">
      <c r="A234" s="1"/>
      <c r="B234" s="1"/>
      <c r="C234" s="44"/>
      <c r="D234" s="1"/>
      <c r="E234" s="40"/>
    </row>
    <row r="235" spans="1:5" ht="13.2" x14ac:dyDescent="0.25">
      <c r="A235" s="1"/>
      <c r="B235" s="1"/>
      <c r="C235" s="44"/>
      <c r="D235" s="1"/>
      <c r="E235" s="40"/>
    </row>
    <row r="236" spans="1:5" ht="13.2" x14ac:dyDescent="0.25">
      <c r="A236" s="1" t="s">
        <v>1000</v>
      </c>
      <c r="B236" s="1" t="s">
        <v>1957</v>
      </c>
      <c r="C236" s="55">
        <v>0.94</v>
      </c>
      <c r="D236" s="7" t="s">
        <v>1951</v>
      </c>
      <c r="E236" s="40"/>
    </row>
    <row r="237" spans="1:5" ht="13.2" x14ac:dyDescent="0.25">
      <c r="A237" s="1"/>
      <c r="B237" s="1"/>
      <c r="C237" s="44"/>
      <c r="D237" s="1"/>
      <c r="E237" s="40"/>
    </row>
    <row r="238" spans="1:5" ht="13.2" x14ac:dyDescent="0.25">
      <c r="A238" s="1"/>
      <c r="B238" s="1"/>
      <c r="C238" s="44"/>
      <c r="D238" s="1"/>
      <c r="E238" s="40"/>
    </row>
    <row r="239" spans="1:5" ht="13.2" x14ac:dyDescent="0.25">
      <c r="A239" s="1" t="s">
        <v>198</v>
      </c>
      <c r="B239" s="85" t="s">
        <v>2396</v>
      </c>
      <c r="C239" s="55">
        <v>0.9</v>
      </c>
      <c r="D239" s="7" t="s">
        <v>72</v>
      </c>
      <c r="E239" s="40"/>
    </row>
    <row r="240" spans="1:5" ht="13.2" x14ac:dyDescent="0.25">
      <c r="A240" s="1" t="s">
        <v>198</v>
      </c>
      <c r="B240" s="1" t="s">
        <v>86</v>
      </c>
      <c r="C240" s="55">
        <v>0.87</v>
      </c>
      <c r="D240" s="1" t="s">
        <v>72</v>
      </c>
      <c r="E240" s="40"/>
    </row>
    <row r="241" spans="1:5" ht="13.2" x14ac:dyDescent="0.25">
      <c r="A241" s="1" t="s">
        <v>198</v>
      </c>
      <c r="B241" s="7" t="s">
        <v>93</v>
      </c>
      <c r="C241" s="55">
        <v>0.87</v>
      </c>
      <c r="D241" s="1" t="s">
        <v>72</v>
      </c>
      <c r="E241" s="40"/>
    </row>
    <row r="242" spans="1:5" ht="13.2" x14ac:dyDescent="0.25">
      <c r="A242" s="1"/>
      <c r="B242" s="7"/>
      <c r="C242" s="44"/>
      <c r="D242" s="1"/>
      <c r="E242" s="40"/>
    </row>
    <row r="243" spans="1:5" ht="13.2" x14ac:dyDescent="0.25">
      <c r="A243" s="1"/>
      <c r="B243" s="7"/>
      <c r="C243" s="44"/>
      <c r="D243" s="1"/>
      <c r="E243" s="40"/>
    </row>
    <row r="244" spans="1:5" ht="13.2" x14ac:dyDescent="0.25">
      <c r="A244" s="1" t="s">
        <v>198</v>
      </c>
      <c r="B244" s="1" t="s">
        <v>1068</v>
      </c>
      <c r="C244" s="55">
        <v>0.86</v>
      </c>
      <c r="D244" s="1" t="s">
        <v>99</v>
      </c>
      <c r="E244" s="40"/>
    </row>
    <row r="245" spans="1:5" ht="13.2" x14ac:dyDescent="0.25">
      <c r="A245" s="1" t="s">
        <v>198</v>
      </c>
      <c r="B245" s="1" t="s">
        <v>105</v>
      </c>
      <c r="C245" s="55">
        <v>0.86</v>
      </c>
      <c r="D245" s="1" t="s">
        <v>99</v>
      </c>
      <c r="E245" s="40"/>
    </row>
    <row r="246" spans="1:5" ht="13.2" x14ac:dyDescent="0.25">
      <c r="A246" s="1" t="s">
        <v>198</v>
      </c>
      <c r="B246" s="1" t="s">
        <v>116</v>
      </c>
      <c r="C246" s="55">
        <v>0.81</v>
      </c>
      <c r="D246" s="1" t="s">
        <v>99</v>
      </c>
      <c r="E246" s="40"/>
    </row>
    <row r="247" spans="1:5" ht="13.2" x14ac:dyDescent="0.25">
      <c r="A247" s="1" t="s">
        <v>198</v>
      </c>
      <c r="B247" s="1" t="s">
        <v>1063</v>
      </c>
      <c r="C247" s="55">
        <v>0.81</v>
      </c>
      <c r="D247" s="1" t="s">
        <v>99</v>
      </c>
      <c r="E247" s="40"/>
    </row>
    <row r="248" spans="1:5" ht="13.2" x14ac:dyDescent="0.25">
      <c r="A248" s="1"/>
      <c r="B248" s="1"/>
      <c r="C248" s="44"/>
      <c r="D248" s="1"/>
      <c r="E248" s="40"/>
    </row>
    <row r="249" spans="1:5" ht="13.2" x14ac:dyDescent="0.25">
      <c r="A249" s="1"/>
      <c r="B249" s="1"/>
      <c r="C249" s="44"/>
      <c r="D249" s="1"/>
      <c r="E249" s="40"/>
    </row>
    <row r="250" spans="1:5" ht="13.2" x14ac:dyDescent="0.25">
      <c r="A250" s="1" t="s">
        <v>1000</v>
      </c>
      <c r="B250" s="1" t="s">
        <v>1999</v>
      </c>
      <c r="C250" s="55">
        <v>0.9</v>
      </c>
      <c r="D250" s="1" t="s">
        <v>1980</v>
      </c>
      <c r="E250" s="40"/>
    </row>
    <row r="251" spans="1:5" ht="13.2" x14ac:dyDescent="0.25">
      <c r="A251" s="1" t="s">
        <v>1000</v>
      </c>
      <c r="B251" s="1" t="s">
        <v>1986</v>
      </c>
      <c r="C251" s="55">
        <v>0.88</v>
      </c>
      <c r="D251" s="1" t="s">
        <v>1980</v>
      </c>
      <c r="E251" s="40"/>
    </row>
    <row r="252" spans="1:5" ht="13.2" x14ac:dyDescent="0.25">
      <c r="A252" s="1"/>
      <c r="B252" s="1"/>
      <c r="C252" s="44"/>
      <c r="D252" s="1"/>
      <c r="E252" s="40"/>
    </row>
    <row r="253" spans="1:5" ht="13.2" x14ac:dyDescent="0.25">
      <c r="A253" s="1"/>
      <c r="B253" s="1"/>
      <c r="C253" s="44"/>
      <c r="D253" s="1"/>
      <c r="E253" s="40"/>
    </row>
    <row r="254" spans="1:5" ht="13.2" x14ac:dyDescent="0.25">
      <c r="A254" s="1" t="s">
        <v>1000</v>
      </c>
      <c r="B254" s="1" t="s">
        <v>1022</v>
      </c>
      <c r="C254" s="55">
        <v>1.1000000000000001</v>
      </c>
      <c r="D254" s="1" t="s">
        <v>1968</v>
      </c>
      <c r="E254" s="40"/>
    </row>
    <row r="255" spans="1:5" ht="13.2" x14ac:dyDescent="0.25">
      <c r="A255" s="1" t="s">
        <v>1000</v>
      </c>
      <c r="B255" s="1" t="s">
        <v>1978</v>
      </c>
      <c r="C255" s="55">
        <v>1.08</v>
      </c>
      <c r="D255" s="1" t="s">
        <v>1968</v>
      </c>
      <c r="E255" s="40"/>
    </row>
    <row r="256" spans="1:5" ht="13.2" x14ac:dyDescent="0.25">
      <c r="A256" s="1" t="s">
        <v>1000</v>
      </c>
      <c r="B256" s="1" t="s">
        <v>1974</v>
      </c>
      <c r="C256" s="55">
        <v>1.07</v>
      </c>
      <c r="D256" s="1" t="s">
        <v>1968</v>
      </c>
      <c r="E256" s="40"/>
    </row>
    <row r="257" spans="1:5" ht="13.2" x14ac:dyDescent="0.25">
      <c r="A257" s="1"/>
      <c r="B257" s="1"/>
      <c r="C257" s="44"/>
      <c r="D257" s="1"/>
      <c r="E257" s="40"/>
    </row>
    <row r="258" spans="1:5" ht="13.2" x14ac:dyDescent="0.25">
      <c r="A258" s="1"/>
      <c r="B258" s="1"/>
      <c r="C258" s="44"/>
      <c r="D258" s="1"/>
      <c r="E258" s="40"/>
    </row>
    <row r="259" spans="1:5" ht="13.2" x14ac:dyDescent="0.25">
      <c r="A259" s="1" t="s">
        <v>1000</v>
      </c>
      <c r="B259" s="1" t="s">
        <v>2066</v>
      </c>
      <c r="C259" s="55">
        <v>0.89</v>
      </c>
      <c r="D259" s="1" t="s">
        <v>2011</v>
      </c>
      <c r="E259" s="40"/>
    </row>
    <row r="260" spans="1:5" ht="13.2" x14ac:dyDescent="0.25">
      <c r="A260" s="1" t="s">
        <v>1000</v>
      </c>
      <c r="B260" s="1" t="s">
        <v>2038</v>
      </c>
      <c r="C260" s="55">
        <v>0.88</v>
      </c>
      <c r="D260" s="1" t="s">
        <v>2011</v>
      </c>
      <c r="E260" s="40"/>
    </row>
    <row r="261" spans="1:5" ht="13.2" x14ac:dyDescent="0.25">
      <c r="A261" s="1" t="s">
        <v>1000</v>
      </c>
      <c r="B261" s="7" t="s">
        <v>2058</v>
      </c>
      <c r="C261" s="55">
        <v>0.88</v>
      </c>
      <c r="D261" s="1" t="s">
        <v>2011</v>
      </c>
      <c r="E261" s="40"/>
    </row>
    <row r="262" spans="1:5" ht="13.2" x14ac:dyDescent="0.25">
      <c r="A262" s="1" t="s">
        <v>1000</v>
      </c>
      <c r="B262" s="1" t="s">
        <v>2024</v>
      </c>
      <c r="C262" s="55">
        <v>0.82</v>
      </c>
      <c r="D262" s="1" t="s">
        <v>2011</v>
      </c>
      <c r="E262" s="40"/>
    </row>
    <row r="263" spans="1:5" ht="13.2" x14ac:dyDescent="0.25">
      <c r="A263" s="1" t="s">
        <v>1000</v>
      </c>
      <c r="B263" s="1" t="s">
        <v>2017</v>
      </c>
      <c r="C263" s="55">
        <v>0.86</v>
      </c>
      <c r="D263" s="1" t="s">
        <v>2011</v>
      </c>
      <c r="E263" s="40"/>
    </row>
    <row r="264" spans="1:5" ht="13.2" x14ac:dyDescent="0.25">
      <c r="A264" s="1" t="s">
        <v>1000</v>
      </c>
      <c r="B264" s="1" t="s">
        <v>2031</v>
      </c>
      <c r="C264" s="55">
        <v>0.86</v>
      </c>
      <c r="D264" s="1" t="s">
        <v>2011</v>
      </c>
      <c r="E264" s="40"/>
    </row>
    <row r="265" spans="1:5" ht="13.2" x14ac:dyDescent="0.25">
      <c r="A265" s="1" t="s">
        <v>1000</v>
      </c>
      <c r="B265" s="1" t="s">
        <v>2045</v>
      </c>
      <c r="C265" s="55">
        <v>0.86</v>
      </c>
      <c r="D265" s="1" t="s">
        <v>2011</v>
      </c>
      <c r="E265" s="40"/>
    </row>
    <row r="266" spans="1:5" ht="13.2" x14ac:dyDescent="0.25">
      <c r="A266" s="1"/>
      <c r="B266" s="1"/>
      <c r="C266" s="44"/>
      <c r="D266" s="1"/>
      <c r="E266" s="40"/>
    </row>
    <row r="267" spans="1:5" ht="13.2" x14ac:dyDescent="0.25">
      <c r="A267" s="1"/>
      <c r="B267" s="1"/>
      <c r="C267" s="44"/>
      <c r="D267" s="1"/>
      <c r="E267" s="40"/>
    </row>
    <row r="268" spans="1:5" ht="13.2" x14ac:dyDescent="0.25">
      <c r="A268" s="1" t="s">
        <v>1000</v>
      </c>
      <c r="B268" s="1" t="s">
        <v>2117</v>
      </c>
      <c r="C268" s="55">
        <v>1.07</v>
      </c>
      <c r="D268" s="1" t="s">
        <v>2075</v>
      </c>
      <c r="E268" s="40"/>
    </row>
    <row r="269" spans="1:5" ht="13.2" x14ac:dyDescent="0.25">
      <c r="A269" s="1" t="s">
        <v>1000</v>
      </c>
      <c r="B269" s="1" t="s">
        <v>2127</v>
      </c>
      <c r="C269" s="55">
        <v>1.08</v>
      </c>
      <c r="D269" s="1" t="s">
        <v>2075</v>
      </c>
      <c r="E269" s="40"/>
    </row>
    <row r="270" spans="1:5" ht="13.2" x14ac:dyDescent="0.25">
      <c r="A270" s="1" t="s">
        <v>1000</v>
      </c>
      <c r="B270" s="1" t="s">
        <v>2094</v>
      </c>
      <c r="C270" s="86">
        <v>0.99</v>
      </c>
      <c r="D270" s="1" t="s">
        <v>2075</v>
      </c>
      <c r="E270" s="40"/>
    </row>
    <row r="271" spans="1:5" ht="13.2" x14ac:dyDescent="0.25">
      <c r="A271" s="1" t="s">
        <v>1000</v>
      </c>
      <c r="B271" s="1" t="s">
        <v>2081</v>
      </c>
      <c r="C271" s="55">
        <v>0.99</v>
      </c>
      <c r="D271" s="1" t="s">
        <v>2075</v>
      </c>
      <c r="E271" s="40"/>
    </row>
    <row r="272" spans="1:5" ht="13.2" x14ac:dyDescent="0.25">
      <c r="A272" s="1" t="s">
        <v>1000</v>
      </c>
      <c r="B272" s="1" t="s">
        <v>1510</v>
      </c>
      <c r="C272" s="55">
        <v>0.94</v>
      </c>
      <c r="D272" s="1" t="s">
        <v>2075</v>
      </c>
      <c r="E272" s="40"/>
    </row>
    <row r="273" spans="1:5" ht="13.2" x14ac:dyDescent="0.25">
      <c r="A273" s="1" t="s">
        <v>1000</v>
      </c>
      <c r="B273" s="1" t="s">
        <v>2112</v>
      </c>
      <c r="C273" s="55">
        <v>1.02</v>
      </c>
      <c r="D273" s="1" t="s">
        <v>2075</v>
      </c>
      <c r="E273" s="40"/>
    </row>
    <row r="274" spans="1:5" ht="13.2" x14ac:dyDescent="0.25">
      <c r="A274" s="1" t="s">
        <v>1000</v>
      </c>
      <c r="B274" s="1" t="s">
        <v>2138</v>
      </c>
      <c r="C274" s="55">
        <v>0.9</v>
      </c>
      <c r="D274" s="1" t="s">
        <v>2075</v>
      </c>
      <c r="E274" s="40"/>
    </row>
    <row r="275" spans="1:5" ht="13.2" x14ac:dyDescent="0.25">
      <c r="A275" s="1" t="s">
        <v>1000</v>
      </c>
      <c r="B275" s="1" t="s">
        <v>2100</v>
      </c>
      <c r="C275" s="55">
        <v>0.91</v>
      </c>
      <c r="D275" s="1" t="s">
        <v>2075</v>
      </c>
      <c r="E275" s="40"/>
    </row>
    <row r="276" spans="1:5" ht="13.2" x14ac:dyDescent="0.25">
      <c r="A276" s="1"/>
      <c r="B276" s="1"/>
      <c r="C276" s="44"/>
      <c r="D276" s="1"/>
      <c r="E276" s="40"/>
    </row>
    <row r="277" spans="1:5" ht="13.2" x14ac:dyDescent="0.25">
      <c r="A277" s="1"/>
      <c r="B277" s="1"/>
      <c r="C277" s="44"/>
      <c r="D277" s="1"/>
      <c r="E277" s="40"/>
    </row>
    <row r="278" spans="1:5" ht="13.2" x14ac:dyDescent="0.25">
      <c r="A278" s="1" t="s">
        <v>1000</v>
      </c>
      <c r="B278" s="1" t="s">
        <v>2146</v>
      </c>
      <c r="C278" s="55">
        <v>0.79</v>
      </c>
      <c r="D278" s="1" t="s">
        <v>2140</v>
      </c>
      <c r="E278" s="40"/>
    </row>
    <row r="279" spans="1:5" ht="13.2" x14ac:dyDescent="0.25">
      <c r="A279" s="1"/>
      <c r="B279" s="1"/>
      <c r="C279" s="44"/>
      <c r="D279" s="1"/>
      <c r="E279" s="40"/>
    </row>
    <row r="280" spans="1:5" ht="13.2" x14ac:dyDescent="0.25">
      <c r="A280" s="1"/>
      <c r="B280" s="1"/>
      <c r="C280" s="44"/>
      <c r="D280" s="1"/>
      <c r="E280" s="40"/>
    </row>
    <row r="281" spans="1:5" ht="13.2" x14ac:dyDescent="0.25">
      <c r="A281" s="1" t="s">
        <v>1011</v>
      </c>
      <c r="B281" s="1" t="s">
        <v>2320</v>
      </c>
      <c r="C281" s="55">
        <v>0.88</v>
      </c>
      <c r="D281" s="1" t="s">
        <v>2307</v>
      </c>
      <c r="E281" s="40"/>
    </row>
    <row r="282" spans="1:5" ht="13.2" x14ac:dyDescent="0.25">
      <c r="A282" s="1" t="s">
        <v>1011</v>
      </c>
      <c r="B282" s="1" t="s">
        <v>2333</v>
      </c>
      <c r="C282" s="55">
        <v>0.87</v>
      </c>
      <c r="D282" s="1" t="s">
        <v>2307</v>
      </c>
      <c r="E282" s="40"/>
    </row>
    <row r="283" spans="1:5" ht="13.2" x14ac:dyDescent="0.25">
      <c r="A283" s="1" t="s">
        <v>1011</v>
      </c>
      <c r="B283" s="1" t="s">
        <v>2313</v>
      </c>
      <c r="C283" s="55">
        <v>0.88</v>
      </c>
      <c r="D283" s="1" t="s">
        <v>2307</v>
      </c>
      <c r="E283" s="40"/>
    </row>
    <row r="284" spans="1:5" ht="13.2" x14ac:dyDescent="0.25">
      <c r="A284" s="1" t="s">
        <v>1011</v>
      </c>
      <c r="B284" s="1" t="s">
        <v>2327</v>
      </c>
      <c r="C284" s="55">
        <v>0.84</v>
      </c>
      <c r="D284" s="1" t="s">
        <v>2307</v>
      </c>
      <c r="E284" s="40"/>
    </row>
    <row r="285" spans="1:5" ht="13.2" x14ac:dyDescent="0.25">
      <c r="A285" s="1" t="s">
        <v>1011</v>
      </c>
      <c r="B285" s="1" t="s">
        <v>2349</v>
      </c>
      <c r="C285" s="55">
        <v>0.85</v>
      </c>
      <c r="D285" s="1" t="s">
        <v>2307</v>
      </c>
      <c r="E285" s="40"/>
    </row>
    <row r="286" spans="1:5" ht="13.2" x14ac:dyDescent="0.25">
      <c r="A286" s="1"/>
      <c r="B286" s="1"/>
      <c r="C286" s="44"/>
      <c r="D286" s="1"/>
      <c r="E286" s="40"/>
    </row>
    <row r="287" spans="1:5" ht="13.2" x14ac:dyDescent="0.25">
      <c r="A287" s="1"/>
      <c r="B287" s="1"/>
      <c r="C287" s="44"/>
      <c r="D287" s="1"/>
      <c r="E287" s="40"/>
    </row>
    <row r="288" spans="1:5" ht="13.2" x14ac:dyDescent="0.25">
      <c r="A288" s="1" t="s">
        <v>1011</v>
      </c>
      <c r="B288" s="1" t="s">
        <v>2396</v>
      </c>
      <c r="C288" s="55">
        <v>0.9</v>
      </c>
      <c r="D288" s="1" t="s">
        <v>2383</v>
      </c>
      <c r="E288" s="40"/>
    </row>
    <row r="289" spans="1:5" ht="13.2" x14ac:dyDescent="0.25">
      <c r="A289" s="1" t="s">
        <v>1011</v>
      </c>
      <c r="B289" s="1" t="s">
        <v>2389</v>
      </c>
      <c r="C289" s="55">
        <v>0.9</v>
      </c>
      <c r="D289" s="1" t="s">
        <v>2383</v>
      </c>
      <c r="E289" s="40"/>
    </row>
    <row r="290" spans="1:5" ht="13.2" x14ac:dyDescent="0.25">
      <c r="A290" s="1" t="s">
        <v>1011</v>
      </c>
      <c r="B290" s="1" t="s">
        <v>2402</v>
      </c>
      <c r="C290" s="55">
        <v>0.89</v>
      </c>
      <c r="D290" s="1" t="s">
        <v>2383</v>
      </c>
      <c r="E290" s="40"/>
    </row>
    <row r="291" spans="1:5" ht="13.2" x14ac:dyDescent="0.25">
      <c r="A291" s="1"/>
      <c r="B291" s="1"/>
      <c r="C291" s="44"/>
      <c r="D291" s="1"/>
      <c r="E291" s="40"/>
    </row>
    <row r="292" spans="1:5" ht="13.2" x14ac:dyDescent="0.25">
      <c r="A292" s="1"/>
      <c r="B292" s="1"/>
      <c r="C292" s="44"/>
      <c r="D292" s="1"/>
      <c r="E292" s="40"/>
    </row>
    <row r="293" spans="1:5" ht="13.2" x14ac:dyDescent="0.25">
      <c r="A293" s="1" t="s">
        <v>1133</v>
      </c>
      <c r="B293" s="1" t="s">
        <v>904</v>
      </c>
      <c r="C293" s="55">
        <v>1.02</v>
      </c>
      <c r="D293" s="1" t="s">
        <v>891</v>
      </c>
      <c r="E293" s="40"/>
    </row>
    <row r="294" spans="1:5" ht="13.2" x14ac:dyDescent="0.25">
      <c r="A294" s="1" t="s">
        <v>1133</v>
      </c>
      <c r="B294" s="1" t="s">
        <v>920</v>
      </c>
      <c r="C294" s="55">
        <v>1.02</v>
      </c>
      <c r="D294" s="1" t="s">
        <v>891</v>
      </c>
      <c r="E294" s="40"/>
    </row>
    <row r="295" spans="1:5" ht="13.2" x14ac:dyDescent="0.25">
      <c r="A295" s="1" t="s">
        <v>1133</v>
      </c>
      <c r="B295" s="1" t="s">
        <v>909</v>
      </c>
      <c r="C295" s="55">
        <v>1.02</v>
      </c>
      <c r="D295" s="1" t="s">
        <v>891</v>
      </c>
      <c r="E295" s="40"/>
    </row>
    <row r="296" spans="1:5" ht="13.2" x14ac:dyDescent="0.25">
      <c r="A296" s="1" t="s">
        <v>1133</v>
      </c>
      <c r="B296" s="1" t="s">
        <v>915</v>
      </c>
      <c r="C296" s="55">
        <v>0.9</v>
      </c>
      <c r="D296" s="1" t="s">
        <v>891</v>
      </c>
      <c r="E296" s="40"/>
    </row>
    <row r="297" spans="1:5" ht="13.2" x14ac:dyDescent="0.25">
      <c r="A297" s="1" t="s">
        <v>1133</v>
      </c>
      <c r="B297" s="1" t="s">
        <v>936</v>
      </c>
      <c r="C297" s="55">
        <v>0.9</v>
      </c>
      <c r="D297" s="1" t="s">
        <v>891</v>
      </c>
      <c r="E297" s="40"/>
    </row>
    <row r="298" spans="1:5" ht="13.2" x14ac:dyDescent="0.25">
      <c r="A298" s="1" t="s">
        <v>1133</v>
      </c>
      <c r="B298" s="1" t="s">
        <v>897</v>
      </c>
      <c r="C298" s="55">
        <v>0.99</v>
      </c>
      <c r="D298" s="1" t="s">
        <v>891</v>
      </c>
      <c r="E298" s="40"/>
    </row>
    <row r="299" spans="1:5" ht="13.2" x14ac:dyDescent="0.25">
      <c r="A299" s="1"/>
      <c r="B299" s="1"/>
      <c r="C299" s="44"/>
      <c r="D299" s="1"/>
      <c r="E299" s="40"/>
    </row>
    <row r="300" spans="1:5" ht="13.2" x14ac:dyDescent="0.25">
      <c r="A300" s="1"/>
      <c r="B300" s="1"/>
      <c r="C300" s="44"/>
      <c r="D300" s="1"/>
      <c r="E300" s="40"/>
    </row>
    <row r="301" spans="1:5" ht="13.2" x14ac:dyDescent="0.25">
      <c r="A301" s="1" t="s">
        <v>1000</v>
      </c>
      <c r="B301" s="1" t="s">
        <v>1032</v>
      </c>
      <c r="C301" s="55">
        <v>1.19</v>
      </c>
      <c r="D301" s="1" t="s">
        <v>1029</v>
      </c>
      <c r="E301" s="40"/>
    </row>
    <row r="302" spans="1:5" ht="13.2" x14ac:dyDescent="0.25">
      <c r="A302" s="1" t="s">
        <v>1000</v>
      </c>
      <c r="B302" s="1" t="s">
        <v>1036</v>
      </c>
      <c r="C302" s="55">
        <v>1.1599999999999999</v>
      </c>
      <c r="D302" s="1" t="s">
        <v>1029</v>
      </c>
      <c r="E302" s="40"/>
    </row>
    <row r="303" spans="1:5" ht="13.2" x14ac:dyDescent="0.25">
      <c r="A303" s="1"/>
      <c r="B303" s="1"/>
      <c r="C303" s="44"/>
      <c r="D303" s="1"/>
      <c r="E303" s="40"/>
    </row>
    <row r="304" spans="1:5" ht="13.2" x14ac:dyDescent="0.25">
      <c r="A304" s="1"/>
      <c r="B304" s="1"/>
      <c r="C304" s="44"/>
      <c r="D304" s="1"/>
      <c r="E304" s="40"/>
    </row>
    <row r="305" spans="1:5" ht="13.2" x14ac:dyDescent="0.25">
      <c r="A305" s="1" t="s">
        <v>1133</v>
      </c>
      <c r="B305" s="1" t="s">
        <v>811</v>
      </c>
      <c r="C305" s="55">
        <v>0.85</v>
      </c>
      <c r="D305" s="1" t="s">
        <v>805</v>
      </c>
      <c r="E305" s="40"/>
    </row>
    <row r="306" spans="1:5" ht="13.2" x14ac:dyDescent="0.25">
      <c r="A306" s="1" t="s">
        <v>1133</v>
      </c>
      <c r="B306" s="1" t="s">
        <v>816</v>
      </c>
      <c r="C306" s="55">
        <v>0.85</v>
      </c>
      <c r="D306" s="1" t="s">
        <v>805</v>
      </c>
      <c r="E306" s="40"/>
    </row>
    <row r="307" spans="1:5" ht="13.2" x14ac:dyDescent="0.25">
      <c r="A307" s="1" t="s">
        <v>1133</v>
      </c>
      <c r="B307" s="1" t="s">
        <v>889</v>
      </c>
      <c r="C307" s="55">
        <v>0.85</v>
      </c>
      <c r="D307" s="1" t="s">
        <v>805</v>
      </c>
      <c r="E307" s="40"/>
    </row>
    <row r="308" spans="1:5" ht="13.2" x14ac:dyDescent="0.25">
      <c r="A308" s="1" t="s">
        <v>1133</v>
      </c>
      <c r="B308" s="1" t="s">
        <v>846</v>
      </c>
      <c r="C308" s="55">
        <v>0.85</v>
      </c>
      <c r="D308" s="1" t="s">
        <v>805</v>
      </c>
      <c r="E308" s="40"/>
    </row>
    <row r="309" spans="1:5" ht="13.2" x14ac:dyDescent="0.25">
      <c r="A309" s="1" t="s">
        <v>1133</v>
      </c>
      <c r="B309" s="1" t="s">
        <v>839</v>
      </c>
      <c r="C309" s="55">
        <v>0.84</v>
      </c>
      <c r="D309" s="1" t="s">
        <v>805</v>
      </c>
      <c r="E309" s="40"/>
    </row>
    <row r="310" spans="1:5" ht="13.2" x14ac:dyDescent="0.25">
      <c r="A310" s="1"/>
      <c r="B310" s="1"/>
      <c r="C310" s="44"/>
      <c r="D310" s="1"/>
      <c r="E310" s="40"/>
    </row>
    <row r="311" spans="1:5" ht="13.2" x14ac:dyDescent="0.25">
      <c r="A311" s="1"/>
      <c r="B311" s="1"/>
      <c r="C311" s="44"/>
      <c r="D311" s="1"/>
      <c r="E311" s="40"/>
    </row>
    <row r="312" spans="1:5" ht="13.2" x14ac:dyDescent="0.25">
      <c r="A312" s="1" t="s">
        <v>1000</v>
      </c>
      <c r="B312" s="1" t="s">
        <v>1040</v>
      </c>
      <c r="C312" s="55">
        <v>1.25</v>
      </c>
      <c r="D312" s="1" t="s">
        <v>2172</v>
      </c>
      <c r="E312" s="40"/>
    </row>
    <row r="313" spans="1:5" ht="13.2" x14ac:dyDescent="0.25">
      <c r="A313" s="1" t="s">
        <v>1000</v>
      </c>
      <c r="B313" s="1" t="s">
        <v>2183</v>
      </c>
      <c r="C313" s="55">
        <v>0.98</v>
      </c>
      <c r="D313" s="1" t="s">
        <v>2172</v>
      </c>
      <c r="E313" s="40"/>
    </row>
    <row r="314" spans="1:5" ht="13.2" x14ac:dyDescent="0.25">
      <c r="A314" s="1" t="s">
        <v>1000</v>
      </c>
      <c r="B314" s="1" t="s">
        <v>2188</v>
      </c>
      <c r="C314" s="55">
        <v>0.98</v>
      </c>
      <c r="D314" s="1" t="s">
        <v>2172</v>
      </c>
      <c r="E314" s="40"/>
    </row>
    <row r="315" spans="1:5" ht="13.2" x14ac:dyDescent="0.25">
      <c r="A315" s="1" t="s">
        <v>1000</v>
      </c>
      <c r="B315" s="1" t="s">
        <v>2200</v>
      </c>
      <c r="C315" s="55">
        <v>0.96</v>
      </c>
      <c r="D315" s="1" t="s">
        <v>2172</v>
      </c>
      <c r="E315" s="40"/>
    </row>
    <row r="316" spans="1:5" ht="13.2" x14ac:dyDescent="0.25">
      <c r="A316" s="1" t="s">
        <v>1000</v>
      </c>
      <c r="B316" s="1" t="s">
        <v>2194</v>
      </c>
      <c r="C316" s="55">
        <v>1.0900000000000001</v>
      </c>
      <c r="D316" s="1" t="s">
        <v>2172</v>
      </c>
      <c r="E316" s="40"/>
    </row>
    <row r="317" spans="1:5" ht="13.2" x14ac:dyDescent="0.25">
      <c r="A317" s="1" t="s">
        <v>1000</v>
      </c>
      <c r="B317" s="1" t="s">
        <v>2176</v>
      </c>
      <c r="C317" s="55">
        <v>1.0900000000000001</v>
      </c>
      <c r="D317" s="1" t="s">
        <v>2172</v>
      </c>
      <c r="E317" s="40"/>
    </row>
    <row r="318" spans="1:5" ht="13.2" x14ac:dyDescent="0.25">
      <c r="A318" s="1" t="s">
        <v>1000</v>
      </c>
      <c r="B318" s="1" t="s">
        <v>2205</v>
      </c>
      <c r="C318" s="55">
        <v>1.0900000000000001</v>
      </c>
      <c r="D318" s="1" t="s">
        <v>2172</v>
      </c>
      <c r="E318" s="40"/>
    </row>
    <row r="319" spans="1:5" ht="13.2" x14ac:dyDescent="0.25">
      <c r="A319" s="1" t="s">
        <v>1000</v>
      </c>
      <c r="B319" s="1" t="s">
        <v>2209</v>
      </c>
      <c r="C319" s="55">
        <v>1.04</v>
      </c>
      <c r="D319" s="1" t="s">
        <v>2172</v>
      </c>
      <c r="E319" s="40"/>
    </row>
    <row r="320" spans="1:5" ht="13.2" x14ac:dyDescent="0.25">
      <c r="A320" s="1"/>
      <c r="B320" s="1"/>
      <c r="C320" s="44"/>
      <c r="D320" s="1"/>
      <c r="E320" s="40"/>
    </row>
    <row r="321" spans="1:5" ht="13.2" x14ac:dyDescent="0.25">
      <c r="A321" s="1"/>
      <c r="B321" s="1"/>
      <c r="C321" s="44"/>
      <c r="D321" s="1"/>
      <c r="E321" s="40"/>
    </row>
    <row r="322" spans="1:5" ht="13.2" x14ac:dyDescent="0.25">
      <c r="A322" s="1" t="s">
        <v>1000</v>
      </c>
      <c r="B322" s="1" t="s">
        <v>2154</v>
      </c>
      <c r="C322" s="55">
        <v>0.93</v>
      </c>
      <c r="D322" s="1" t="s">
        <v>2148</v>
      </c>
      <c r="E322" s="40"/>
    </row>
    <row r="323" spans="1:5" ht="13.2" x14ac:dyDescent="0.25">
      <c r="A323" s="1" t="s">
        <v>1000</v>
      </c>
      <c r="B323" s="1" t="s">
        <v>2161</v>
      </c>
      <c r="C323" s="55">
        <v>0.94</v>
      </c>
      <c r="D323" s="1" t="s">
        <v>2148</v>
      </c>
      <c r="E323" s="40"/>
    </row>
    <row r="324" spans="1:5" ht="13.2" x14ac:dyDescent="0.25">
      <c r="A324" s="1"/>
      <c r="B324" s="1"/>
      <c r="C324" s="44"/>
      <c r="D324" s="1"/>
      <c r="E324" s="40"/>
    </row>
    <row r="325" spans="1:5" x14ac:dyDescent="0.2">
      <c r="A325" s="40"/>
      <c r="B325" s="40"/>
      <c r="C325" s="51"/>
      <c r="D325" s="40"/>
      <c r="E325" s="40"/>
    </row>
    <row r="326" spans="1:5" ht="13.2" x14ac:dyDescent="0.25">
      <c r="A326" s="1" t="s">
        <v>1011</v>
      </c>
      <c r="B326" s="1" t="s">
        <v>2356</v>
      </c>
      <c r="C326" s="55">
        <v>0.89</v>
      </c>
      <c r="D326" s="1" t="s">
        <v>2350</v>
      </c>
      <c r="E326" s="40"/>
    </row>
    <row r="327" spans="1:5" ht="13.2" x14ac:dyDescent="0.25">
      <c r="A327" s="1" t="s">
        <v>1011</v>
      </c>
      <c r="B327" s="1" t="s">
        <v>2370</v>
      </c>
      <c r="C327" s="55">
        <v>0.89</v>
      </c>
      <c r="D327" s="1" t="s">
        <v>2350</v>
      </c>
      <c r="E327" s="40"/>
    </row>
    <row r="328" spans="1:5" ht="13.2" x14ac:dyDescent="0.25">
      <c r="A328" s="1" t="s">
        <v>1011</v>
      </c>
      <c r="B328" s="1" t="s">
        <v>2363</v>
      </c>
      <c r="C328" s="55">
        <v>0.87</v>
      </c>
      <c r="D328" s="1" t="s">
        <v>2350</v>
      </c>
      <c r="E328" s="40"/>
    </row>
    <row r="329" spans="1:5" ht="13.2" x14ac:dyDescent="0.25">
      <c r="A329" s="1" t="s">
        <v>1011</v>
      </c>
      <c r="B329" s="7" t="s">
        <v>2377</v>
      </c>
      <c r="C329" s="55">
        <v>0.88</v>
      </c>
      <c r="D329" s="1" t="s">
        <v>2350</v>
      </c>
      <c r="E329" s="40"/>
    </row>
    <row r="330" spans="1:5" ht="13.2" x14ac:dyDescent="0.25">
      <c r="A330" s="1"/>
      <c r="B330" s="7"/>
      <c r="C330" s="44"/>
      <c r="D330" s="1"/>
      <c r="E330" s="40"/>
    </row>
    <row r="331" spans="1:5" ht="13.2" x14ac:dyDescent="0.25">
      <c r="A331" s="1"/>
      <c r="B331" s="7"/>
      <c r="C331" s="44"/>
      <c r="D331" s="1"/>
      <c r="E331" s="40"/>
    </row>
    <row r="332" spans="1:5" ht="13.2" x14ac:dyDescent="0.25">
      <c r="A332" s="1" t="s">
        <v>198</v>
      </c>
      <c r="B332" s="1" t="s">
        <v>147</v>
      </c>
      <c r="C332" s="55">
        <v>0.83</v>
      </c>
      <c r="D332" s="1" t="s">
        <v>122</v>
      </c>
      <c r="E332" s="40"/>
    </row>
    <row r="333" spans="1:5" ht="13.2" x14ac:dyDescent="0.25">
      <c r="A333" s="1" t="s">
        <v>198</v>
      </c>
      <c r="B333" s="7" t="s">
        <v>188</v>
      </c>
      <c r="C333" s="55">
        <v>0.82</v>
      </c>
      <c r="D333" s="1" t="s">
        <v>122</v>
      </c>
      <c r="E333" s="40"/>
    </row>
    <row r="334" spans="1:5" ht="13.2" x14ac:dyDescent="0.25">
      <c r="A334" s="1" t="s">
        <v>198</v>
      </c>
      <c r="B334" s="7" t="s">
        <v>166</v>
      </c>
      <c r="C334" s="55">
        <v>0.81</v>
      </c>
      <c r="D334" s="1" t="s">
        <v>122</v>
      </c>
      <c r="E334" s="40"/>
    </row>
    <row r="335" spans="1:5" ht="13.2" x14ac:dyDescent="0.25">
      <c r="A335" s="1" t="s">
        <v>198</v>
      </c>
      <c r="B335" s="7" t="s">
        <v>208</v>
      </c>
      <c r="C335" s="55">
        <v>0.82</v>
      </c>
      <c r="D335" s="1" t="s">
        <v>122</v>
      </c>
      <c r="E335" s="40"/>
    </row>
    <row r="336" spans="1:5" ht="13.2" x14ac:dyDescent="0.25">
      <c r="A336" s="1" t="s">
        <v>198</v>
      </c>
      <c r="B336" s="1" t="s">
        <v>197</v>
      </c>
      <c r="C336" s="55">
        <v>0.8</v>
      </c>
      <c r="D336" s="1" t="s">
        <v>122</v>
      </c>
      <c r="E336" s="40"/>
    </row>
    <row r="337" spans="1:5" ht="13.2" x14ac:dyDescent="0.25">
      <c r="A337" s="1" t="s">
        <v>198</v>
      </c>
      <c r="B337" s="1" t="s">
        <v>139</v>
      </c>
      <c r="C337" s="55">
        <v>0.8</v>
      </c>
      <c r="D337" s="1" t="s">
        <v>122</v>
      </c>
      <c r="E337" s="40"/>
    </row>
    <row r="338" spans="1:5" ht="13.2" x14ac:dyDescent="0.25">
      <c r="A338" s="1" t="s">
        <v>198</v>
      </c>
      <c r="B338" s="1" t="s">
        <v>214</v>
      </c>
      <c r="C338" s="55">
        <v>0.79</v>
      </c>
      <c r="D338" s="1" t="s">
        <v>122</v>
      </c>
      <c r="E338" s="40"/>
    </row>
    <row r="339" spans="1:5" ht="13.2" x14ac:dyDescent="0.25">
      <c r="A339" s="1" t="s">
        <v>198</v>
      </c>
      <c r="B339" s="7" t="s">
        <v>180</v>
      </c>
      <c r="C339" s="55">
        <v>0.78</v>
      </c>
      <c r="D339" s="1" t="s">
        <v>122</v>
      </c>
      <c r="E339" s="40"/>
    </row>
    <row r="340" spans="1:5" ht="13.2" x14ac:dyDescent="0.25">
      <c r="A340" s="1" t="s">
        <v>198</v>
      </c>
      <c r="B340" s="1" t="s">
        <v>128</v>
      </c>
      <c r="C340" s="55">
        <v>0.79</v>
      </c>
      <c r="D340" s="1" t="s">
        <v>122</v>
      </c>
      <c r="E340" s="40"/>
    </row>
    <row r="341" spans="1:5" ht="13.2" x14ac:dyDescent="0.25">
      <c r="A341" s="1"/>
      <c r="B341" s="1"/>
      <c r="C341" s="44"/>
      <c r="D341" s="1"/>
      <c r="E341" s="40"/>
    </row>
    <row r="342" spans="1:5" ht="13.2" x14ac:dyDescent="0.25">
      <c r="A342" s="1"/>
      <c r="B342" s="7"/>
      <c r="C342" s="44"/>
      <c r="D342" s="1"/>
      <c r="E342" s="40"/>
    </row>
    <row r="343" spans="1:5" ht="13.2" x14ac:dyDescent="0.25">
      <c r="A343" s="1" t="s">
        <v>1013</v>
      </c>
      <c r="B343" s="1" t="s">
        <v>2554</v>
      </c>
      <c r="C343" s="55">
        <v>1</v>
      </c>
      <c r="D343" s="1" t="s">
        <v>2526</v>
      </c>
      <c r="E343" s="40"/>
    </row>
    <row r="344" spans="1:5" ht="13.2" x14ac:dyDescent="0.25">
      <c r="A344" s="1" t="s">
        <v>1013</v>
      </c>
      <c r="B344" s="1" t="s">
        <v>2539</v>
      </c>
      <c r="C344" s="55">
        <v>0.99</v>
      </c>
      <c r="D344" s="1" t="s">
        <v>2526</v>
      </c>
      <c r="E344" s="40"/>
    </row>
    <row r="345" spans="1:5" ht="13.2" x14ac:dyDescent="0.25">
      <c r="A345" s="1" t="s">
        <v>1013</v>
      </c>
      <c r="B345" s="1" t="s">
        <v>2561</v>
      </c>
      <c r="C345" s="55">
        <v>0.98</v>
      </c>
      <c r="D345" s="1" t="s">
        <v>2526</v>
      </c>
      <c r="E345" s="40"/>
    </row>
    <row r="346" spans="1:5" ht="13.2" x14ac:dyDescent="0.25">
      <c r="A346" s="1" t="s">
        <v>1013</v>
      </c>
      <c r="B346" s="1" t="s">
        <v>2532</v>
      </c>
      <c r="C346" s="55">
        <v>1.01</v>
      </c>
      <c r="D346" s="1" t="s">
        <v>2526</v>
      </c>
      <c r="E346" s="40"/>
    </row>
    <row r="347" spans="1:5" ht="13.2" x14ac:dyDescent="0.25">
      <c r="A347" s="1" t="s">
        <v>1013</v>
      </c>
      <c r="B347" s="1" t="s">
        <v>2572</v>
      </c>
      <c r="C347" s="55">
        <v>0.99</v>
      </c>
      <c r="D347" s="1" t="s">
        <v>2526</v>
      </c>
      <c r="E347" s="40"/>
    </row>
    <row r="348" spans="1:5" ht="13.2" x14ac:dyDescent="0.25">
      <c r="A348" s="1" t="s">
        <v>1133</v>
      </c>
      <c r="B348" s="1" t="s">
        <v>981</v>
      </c>
      <c r="C348" s="55">
        <v>0.96</v>
      </c>
      <c r="D348" s="1" t="s">
        <v>2526</v>
      </c>
      <c r="E348" s="40"/>
    </row>
    <row r="349" spans="1:5" ht="13.2" x14ac:dyDescent="0.25">
      <c r="A349" s="1"/>
      <c r="B349" s="7"/>
      <c r="C349" s="44"/>
      <c r="D349" s="1"/>
      <c r="E349" s="40"/>
    </row>
    <row r="350" spans="1:5" ht="13.2" x14ac:dyDescent="0.25">
      <c r="A350" s="1" t="s">
        <v>1000</v>
      </c>
      <c r="B350" s="1" t="s">
        <v>2217</v>
      </c>
      <c r="C350" s="55">
        <v>1.07</v>
      </c>
      <c r="D350" s="1" t="s">
        <v>2211</v>
      </c>
      <c r="E350" s="40"/>
    </row>
    <row r="351" spans="1:5" ht="13.2" x14ac:dyDescent="0.25">
      <c r="A351" s="1"/>
      <c r="B351" s="1"/>
      <c r="C351" s="44"/>
      <c r="D351" s="1"/>
      <c r="E351" s="40"/>
    </row>
    <row r="352" spans="1:5" ht="13.2" x14ac:dyDescent="0.25">
      <c r="A352" s="1"/>
      <c r="B352" s="7"/>
      <c r="C352" s="44"/>
      <c r="D352" s="1"/>
      <c r="E352" s="40"/>
    </row>
    <row r="353" spans="1:5" ht="13.2" x14ac:dyDescent="0.25">
      <c r="A353" s="1" t="s">
        <v>1000</v>
      </c>
      <c r="B353" s="1" t="s">
        <v>2225</v>
      </c>
      <c r="C353" s="55">
        <v>0.93</v>
      </c>
      <c r="D353" s="1" t="s">
        <v>2219</v>
      </c>
      <c r="E353" s="40"/>
    </row>
    <row r="354" spans="1:5" x14ac:dyDescent="0.2">
      <c r="A354" s="40"/>
      <c r="B354" s="40"/>
      <c r="C354" s="51"/>
      <c r="D354" s="40"/>
      <c r="E354" s="40"/>
    </row>
    <row r="355" spans="1:5" x14ac:dyDescent="0.2">
      <c r="A355" s="40"/>
      <c r="B355" s="40"/>
      <c r="C355" s="51"/>
      <c r="D355" s="40"/>
      <c r="E355" s="40"/>
    </row>
    <row r="356" spans="1:5" ht="13.2" x14ac:dyDescent="0.25">
      <c r="A356" s="1" t="s">
        <v>1011</v>
      </c>
      <c r="B356" s="7" t="s">
        <v>2431</v>
      </c>
      <c r="C356" s="55">
        <v>0.9</v>
      </c>
      <c r="D356" s="1" t="s">
        <v>2412</v>
      </c>
      <c r="E356" s="40"/>
    </row>
    <row r="357" spans="1:5" ht="13.2" x14ac:dyDescent="0.25">
      <c r="A357" s="1" t="s">
        <v>1011</v>
      </c>
      <c r="B357" s="1" t="s">
        <v>2456</v>
      </c>
      <c r="C357" s="55">
        <v>0.85</v>
      </c>
      <c r="D357" s="1" t="s">
        <v>2412</v>
      </c>
      <c r="E357" s="40"/>
    </row>
    <row r="358" spans="1:5" ht="13.2" x14ac:dyDescent="0.25">
      <c r="A358" s="1" t="s">
        <v>1011</v>
      </c>
      <c r="B358" s="1" t="s">
        <v>2425</v>
      </c>
      <c r="C358" s="55">
        <v>0.79</v>
      </c>
      <c r="D358" s="1" t="s">
        <v>2412</v>
      </c>
      <c r="E358" s="40"/>
    </row>
    <row r="359" spans="1:5" ht="13.2" x14ac:dyDescent="0.25">
      <c r="A359" s="1" t="s">
        <v>1011</v>
      </c>
      <c r="B359" s="1" t="s">
        <v>2438</v>
      </c>
      <c r="C359" s="55">
        <v>0.84</v>
      </c>
      <c r="D359" s="1" t="s">
        <v>2412</v>
      </c>
      <c r="E359" s="40"/>
    </row>
    <row r="360" spans="1:5" ht="13.2" x14ac:dyDescent="0.25">
      <c r="A360" s="1" t="s">
        <v>1011</v>
      </c>
      <c r="B360" s="1" t="s">
        <v>2418</v>
      </c>
      <c r="C360" s="55">
        <v>0.78</v>
      </c>
      <c r="D360" s="1" t="s">
        <v>2412</v>
      </c>
      <c r="E360" s="40"/>
    </row>
    <row r="361" spans="1:5" ht="13.2" x14ac:dyDescent="0.25">
      <c r="A361" s="1" t="s">
        <v>1011</v>
      </c>
      <c r="B361" s="1" t="s">
        <v>2444</v>
      </c>
      <c r="C361" s="55">
        <v>0.87</v>
      </c>
      <c r="D361" s="1" t="s">
        <v>2412</v>
      </c>
      <c r="E361" s="40"/>
    </row>
    <row r="362" spans="1:5" x14ac:dyDescent="0.2">
      <c r="A362" s="40"/>
      <c r="B362" s="40"/>
      <c r="C362" s="51"/>
      <c r="D362" s="40"/>
      <c r="E362" s="40"/>
    </row>
    <row r="363" spans="1:5" x14ac:dyDescent="0.2">
      <c r="A363" s="40"/>
      <c r="B363" s="40"/>
      <c r="C363" s="51"/>
      <c r="D363" s="40"/>
      <c r="E363" s="40"/>
    </row>
    <row r="364" spans="1:5" ht="13.2" x14ac:dyDescent="0.25">
      <c r="A364" s="1" t="s">
        <v>198</v>
      </c>
      <c r="B364" s="1" t="s">
        <v>305</v>
      </c>
      <c r="C364" s="55">
        <v>0.8</v>
      </c>
      <c r="D364" s="1" t="s">
        <v>299</v>
      </c>
      <c r="E364" s="40"/>
    </row>
    <row r="365" spans="1:5" ht="13.2" x14ac:dyDescent="0.25">
      <c r="A365" s="1" t="s">
        <v>198</v>
      </c>
      <c r="B365" s="1" t="s">
        <v>313</v>
      </c>
      <c r="C365" s="55">
        <v>0.8</v>
      </c>
      <c r="D365" s="1" t="s">
        <v>299</v>
      </c>
      <c r="E365" s="40"/>
    </row>
    <row r="366" spans="1:5" ht="13.2" x14ac:dyDescent="0.25">
      <c r="A366" s="1" t="s">
        <v>1133</v>
      </c>
      <c r="B366" s="1" t="s">
        <v>987</v>
      </c>
      <c r="C366" s="55">
        <v>0.8</v>
      </c>
      <c r="D366" s="1" t="s">
        <v>299</v>
      </c>
      <c r="E366" s="40"/>
    </row>
    <row r="367" spans="1:5" ht="13.2" x14ac:dyDescent="0.25">
      <c r="A367" s="1"/>
      <c r="B367" s="1"/>
      <c r="C367" s="44"/>
      <c r="D367" s="1"/>
      <c r="E367" s="40"/>
    </row>
    <row r="368" spans="1:5" ht="13.2" x14ac:dyDescent="0.25">
      <c r="A368" s="1"/>
      <c r="B368" s="1"/>
      <c r="C368" s="44"/>
      <c r="D368" s="1"/>
      <c r="E368" s="40"/>
    </row>
    <row r="369" spans="1:5" ht="13.2" x14ac:dyDescent="0.25">
      <c r="A369" s="1" t="s">
        <v>1133</v>
      </c>
      <c r="B369" s="1" t="s">
        <v>2475</v>
      </c>
      <c r="C369" s="55">
        <v>0.85</v>
      </c>
      <c r="D369" s="1" t="s">
        <v>2463</v>
      </c>
      <c r="E369" s="40"/>
    </row>
    <row r="370" spans="1:5" ht="13.2" x14ac:dyDescent="0.25">
      <c r="A370" s="1" t="s">
        <v>1011</v>
      </c>
      <c r="B370" s="1" t="s">
        <v>2475</v>
      </c>
      <c r="C370" s="55">
        <v>0.85</v>
      </c>
      <c r="D370" s="1" t="s">
        <v>2463</v>
      </c>
      <c r="E370" s="40"/>
    </row>
    <row r="371" spans="1:5" ht="13.2" x14ac:dyDescent="0.25">
      <c r="A371" s="1" t="s">
        <v>1011</v>
      </c>
      <c r="B371" s="1" t="s">
        <v>1513</v>
      </c>
      <c r="C371" s="55">
        <v>0.83</v>
      </c>
      <c r="D371" s="1" t="s">
        <v>2463</v>
      </c>
      <c r="E371" s="40"/>
    </row>
    <row r="372" spans="1:5" ht="13.2" x14ac:dyDescent="0.25">
      <c r="A372" s="1" t="s">
        <v>1011</v>
      </c>
      <c r="B372" s="1" t="s">
        <v>2487</v>
      </c>
      <c r="C372" s="55">
        <v>0.84</v>
      </c>
      <c r="D372" s="1" t="s">
        <v>2463</v>
      </c>
      <c r="E372" s="40"/>
    </row>
    <row r="373" spans="1:5" ht="13.2" x14ac:dyDescent="0.25">
      <c r="A373" s="1"/>
      <c r="B373" s="1"/>
      <c r="C373" s="44"/>
      <c r="D373" s="1"/>
      <c r="E373" s="40"/>
    </row>
    <row r="374" spans="1:5" ht="13.2" x14ac:dyDescent="0.25">
      <c r="A374" s="1"/>
      <c r="B374" s="1"/>
      <c r="C374" s="44"/>
      <c r="D374" s="1"/>
      <c r="E374" s="40"/>
    </row>
    <row r="375" spans="1:5" ht="13.2" x14ac:dyDescent="0.25">
      <c r="A375" s="1" t="s">
        <v>1000</v>
      </c>
      <c r="B375" s="1" t="s">
        <v>1055</v>
      </c>
      <c r="C375" s="55">
        <v>1.02</v>
      </c>
      <c r="D375" s="1" t="s">
        <v>1045</v>
      </c>
      <c r="E375" s="40"/>
    </row>
    <row r="376" spans="1:5" ht="13.2" x14ac:dyDescent="0.25">
      <c r="A376" s="1" t="s">
        <v>1000</v>
      </c>
      <c r="B376" s="1" t="s">
        <v>1048</v>
      </c>
      <c r="C376" s="55">
        <v>1.02</v>
      </c>
      <c r="D376" s="1" t="s">
        <v>1045</v>
      </c>
      <c r="E376" s="40"/>
    </row>
    <row r="377" spans="1:5" ht="13.2" x14ac:dyDescent="0.25">
      <c r="A377" s="1"/>
      <c r="B377" s="1"/>
      <c r="C377" s="44"/>
      <c r="D377" s="1"/>
      <c r="E377" s="40"/>
    </row>
    <row r="378" spans="1:5" ht="13.2" x14ac:dyDescent="0.25">
      <c r="A378" s="1"/>
      <c r="B378" s="1"/>
      <c r="C378" s="44"/>
      <c r="D378" s="1"/>
      <c r="E378" s="40"/>
    </row>
    <row r="379" spans="1:5" ht="13.2" x14ac:dyDescent="0.25">
      <c r="A379" s="1" t="s">
        <v>1013</v>
      </c>
      <c r="B379" s="1" t="s">
        <v>2635</v>
      </c>
      <c r="C379" s="55">
        <v>1.05</v>
      </c>
      <c r="D379" s="1" t="s">
        <v>2579</v>
      </c>
      <c r="E379" s="40"/>
    </row>
    <row r="380" spans="1:5" ht="13.2" x14ac:dyDescent="0.25">
      <c r="A380" s="1" t="s">
        <v>1013</v>
      </c>
      <c r="B380" s="1" t="s">
        <v>2623</v>
      </c>
      <c r="C380" s="55">
        <v>1.05</v>
      </c>
      <c r="D380" s="1" t="s">
        <v>2579</v>
      </c>
      <c r="E380" s="40"/>
    </row>
    <row r="381" spans="1:5" ht="13.2" x14ac:dyDescent="0.25">
      <c r="A381" s="1" t="s">
        <v>1013</v>
      </c>
      <c r="B381" s="1" t="s">
        <v>2602</v>
      </c>
      <c r="C381" s="55">
        <v>1.02</v>
      </c>
      <c r="D381" s="1" t="s">
        <v>2579</v>
      </c>
      <c r="E381" s="40"/>
    </row>
    <row r="382" spans="1:5" ht="13.2" x14ac:dyDescent="0.25">
      <c r="A382" s="1" t="s">
        <v>1013</v>
      </c>
      <c r="B382" s="1" t="s">
        <v>2640</v>
      </c>
      <c r="C382" s="55">
        <v>1.02</v>
      </c>
      <c r="D382" s="1" t="s">
        <v>2579</v>
      </c>
      <c r="E382" s="40"/>
    </row>
    <row r="383" spans="1:5" ht="13.2" x14ac:dyDescent="0.25">
      <c r="A383" s="1" t="s">
        <v>1013</v>
      </c>
      <c r="B383" s="1" t="s">
        <v>2585</v>
      </c>
      <c r="C383" s="55">
        <v>1</v>
      </c>
      <c r="D383" s="1" t="s">
        <v>2579</v>
      </c>
      <c r="E383" s="40"/>
    </row>
    <row r="384" spans="1:5" ht="13.2" x14ac:dyDescent="0.25">
      <c r="A384" s="1" t="s">
        <v>1013</v>
      </c>
      <c r="B384" s="85" t="s">
        <v>2595</v>
      </c>
      <c r="C384" s="94">
        <v>0.97</v>
      </c>
      <c r="D384" s="1" t="s">
        <v>2579</v>
      </c>
      <c r="E384" s="40"/>
    </row>
    <row r="385" spans="1:5" ht="13.2" x14ac:dyDescent="0.25">
      <c r="A385" s="1" t="s">
        <v>1013</v>
      </c>
      <c r="B385" s="1" t="s">
        <v>2592</v>
      </c>
      <c r="C385" s="55">
        <v>0.95</v>
      </c>
      <c r="D385" s="1" t="s">
        <v>2579</v>
      </c>
      <c r="E385" s="40"/>
    </row>
    <row r="386" spans="1:5" ht="13.2" x14ac:dyDescent="0.25">
      <c r="A386" s="1" t="s">
        <v>1013</v>
      </c>
      <c r="B386" s="1" t="s">
        <v>70</v>
      </c>
      <c r="C386" s="55">
        <v>0.99</v>
      </c>
      <c r="D386" s="1" t="s">
        <v>2579</v>
      </c>
      <c r="E386" s="40"/>
    </row>
    <row r="387" spans="1:5" ht="13.2" x14ac:dyDescent="0.25">
      <c r="A387" s="1" t="s">
        <v>1013</v>
      </c>
      <c r="B387" s="1" t="s">
        <v>2612</v>
      </c>
      <c r="C387" s="55">
        <v>0.97</v>
      </c>
      <c r="D387" s="1" t="s">
        <v>2579</v>
      </c>
      <c r="E387" s="40"/>
    </row>
    <row r="388" spans="1:5" ht="13.2" x14ac:dyDescent="0.25">
      <c r="A388" s="1"/>
      <c r="B388" s="1"/>
      <c r="C388" s="44"/>
      <c r="D388" s="1"/>
      <c r="E388" s="40"/>
    </row>
    <row r="389" spans="1:5" ht="13.2" x14ac:dyDescent="0.25">
      <c r="A389" s="1"/>
      <c r="B389" s="1"/>
      <c r="C389" s="44"/>
      <c r="D389" s="1"/>
      <c r="E389" s="40"/>
    </row>
    <row r="390" spans="1:5" ht="13.2" x14ac:dyDescent="0.25">
      <c r="A390" s="1" t="s">
        <v>1000</v>
      </c>
      <c r="B390" s="1" t="s">
        <v>2263</v>
      </c>
      <c r="C390" s="55">
        <v>1.02</v>
      </c>
      <c r="D390" s="1" t="s">
        <v>2227</v>
      </c>
      <c r="E390" s="40"/>
    </row>
    <row r="391" spans="1:5" ht="13.2" x14ac:dyDescent="0.25">
      <c r="A391" s="1" t="s">
        <v>1000</v>
      </c>
      <c r="B391" s="1" t="s">
        <v>2269</v>
      </c>
      <c r="C391" s="55">
        <v>1.02</v>
      </c>
      <c r="D391" s="1" t="s">
        <v>2227</v>
      </c>
      <c r="E391" s="40"/>
    </row>
    <row r="392" spans="1:5" ht="13.2" x14ac:dyDescent="0.25">
      <c r="A392" s="1" t="s">
        <v>1000</v>
      </c>
      <c r="B392" s="1" t="s">
        <v>2291</v>
      </c>
      <c r="C392" s="55">
        <v>0.97</v>
      </c>
      <c r="D392" s="1" t="s">
        <v>2227</v>
      </c>
      <c r="E392" s="40"/>
    </row>
    <row r="393" spans="1:5" ht="13.2" x14ac:dyDescent="0.25">
      <c r="A393" s="1" t="s">
        <v>1000</v>
      </c>
      <c r="B393" s="1" t="s">
        <v>2240</v>
      </c>
      <c r="C393" s="55">
        <v>0.95</v>
      </c>
      <c r="D393" s="1" t="s">
        <v>2227</v>
      </c>
      <c r="E393" s="40"/>
    </row>
    <row r="394" spans="1:5" ht="13.2" x14ac:dyDescent="0.25">
      <c r="A394" s="1" t="s">
        <v>1000</v>
      </c>
      <c r="B394" s="1" t="s">
        <v>2233</v>
      </c>
      <c r="C394" s="55">
        <v>0.96</v>
      </c>
      <c r="D394" s="1" t="s">
        <v>2227</v>
      </c>
      <c r="E394" s="40"/>
    </row>
    <row r="395" spans="1:5" ht="13.2" x14ac:dyDescent="0.25">
      <c r="A395" s="1"/>
      <c r="B395" s="1"/>
      <c r="C395" s="44"/>
      <c r="D395" s="1"/>
      <c r="E395" s="40"/>
    </row>
    <row r="396" spans="1:5" ht="13.2" x14ac:dyDescent="0.25">
      <c r="A396" s="1"/>
      <c r="B396" s="1"/>
      <c r="C396" s="44"/>
      <c r="D396" s="1"/>
      <c r="E396" s="40"/>
    </row>
    <row r="397" spans="1:5" ht="13.2" x14ac:dyDescent="0.25">
      <c r="A397" s="1" t="s">
        <v>1011</v>
      </c>
      <c r="B397" s="1" t="s">
        <v>2495</v>
      </c>
      <c r="C397" s="55">
        <v>0.82</v>
      </c>
      <c r="D397" s="1" t="s">
        <v>2489</v>
      </c>
      <c r="E397" s="40"/>
    </row>
    <row r="398" spans="1:5" ht="13.2" x14ac:dyDescent="0.25">
      <c r="A398" s="9"/>
      <c r="B398" s="1"/>
      <c r="C398" s="3"/>
      <c r="D398" s="9"/>
    </row>
    <row r="403" spans="1:4" ht="13.2" x14ac:dyDescent="0.25">
      <c r="A403" s="9"/>
      <c r="B403" s="1"/>
      <c r="C403" s="3"/>
      <c r="D403" s="9"/>
    </row>
    <row r="404" spans="1:4" ht="13.2" x14ac:dyDescent="0.25">
      <c r="A404" s="9"/>
      <c r="B404" s="1"/>
      <c r="C404" s="3"/>
      <c r="D404" s="9"/>
    </row>
    <row r="408" spans="1:4" ht="13.2" x14ac:dyDescent="0.25">
      <c r="A408" s="9"/>
      <c r="B408" s="1"/>
      <c r="C408" s="3"/>
      <c r="D408" s="9"/>
    </row>
    <row r="409" spans="1:4" ht="13.2" x14ac:dyDescent="0.25">
      <c r="A409" s="9"/>
      <c r="B409" s="1"/>
      <c r="C409" s="3"/>
      <c r="D409" s="9"/>
    </row>
    <row r="415" spans="1:4" ht="13.2" x14ac:dyDescent="0.25">
      <c r="A415" s="9"/>
      <c r="B415" s="1"/>
      <c r="C415" s="3"/>
      <c r="D415" s="9"/>
    </row>
    <row r="416" spans="1:4" ht="13.2" x14ac:dyDescent="0.25">
      <c r="A416" s="9"/>
      <c r="B416" s="1"/>
      <c r="C416" s="3"/>
      <c r="D416" s="9"/>
    </row>
  </sheetData>
  <phoneticPr fontId="0" type="noConversion"/>
  <printOptions headings="1" gridLines="1"/>
  <pageMargins left="1.07" right="0.34" top="0.1" bottom="0.1" header="0.25" footer="0.19"/>
  <pageSetup scale="69" orientation="landscape" r:id="rId1"/>
  <headerFooter alignWithMargins="0">
    <oddFooter>&amp;RPage &amp;P</oddFooter>
  </headerFooter>
  <rowBreaks count="6" manualBreakCount="6">
    <brk id="63" max="3" man="1"/>
    <brk id="123" max="3" man="1"/>
    <brk id="187" max="3" man="1"/>
    <brk id="249" max="3" man="1"/>
    <brk id="311" max="3" man="1"/>
    <brk id="340" max="3" man="1"/>
  </rowBreaks>
  <ignoredErrors>
    <ignoredError sqref="B171:B172 B174:B176 B179:B188 B225:B238 B375:B397 B343:B372 B281:B340 B244:B278 B220 B206:B208 B190:B204 B210:B217 B240:B24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J330" transitionEvaluation="1"/>
  <dimension ref="B1:BJ649"/>
  <sheetViews>
    <sheetView topLeftCell="J330" zoomScaleNormal="100" zoomScaleSheetLayoutView="25" workbookViewId="0">
      <selection activeCell="A353" sqref="A353:XFD353"/>
    </sheetView>
  </sheetViews>
  <sheetFormatPr defaultColWidth="9.77734375" defaultRowHeight="13.2" x14ac:dyDescent="0.25"/>
  <cols>
    <col min="1" max="1" width="1.88671875" style="2" customWidth="1"/>
    <col min="2" max="2" width="5.21875" style="9" customWidth="1"/>
    <col min="3" max="3" width="13.6640625" style="2" customWidth="1"/>
    <col min="4" max="4" width="7.77734375" style="2" customWidth="1"/>
    <col min="5" max="5" width="12.21875" style="2" customWidth="1"/>
    <col min="6" max="6" width="36.109375" style="2" customWidth="1"/>
    <col min="7" max="7" width="7.33203125" style="2" customWidth="1"/>
    <col min="8" max="8" width="34.88671875" style="2" bestFit="1" customWidth="1"/>
    <col min="9" max="9" width="16.6640625" style="9" customWidth="1"/>
    <col min="10" max="10" width="10.44140625" style="2" customWidth="1"/>
    <col min="11" max="11" width="9.88671875" style="2" customWidth="1"/>
    <col min="12" max="12" width="5.21875" style="2" customWidth="1"/>
    <col min="13" max="13" width="14.21875" style="2" customWidth="1"/>
    <col min="14" max="14" width="13.21875" style="2" customWidth="1"/>
    <col min="15" max="15" width="12" style="2" customWidth="1"/>
    <col min="16" max="16" width="24.21875" style="2" customWidth="1"/>
    <col min="17" max="17" width="16" style="2" customWidth="1"/>
    <col min="18" max="18" width="12.33203125" style="2" customWidth="1"/>
    <col min="19" max="19" width="22" style="2" customWidth="1"/>
    <col min="20" max="20" width="22.33203125" style="2" customWidth="1"/>
    <col min="21" max="21" width="9.44140625" style="2" customWidth="1"/>
    <col min="22" max="22" width="11.88671875" style="2" bestFit="1" customWidth="1"/>
    <col min="23" max="23" width="12.77734375" style="2" customWidth="1"/>
    <col min="24" max="24" width="10.88671875" style="2" hidden="1" customWidth="1"/>
    <col min="25" max="25" width="11.77734375" style="11" bestFit="1" customWidth="1"/>
    <col min="26" max="26" width="10.44140625" style="11" bestFit="1" customWidth="1"/>
    <col min="27" max="28" width="9.6640625" style="2" bestFit="1" customWidth="1"/>
    <col min="29" max="29" width="9.6640625" style="11" bestFit="1" customWidth="1"/>
    <col min="30" max="30" width="10.44140625" style="2" bestFit="1" customWidth="1"/>
    <col min="31" max="31" width="8.109375" style="2" bestFit="1" customWidth="1"/>
    <col min="32" max="32" width="8.6640625" style="2" bestFit="1" customWidth="1"/>
    <col min="33" max="16384" width="9.77734375" style="2"/>
  </cols>
  <sheetData>
    <row r="1" spans="2:62" ht="15" customHeight="1" x14ac:dyDescent="0.3">
      <c r="B1" s="1"/>
      <c r="C1" s="1"/>
      <c r="D1" s="1"/>
      <c r="E1" s="1"/>
      <c r="F1" s="68"/>
      <c r="G1" s="1"/>
      <c r="H1" s="1"/>
      <c r="I1" s="1"/>
      <c r="J1" s="1"/>
      <c r="K1" s="1"/>
      <c r="L1" s="1"/>
      <c r="M1" s="1"/>
      <c r="P1" s="1"/>
      <c r="Q1" s="1"/>
      <c r="R1" s="1"/>
      <c r="S1" s="1"/>
      <c r="T1" s="1"/>
      <c r="U1" s="1"/>
      <c r="V1" s="1"/>
      <c r="W1" s="1"/>
      <c r="X1" s="1"/>
      <c r="AA1" s="1"/>
      <c r="AB1" s="1"/>
      <c r="AC1" s="1"/>
      <c r="AD1" s="1"/>
      <c r="AE1" s="1"/>
      <c r="AF1" s="1"/>
    </row>
    <row r="2" spans="2:62" s="38" customFormat="1" ht="12.75" customHeight="1" x14ac:dyDescent="0.25">
      <c r="B2" s="39"/>
      <c r="C2" s="39"/>
      <c r="D2" s="39"/>
      <c r="E2" s="39"/>
      <c r="F2" s="71" t="s">
        <v>288</v>
      </c>
      <c r="G2" s="39"/>
      <c r="I2" s="39"/>
      <c r="J2" s="39"/>
      <c r="K2" s="39"/>
      <c r="L2" s="101" t="s">
        <v>661</v>
      </c>
      <c r="M2" s="102"/>
      <c r="N2" s="39" t="s">
        <v>1138</v>
      </c>
      <c r="O2" s="39" t="s">
        <v>132</v>
      </c>
      <c r="P2" s="39" t="s">
        <v>1491</v>
      </c>
      <c r="Q2" s="39"/>
      <c r="R2" s="39"/>
      <c r="S2" s="39" t="s">
        <v>131</v>
      </c>
      <c r="T2" s="39"/>
      <c r="U2" s="39"/>
      <c r="V2" s="39"/>
      <c r="W2" s="99" t="s">
        <v>660</v>
      </c>
      <c r="X2" s="100"/>
      <c r="Y2" s="58" t="s">
        <v>659</v>
      </c>
      <c r="Z2" s="59" t="s">
        <v>1139</v>
      </c>
      <c r="AA2" s="59" t="s">
        <v>1140</v>
      </c>
      <c r="AB2" s="67" t="s">
        <v>1141</v>
      </c>
      <c r="AC2" s="58" t="s">
        <v>1491</v>
      </c>
      <c r="AD2" s="59" t="s">
        <v>1139</v>
      </c>
      <c r="AE2" s="59" t="s">
        <v>1140</v>
      </c>
      <c r="AF2" s="66" t="s">
        <v>1141</v>
      </c>
    </row>
    <row r="3" spans="2:62" x14ac:dyDescent="0.25">
      <c r="B3" s="1"/>
      <c r="C3" s="40"/>
      <c r="D3" s="40"/>
      <c r="E3" s="1"/>
      <c r="F3" s="1"/>
      <c r="G3" s="1"/>
      <c r="H3" s="1"/>
      <c r="I3" s="1"/>
      <c r="J3" s="1"/>
      <c r="K3" s="1"/>
      <c r="L3" s="1"/>
      <c r="M3" s="1"/>
      <c r="N3" s="1" t="s">
        <v>1142</v>
      </c>
      <c r="O3" s="41">
        <f>'Base Figures'!E45</f>
        <v>253525.42000000004</v>
      </c>
      <c r="P3" s="41">
        <f>'Base Figures'!M45</f>
        <v>254133.12</v>
      </c>
      <c r="Q3" s="1"/>
      <c r="R3" s="40"/>
      <c r="S3" s="43" t="s">
        <v>1143</v>
      </c>
      <c r="T3" s="50">
        <v>1.03</v>
      </c>
      <c r="U3" s="1"/>
      <c r="V3" s="1"/>
      <c r="W3" s="1"/>
      <c r="X3" s="1"/>
      <c r="Y3" s="61" t="s">
        <v>1144</v>
      </c>
      <c r="Z3" s="41">
        <f>'Base Figures'!C31</f>
        <v>179998</v>
      </c>
      <c r="AA3" s="41">
        <f>'Base Figures'!C38</f>
        <v>191538.6</v>
      </c>
      <c r="AB3" s="62">
        <f>'Base Figures'!C45</f>
        <v>209785.5</v>
      </c>
      <c r="AC3" s="61" t="s">
        <v>1144</v>
      </c>
      <c r="AD3" s="41">
        <f>'Base Figures'!K31</f>
        <v>165079.6</v>
      </c>
      <c r="AE3" s="41">
        <f>'Base Figures'!K38</f>
        <v>172439.6</v>
      </c>
      <c r="AF3" s="62">
        <f>'Base Figures'!K45</f>
        <v>197170.8</v>
      </c>
    </row>
    <row r="4" spans="2:62" x14ac:dyDescent="0.25">
      <c r="B4" s="1"/>
      <c r="C4" s="40"/>
      <c r="D4" s="40"/>
      <c r="E4" s="1"/>
      <c r="F4" s="1"/>
      <c r="G4" s="1"/>
      <c r="H4" s="1"/>
      <c r="I4" s="1"/>
      <c r="J4" s="1"/>
      <c r="K4" s="1"/>
      <c r="L4" s="1"/>
      <c r="M4" s="1"/>
      <c r="N4" s="1" t="s">
        <v>1145</v>
      </c>
      <c r="O4" s="41">
        <f>'Base Figures'!E38</f>
        <v>232041.04000000004</v>
      </c>
      <c r="P4" s="41">
        <f>'Base Figures'!M38</f>
        <v>223414.04</v>
      </c>
      <c r="Q4" s="1"/>
      <c r="R4" s="40"/>
      <c r="S4" s="43" t="s">
        <v>1146</v>
      </c>
      <c r="T4" s="50">
        <v>0.97</v>
      </c>
      <c r="U4" s="1"/>
      <c r="V4" s="1"/>
      <c r="W4" s="1"/>
      <c r="X4" s="1"/>
      <c r="Y4" s="61" t="s">
        <v>1147</v>
      </c>
      <c r="Z4" s="41">
        <f>'Base Figures'!D31</f>
        <v>196925.48</v>
      </c>
      <c r="AA4" s="41">
        <f>'Base Figures'!D38</f>
        <v>208655.52</v>
      </c>
      <c r="AB4" s="62">
        <f>'Base Figures'!D45</f>
        <v>228565.06</v>
      </c>
      <c r="AC4" s="61" t="s">
        <v>1147</v>
      </c>
      <c r="AD4" s="41">
        <f>'Base Figures'!L31</f>
        <v>185457.52</v>
      </c>
      <c r="AE4" s="41">
        <f>'Base Figures'!L38</f>
        <v>193385.52</v>
      </c>
      <c r="AF4" s="62">
        <f>'Base Figures'!L45</f>
        <v>220917.75999999998</v>
      </c>
    </row>
    <row r="5" spans="2:62" x14ac:dyDescent="0.25">
      <c r="B5" s="1"/>
      <c r="C5" s="40"/>
      <c r="D5" s="40"/>
      <c r="E5" s="1"/>
      <c r="F5" s="1"/>
      <c r="G5" s="1"/>
      <c r="H5" s="1"/>
      <c r="I5" s="1"/>
      <c r="J5" s="1"/>
      <c r="K5" s="1"/>
      <c r="L5" s="1"/>
      <c r="M5" s="1"/>
      <c r="N5" s="1" t="s">
        <v>1148</v>
      </c>
      <c r="O5" s="41">
        <f>'Base Figures'!E31</f>
        <v>219100.20000000004</v>
      </c>
      <c r="P5" s="41">
        <f>'Base Figures'!M31</f>
        <v>214273.04</v>
      </c>
      <c r="Q5" s="1"/>
      <c r="R5" s="40"/>
      <c r="S5" s="43" t="s">
        <v>1149</v>
      </c>
      <c r="T5" s="50">
        <v>0.99</v>
      </c>
      <c r="U5" s="1"/>
      <c r="V5" s="1"/>
      <c r="W5" s="1"/>
      <c r="X5" s="1"/>
      <c r="Y5" s="61" t="s">
        <v>1150</v>
      </c>
      <c r="Z5" s="41">
        <f>'Base Figures'!E31</f>
        <v>219100.20000000004</v>
      </c>
      <c r="AA5" s="41">
        <f>'Base Figures'!E38</f>
        <v>232041.04000000004</v>
      </c>
      <c r="AB5" s="62">
        <f>'Base Figures'!E45</f>
        <v>253525.42000000004</v>
      </c>
      <c r="AC5" s="61" t="s">
        <v>1150</v>
      </c>
      <c r="AD5" s="41">
        <f>'Base Figures'!M31</f>
        <v>214273.04</v>
      </c>
      <c r="AE5" s="41">
        <f>'Base Figures'!M38</f>
        <v>223414.04</v>
      </c>
      <c r="AF5" s="62">
        <f>'Base Figures'!M45</f>
        <v>254133.12</v>
      </c>
    </row>
    <row r="6" spans="2:6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92" t="s">
        <v>2667</v>
      </c>
      <c r="T6" s="1"/>
      <c r="U6" s="1"/>
      <c r="V6" s="1"/>
      <c r="W6" s="1"/>
      <c r="X6" s="1"/>
      <c r="Y6" s="61" t="s">
        <v>1151</v>
      </c>
      <c r="Z6" s="41">
        <f>'Base Figures'!F31</f>
        <v>234180.8</v>
      </c>
      <c r="AA6" s="41">
        <f>'Base Figures'!F38</f>
        <v>248917.48</v>
      </c>
      <c r="AB6" s="62">
        <f>'Base Figures'!F45</f>
        <v>272169.34000000003</v>
      </c>
      <c r="AC6" s="61" t="s">
        <v>1151</v>
      </c>
      <c r="AD6" s="41">
        <f>'Base Figures'!N31</f>
        <v>233612.48</v>
      </c>
      <c r="AE6" s="41">
        <f>'Base Figures'!N38</f>
        <v>244310.48</v>
      </c>
      <c r="AF6" s="62">
        <f>'Base Figures'!N45</f>
        <v>278017.04000000004</v>
      </c>
    </row>
    <row r="7" spans="2:62" ht="57" customHeigh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60" t="s">
        <v>1152</v>
      </c>
      <c r="O7" s="50">
        <v>1.75</v>
      </c>
      <c r="P7" s="1"/>
      <c r="Q7" s="1"/>
      <c r="R7" s="1"/>
      <c r="S7" s="1"/>
      <c r="T7" s="1"/>
      <c r="U7" s="1" t="s">
        <v>412</v>
      </c>
      <c r="V7" s="1"/>
      <c r="W7" s="1"/>
      <c r="X7" s="1"/>
      <c r="Y7" s="63" t="s">
        <v>1157</v>
      </c>
      <c r="Z7" s="64">
        <f>'Base Figures'!G31</f>
        <v>252254.4</v>
      </c>
      <c r="AA7" s="64">
        <f>'Base Figures'!G38</f>
        <v>267915.32</v>
      </c>
      <c r="AB7" s="65">
        <f>'Base Figures'!G45</f>
        <v>292998.46000000002</v>
      </c>
      <c r="AC7" s="63" t="s">
        <v>1157</v>
      </c>
      <c r="AD7" s="64">
        <f>'Base Figures'!O31</f>
        <v>252168.32000000001</v>
      </c>
      <c r="AE7" s="64">
        <f>'Base Figures'!O38</f>
        <v>263778.32</v>
      </c>
      <c r="AF7" s="65">
        <f>'Base Figures'!O45</f>
        <v>300786.16000000003</v>
      </c>
    </row>
    <row r="8" spans="2:62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2:62" ht="10.5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4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39" t="s">
        <v>1158</v>
      </c>
      <c r="AB9" s="1"/>
      <c r="AC9" s="1"/>
      <c r="AD9" s="1"/>
      <c r="AE9" s="1"/>
      <c r="AF9" s="1"/>
    </row>
    <row r="10" spans="2:62" ht="18" customHeight="1" x14ac:dyDescent="0.25">
      <c r="B10" s="43" t="s">
        <v>1159</v>
      </c>
      <c r="C10" s="14" t="s">
        <v>1160</v>
      </c>
      <c r="D10" s="14" t="s">
        <v>1161</v>
      </c>
      <c r="E10" s="14" t="s">
        <v>1162</v>
      </c>
      <c r="F10" s="14" t="s">
        <v>1163</v>
      </c>
      <c r="G10" s="14" t="s">
        <v>1164</v>
      </c>
      <c r="H10" s="14" t="s">
        <v>1165</v>
      </c>
      <c r="I10" s="14" t="s">
        <v>1166</v>
      </c>
      <c r="J10" s="14" t="s">
        <v>1167</v>
      </c>
      <c r="K10" s="14" t="s">
        <v>1168</v>
      </c>
      <c r="L10" s="14" t="s">
        <v>1169</v>
      </c>
      <c r="M10" s="14" t="s">
        <v>1170</v>
      </c>
      <c r="N10" s="14" t="s">
        <v>1138</v>
      </c>
      <c r="O10" s="14" t="s">
        <v>1171</v>
      </c>
      <c r="P10" s="14" t="s">
        <v>1172</v>
      </c>
      <c r="Q10" s="14" t="s">
        <v>664</v>
      </c>
      <c r="R10" s="14" t="s">
        <v>665</v>
      </c>
      <c r="S10" s="14" t="s">
        <v>130</v>
      </c>
      <c r="T10" s="14" t="s">
        <v>672</v>
      </c>
      <c r="U10" s="14" t="s">
        <v>1491</v>
      </c>
      <c r="V10" s="14" t="s">
        <v>1173</v>
      </c>
      <c r="W10" s="14" t="s">
        <v>1174</v>
      </c>
      <c r="X10" s="14"/>
      <c r="Y10" s="14" t="s">
        <v>1175</v>
      </c>
      <c r="Z10" s="14" t="s">
        <v>1176</v>
      </c>
      <c r="AA10" s="14" t="s">
        <v>1177</v>
      </c>
      <c r="AB10" s="14" t="s">
        <v>1178</v>
      </c>
      <c r="AC10" s="14" t="s">
        <v>1179</v>
      </c>
      <c r="AD10" s="1"/>
      <c r="AE10" s="1"/>
      <c r="AF10" s="1"/>
      <c r="AI10" s="13"/>
      <c r="AJ10" s="14"/>
      <c r="AK10" s="14"/>
      <c r="AL10" s="14"/>
      <c r="AM10" s="14"/>
      <c r="AN10" s="14"/>
      <c r="AO10" s="14"/>
      <c r="AP10" s="15"/>
      <c r="AQ10" s="16"/>
      <c r="AR10" s="16"/>
      <c r="AS10" s="14"/>
      <c r="AT10" s="14"/>
      <c r="AU10" s="14"/>
      <c r="AV10" s="14"/>
      <c r="AW10" s="14"/>
      <c r="AX10" s="16"/>
      <c r="AY10" s="16"/>
      <c r="AZ10" s="14"/>
      <c r="BA10" s="14"/>
      <c r="BB10" s="14"/>
      <c r="BC10" s="14"/>
      <c r="BD10" s="17"/>
      <c r="BE10" s="17"/>
      <c r="BF10" s="16"/>
      <c r="BG10" s="16"/>
      <c r="BH10" s="16"/>
      <c r="BI10" s="16"/>
      <c r="BJ10" s="16"/>
    </row>
    <row r="11" spans="2:62" s="17" customFormat="1" ht="17.25" customHeight="1" x14ac:dyDescent="0.25">
      <c r="B11" s="1" t="s">
        <v>1180</v>
      </c>
      <c r="C11" s="1" t="s">
        <v>1181</v>
      </c>
      <c r="D11" s="1" t="s">
        <v>1182</v>
      </c>
      <c r="E11" s="1" t="s">
        <v>1183</v>
      </c>
      <c r="F11" s="7" t="s">
        <v>1184</v>
      </c>
      <c r="G11" s="1" t="s">
        <v>1185</v>
      </c>
      <c r="H11" s="1" t="s">
        <v>1186</v>
      </c>
      <c r="I11" s="7" t="s">
        <v>1187</v>
      </c>
      <c r="J11" s="44">
        <v>1</v>
      </c>
      <c r="K11" s="45">
        <v>1</v>
      </c>
      <c r="L11" s="7">
        <v>997</v>
      </c>
      <c r="M11" s="1" t="s">
        <v>1188</v>
      </c>
      <c r="N11" s="1" t="s">
        <v>1141</v>
      </c>
      <c r="O11" s="1" t="s">
        <v>1189</v>
      </c>
      <c r="P11" s="7" t="s">
        <v>1073</v>
      </c>
      <c r="Q11" s="44">
        <f>IF($L11=996,Multipliers!C$174,IF($L11=997,Multipliers!C$175,IF($L11=998,Multipliers!C$176,"NONE")))</f>
        <v>1.3</v>
      </c>
      <c r="R11" s="44">
        <f>IF($L11=996,Multipliers!C$5,IF($L11=997,Multipliers!C$6,IF($L11=998,Multipliers!C$7,"NONE")))</f>
        <v>1.34</v>
      </c>
      <c r="S11" s="46">
        <f>IF(N11="Standard",$O$5*Q11*$O$7,IF(N11="Severe",$O$4*Q11*$O$7,IF(N11="Hostile",$O$3*Q11*$O$7)))</f>
        <v>576770.33050000016</v>
      </c>
      <c r="T11" s="46">
        <f>IF(N11="Standard",$P$5*R11*$O$7,IF(N11="Severe",$P$4*R11*$O$7,IF(N11="Hostile",$P$3*R11*$O$7)))</f>
        <v>595942.1664000001</v>
      </c>
      <c r="U11" s="46">
        <f>IF(O11="E",$T$3*T11,IF(O11="C",$T$4*T11,IF(O11="W",$T$5*T11,1)))</f>
        <v>589982.74473600008</v>
      </c>
      <c r="V11" s="46">
        <f>((S11+U11)/2*1.15)</f>
        <v>670883.01826070005</v>
      </c>
      <c r="W11" s="47">
        <f t="shared" ref="W11:W16" si="0">IF(F11=F12,(V11+V12)/2,IF(F11=F10,(V11+V10)/2,IF(F11&lt;&gt;F10,V11)))</f>
        <v>670883.01826070005</v>
      </c>
      <c r="X11" s="47"/>
      <c r="Y11" s="48">
        <f t="shared" ref="Y11:Y17" si="1">IF(N11="Standard",(((($Z$3*Q11)+($AD$3*R11*$T$5))/2)*$O$7*1.15),IF(N11="Severe",(((($AA$3*Q11)+($AE$3*R11*$T$5))/2)*$O$7*1.15),IF(N11="Hostile",(((($AB$3*Q11)+($AF$3*R11*$T$5))/2)*$O$7*1.15))))</f>
        <v>537627.23286300001</v>
      </c>
      <c r="Z11" s="48">
        <f t="shared" ref="Z11:Z17" si="2">IF(N11="Standard",(((($Z$4*Q11)+($AD$4*R11*$T$5))/2)*$O$7*1.15),IF(N11="Severe",(((($AA$4*Q11)+($AE$4*R11*$T$5))/2)*$O$7*1.15),IF(N11="Hostile",(((($AB$4*Q11)+($AF$4*R11*$T$5))/2)*$O$7*1.15))))</f>
        <v>593892.8539060998</v>
      </c>
      <c r="AA11" s="48">
        <f t="shared" ref="AA11:AA17" si="3">IF(N11="Standard",(((($Z$5*Q11)+($AD$5*R11*$T$5))/2)*$O$7*1.15),IF(N11="Severe",(((($AA$5*Q11)+($AE$5*R11*$T$5))/2)*$O$7*1.15),IF(N11="Hostile",(((($AB$5*Q11)+($AF$5*R11*$T$5))/2)*$O$7*1.15))))</f>
        <v>670883.01826070005</v>
      </c>
      <c r="AB11" s="48">
        <f t="shared" ref="AB11:AB17" si="4">IF(N11="Standard",(((($Z$6*Q11)+($AD$6*R11*$T$5))/2)*$O$7*1.15),IF(N11="Severe",(((($AA$6*Q11)+($AE$6*R11*$T$5))/2)*$O$7*1.15),IF(N11="Hostile",(((($AB$6*Q11)+($AF$6*R11*$T$5))/2)*$O$7*1.15))))</f>
        <v>727154.03193440009</v>
      </c>
      <c r="AC11" s="48">
        <f t="shared" ref="AC11:AC17" si="5">IF(N11="Standard",(((($Z$7*Q11)+($AD$7*R11*$T$5))/2)*$O$7*1.15),IF(N11="Severe",(((($AA$7*Q11)+($AE$7*R11*$T$5))/2)*$O$7*1.15),IF(N11="Hostile",(((($AB$7*Q11)+($AF$7*R11*$T$5))/2)*$O$7*1.15))))</f>
        <v>784795.42359260004</v>
      </c>
      <c r="AD11" s="1"/>
      <c r="AE11" s="1"/>
      <c r="AF11" s="1"/>
      <c r="AI11" s="9"/>
      <c r="AJ11" s="1"/>
      <c r="AK11" s="1"/>
      <c r="AL11" s="1"/>
      <c r="AM11" s="7"/>
      <c r="AN11" s="1"/>
      <c r="AO11" s="1"/>
      <c r="AP11" s="9"/>
      <c r="AQ11" s="3"/>
      <c r="AR11" s="4"/>
      <c r="AS11" s="7"/>
      <c r="AT11" s="1"/>
      <c r="AU11" s="1"/>
      <c r="AV11" s="1"/>
      <c r="AW11" s="1"/>
      <c r="AX11" s="3"/>
      <c r="AY11" s="3"/>
      <c r="AZ11" s="5"/>
      <c r="BA11" s="5"/>
      <c r="BB11" s="5"/>
      <c r="BC11" s="5"/>
      <c r="BD11" s="6"/>
      <c r="BE11" s="6"/>
      <c r="BF11" s="12"/>
      <c r="BG11" s="12"/>
      <c r="BH11" s="12"/>
      <c r="BI11" s="12"/>
      <c r="BJ11" s="12"/>
    </row>
    <row r="12" spans="2:62" x14ac:dyDescent="0.25">
      <c r="B12" s="1" t="s">
        <v>1180</v>
      </c>
      <c r="C12" s="1" t="s">
        <v>1181</v>
      </c>
      <c r="D12" s="1" t="s">
        <v>1191</v>
      </c>
      <c r="E12" s="1" t="s">
        <v>1192</v>
      </c>
      <c r="F12" s="1" t="s">
        <v>1193</v>
      </c>
      <c r="G12" s="1" t="s">
        <v>1194</v>
      </c>
      <c r="H12" s="1" t="s">
        <v>1195</v>
      </c>
      <c r="I12" s="7" t="s">
        <v>1187</v>
      </c>
      <c r="J12" s="44">
        <v>1</v>
      </c>
      <c r="K12" s="45">
        <v>4</v>
      </c>
      <c r="L12" s="7">
        <v>997</v>
      </c>
      <c r="M12" s="1" t="s">
        <v>1188</v>
      </c>
      <c r="N12" s="1" t="s">
        <v>1141</v>
      </c>
      <c r="O12" s="1" t="s">
        <v>1189</v>
      </c>
      <c r="P12" s="7" t="s">
        <v>1073</v>
      </c>
      <c r="Q12" s="44">
        <f>IF($L12=996,Multipliers!C$174,IF($L12=997,Multipliers!C$175,IF($L12=998,Multipliers!C$176,"NONE")))</f>
        <v>1.3</v>
      </c>
      <c r="R12" s="44">
        <f>IF($L12=996,Multipliers!C$5,IF($L12=997,Multipliers!C$6,IF($L12=998,Multipliers!C$7,"NONE")))</f>
        <v>1.34</v>
      </c>
      <c r="S12" s="46">
        <f>IF(N12="Standard",$O$5*Q12*$O$7,IF(N12="Severe",$O$4*Q12*$O$7,IF(N12="Hostile",$O$3*Q12*$O$7)))</f>
        <v>576770.33050000016</v>
      </c>
      <c r="T12" s="46">
        <f>IF(N12="Standard",$P$5*R12*$O$7,IF(N12="Severe",$P$4*R12*$O$7,IF(N12="Hostile",$P$3*R12*$O$7)))</f>
        <v>595942.1664000001</v>
      </c>
      <c r="U12" s="46">
        <f t="shared" ref="U12:U27" si="6">IF(O12="E",$T$3*T12,IF(O12="C",$T$4*T12,IF(O12="W",$T$5*T12,1)))</f>
        <v>589982.74473600008</v>
      </c>
      <c r="V12" s="46">
        <f t="shared" ref="V12:V17" si="7">((S12+U12)/2*1.15)</f>
        <v>670883.01826070005</v>
      </c>
      <c r="W12" s="47">
        <f t="shared" si="0"/>
        <v>670883.01826070005</v>
      </c>
      <c r="X12" s="47"/>
      <c r="Y12" s="48">
        <f t="shared" si="1"/>
        <v>537627.23286300001</v>
      </c>
      <c r="Z12" s="48">
        <f t="shared" si="2"/>
        <v>593892.8539060998</v>
      </c>
      <c r="AA12" s="48">
        <f t="shared" si="3"/>
        <v>670883.01826070005</v>
      </c>
      <c r="AB12" s="48">
        <f t="shared" si="4"/>
        <v>727154.03193440009</v>
      </c>
      <c r="AC12" s="48">
        <f t="shared" si="5"/>
        <v>784795.42359260004</v>
      </c>
      <c r="AD12" s="1"/>
      <c r="AE12" s="1"/>
      <c r="AF12" s="1"/>
      <c r="AI12" s="9"/>
      <c r="AJ12" s="1"/>
      <c r="AK12" s="1"/>
      <c r="AL12" s="1"/>
      <c r="AM12" s="1"/>
      <c r="AN12" s="1"/>
      <c r="AO12" s="1"/>
      <c r="AP12" s="9"/>
      <c r="AQ12" s="3"/>
      <c r="AR12" s="4"/>
      <c r="AS12" s="7"/>
      <c r="AT12" s="1"/>
      <c r="AU12" s="1"/>
      <c r="AV12" s="1"/>
      <c r="AW12" s="1"/>
      <c r="AX12" s="3"/>
      <c r="AY12" s="3"/>
      <c r="AZ12" s="5"/>
      <c r="BA12" s="5"/>
      <c r="BB12" s="5"/>
      <c r="BC12" s="5"/>
      <c r="BD12" s="6"/>
      <c r="BE12" s="6"/>
      <c r="BF12" s="12"/>
      <c r="BG12" s="12"/>
      <c r="BH12" s="12"/>
      <c r="BI12" s="12"/>
      <c r="BJ12" s="12"/>
    </row>
    <row r="13" spans="2:62" x14ac:dyDescent="0.25">
      <c r="B13" s="1" t="s">
        <v>1180</v>
      </c>
      <c r="C13" s="1" t="s">
        <v>1196</v>
      </c>
      <c r="D13" s="1" t="s">
        <v>1190</v>
      </c>
      <c r="E13" s="1" t="s">
        <v>1197</v>
      </c>
      <c r="F13" s="1" t="s">
        <v>1198</v>
      </c>
      <c r="G13" s="1" t="s">
        <v>1185</v>
      </c>
      <c r="H13" s="1" t="s">
        <v>1186</v>
      </c>
      <c r="I13" s="7" t="s">
        <v>1187</v>
      </c>
      <c r="J13" s="44">
        <v>1</v>
      </c>
      <c r="K13" s="45">
        <v>1</v>
      </c>
      <c r="L13" s="1">
        <v>997</v>
      </c>
      <c r="M13" s="1" t="s">
        <v>1188</v>
      </c>
      <c r="N13" s="1" t="s">
        <v>1141</v>
      </c>
      <c r="O13" s="1" t="s">
        <v>1189</v>
      </c>
      <c r="P13" s="7" t="s">
        <v>1073</v>
      </c>
      <c r="Q13" s="44">
        <f>IF($L13=996,Multipliers!C$174,IF($L13=997,Multipliers!C$175,IF($L13=998,Multipliers!C$176,"NONE")))</f>
        <v>1.3</v>
      </c>
      <c r="R13" s="44">
        <f>IF($L13=996,Multipliers!C$5,IF($L13=997,Multipliers!C$6,IF($L13=998,Multipliers!C$7,"NONE")))</f>
        <v>1.34</v>
      </c>
      <c r="S13" s="46">
        <f>IF(N13="Standard",$O$5*Q13*$O$7,IF(N13="Severe",$O$4*Q13*$O$7,IF(N13="Hostile",$O$3*Q13*$O$7)))</f>
        <v>576770.33050000016</v>
      </c>
      <c r="T13" s="46">
        <f>IF(N13="Standard",$P$5*R13*$O$7,IF(N13="Severe",$P$4*R13*$O$7,IF(N13="Hostile",$P$3*R13*$O$7)))</f>
        <v>595942.1664000001</v>
      </c>
      <c r="U13" s="46">
        <f t="shared" si="6"/>
        <v>589982.74473600008</v>
      </c>
      <c r="V13" s="46">
        <f t="shared" si="7"/>
        <v>670883.01826070005</v>
      </c>
      <c r="W13" s="47">
        <f t="shared" si="0"/>
        <v>670883.01826070005</v>
      </c>
      <c r="X13" s="47"/>
      <c r="Y13" s="48">
        <f t="shared" si="1"/>
        <v>537627.23286300001</v>
      </c>
      <c r="Z13" s="48">
        <f t="shared" si="2"/>
        <v>593892.8539060998</v>
      </c>
      <c r="AA13" s="48">
        <f t="shared" si="3"/>
        <v>670883.01826070005</v>
      </c>
      <c r="AB13" s="48">
        <f t="shared" si="4"/>
        <v>727154.03193440009</v>
      </c>
      <c r="AC13" s="48">
        <f t="shared" si="5"/>
        <v>784795.42359260004</v>
      </c>
      <c r="AD13" s="1"/>
      <c r="AE13" s="1"/>
      <c r="AF13" s="1"/>
      <c r="AI13" s="9"/>
      <c r="AJ13" s="1"/>
      <c r="AK13" s="1"/>
      <c r="AL13" s="1"/>
      <c r="AM13" s="1"/>
      <c r="AN13" s="1"/>
      <c r="AO13" s="1"/>
      <c r="AP13" s="9"/>
      <c r="AQ13" s="3"/>
      <c r="AR13" s="4"/>
      <c r="AS13" s="1"/>
      <c r="AT13" s="1"/>
      <c r="AU13" s="1"/>
      <c r="AV13" s="1"/>
      <c r="AW13" s="1"/>
      <c r="AX13" s="3"/>
      <c r="AY13" s="3"/>
      <c r="AZ13" s="5"/>
      <c r="BA13" s="5"/>
      <c r="BB13" s="5"/>
      <c r="BC13" s="5"/>
      <c r="BD13" s="6"/>
      <c r="BE13" s="6"/>
      <c r="BF13" s="12"/>
      <c r="BG13" s="12"/>
      <c r="BH13" s="12"/>
      <c r="BI13" s="12"/>
      <c r="BJ13" s="12"/>
    </row>
    <row r="14" spans="2:62" x14ac:dyDescent="0.25">
      <c r="B14" s="1" t="s">
        <v>1180</v>
      </c>
      <c r="C14" s="1" t="s">
        <v>1199</v>
      </c>
      <c r="D14" s="1" t="s">
        <v>1190</v>
      </c>
      <c r="E14" s="1" t="s">
        <v>1200</v>
      </c>
      <c r="F14" s="1" t="s">
        <v>1201</v>
      </c>
      <c r="G14" s="1" t="s">
        <v>1202</v>
      </c>
      <c r="H14" s="1" t="s">
        <v>1203</v>
      </c>
      <c r="I14" s="7" t="s">
        <v>1187</v>
      </c>
      <c r="J14" s="44">
        <v>1</v>
      </c>
      <c r="K14" s="45">
        <v>1</v>
      </c>
      <c r="L14" s="1">
        <v>997</v>
      </c>
      <c r="M14" s="1" t="s">
        <v>1188</v>
      </c>
      <c r="N14" s="1" t="s">
        <v>1141</v>
      </c>
      <c r="O14" s="1" t="s">
        <v>1189</v>
      </c>
      <c r="P14" s="7" t="s">
        <v>1073</v>
      </c>
      <c r="Q14" s="44">
        <f>IF($L14=996,Multipliers!C$174,IF($L14=997,Multipliers!C$175,IF($L14=998,Multipliers!C$176,"NONE")))</f>
        <v>1.3</v>
      </c>
      <c r="R14" s="44">
        <f>IF($L14=996,Multipliers!C$5,IF($L14=997,Multipliers!C$6,IF($L14=998,Multipliers!C$7,"NONE")))</f>
        <v>1.34</v>
      </c>
      <c r="S14" s="46">
        <f>IF(N14="Standard",$O$5*Q14*$O$7,IF(N14="Severe",$O$4*Q14*$O$7,IF(N14="Hostile",$O$3*Q14*$O$7)))</f>
        <v>576770.33050000016</v>
      </c>
      <c r="T14" s="46">
        <f>IF(N14="Standard",$P$5*R14*$O$7,IF(N14="Severe",$P$4*R14*$O$7,IF(N14="Hostile",$P$3*R14*$O$7)))</f>
        <v>595942.1664000001</v>
      </c>
      <c r="U14" s="46">
        <f t="shared" si="6"/>
        <v>589982.74473600008</v>
      </c>
      <c r="V14" s="46">
        <f t="shared" si="7"/>
        <v>670883.01826070005</v>
      </c>
      <c r="W14" s="47">
        <f t="shared" si="0"/>
        <v>670883.01826070005</v>
      </c>
      <c r="X14" s="47"/>
      <c r="Y14" s="48">
        <f t="shared" si="1"/>
        <v>537627.23286300001</v>
      </c>
      <c r="Z14" s="48">
        <f t="shared" si="2"/>
        <v>593892.8539060998</v>
      </c>
      <c r="AA14" s="48">
        <f t="shared" si="3"/>
        <v>670883.01826070005</v>
      </c>
      <c r="AB14" s="48">
        <f t="shared" si="4"/>
        <v>727154.03193440009</v>
      </c>
      <c r="AC14" s="48">
        <f t="shared" si="5"/>
        <v>784795.42359260004</v>
      </c>
      <c r="AD14" s="1"/>
      <c r="AE14" s="1"/>
      <c r="AF14" s="1"/>
      <c r="AI14" s="9"/>
      <c r="AJ14" s="1"/>
      <c r="AK14" s="1"/>
      <c r="AL14" s="1"/>
      <c r="AM14" s="1"/>
      <c r="AN14" s="1"/>
      <c r="AO14" s="1"/>
      <c r="AP14" s="9"/>
      <c r="AQ14" s="3"/>
      <c r="AR14" s="4"/>
      <c r="AS14" s="1"/>
      <c r="AT14" s="1"/>
      <c r="AU14" s="1"/>
      <c r="AV14" s="1"/>
      <c r="AW14" s="1"/>
      <c r="AX14" s="3"/>
      <c r="AY14" s="3"/>
      <c r="AZ14" s="5"/>
      <c r="BA14" s="5"/>
      <c r="BB14" s="5"/>
      <c r="BC14" s="5"/>
      <c r="BD14" s="6"/>
      <c r="BE14" s="6"/>
      <c r="BF14" s="12"/>
      <c r="BG14" s="12"/>
      <c r="BH14" s="12"/>
      <c r="BI14" s="12"/>
      <c r="BJ14" s="12"/>
    </row>
    <row r="15" spans="2:62" x14ac:dyDescent="0.25">
      <c r="B15" s="1" t="s">
        <v>1180</v>
      </c>
      <c r="C15" s="1" t="s">
        <v>1204</v>
      </c>
      <c r="D15" s="1" t="s">
        <v>1190</v>
      </c>
      <c r="E15" s="1" t="s">
        <v>1205</v>
      </c>
      <c r="F15" s="1" t="s">
        <v>1206</v>
      </c>
      <c r="G15" s="1" t="s">
        <v>1202</v>
      </c>
      <c r="H15" s="1" t="s">
        <v>1203</v>
      </c>
      <c r="I15" s="7" t="s">
        <v>1187</v>
      </c>
      <c r="J15" s="44">
        <v>1</v>
      </c>
      <c r="K15" s="45">
        <v>1</v>
      </c>
      <c r="L15" s="1">
        <v>997</v>
      </c>
      <c r="M15" s="1" t="s">
        <v>1188</v>
      </c>
      <c r="N15" s="1" t="s">
        <v>1141</v>
      </c>
      <c r="O15" s="1" t="s">
        <v>1189</v>
      </c>
      <c r="P15" s="7" t="s">
        <v>1073</v>
      </c>
      <c r="Q15" s="44">
        <f>IF($L15=996,Multipliers!C$174,IF($L15=997,Multipliers!C$175,IF($L15=998,Multipliers!C$176,"NONE")))</f>
        <v>1.3</v>
      </c>
      <c r="R15" s="44">
        <f>IF($L15=996,Multipliers!C$5,IF($L15=997,Multipliers!C$6,IF($L15=998,Multipliers!C$7,"NONE")))</f>
        <v>1.34</v>
      </c>
      <c r="S15" s="46">
        <f>IF(N15="Standard",$O$5*Q15*$O$7,IF(N15="Severe",$O$4*Q15*$O$7,IF(N15="Hostile",$O$3*Q15*$O$7)))</f>
        <v>576770.33050000016</v>
      </c>
      <c r="T15" s="46">
        <f>IF(N15="Standard",$P$5*R15*$O$7,IF(N15="Severe",$P$4*R15*$O$7,IF(N15="Hostile",$P$3*R15*$O$7)))</f>
        <v>595942.1664000001</v>
      </c>
      <c r="U15" s="46">
        <f t="shared" si="6"/>
        <v>589982.74473600008</v>
      </c>
      <c r="V15" s="46">
        <f t="shared" si="7"/>
        <v>670883.01826070005</v>
      </c>
      <c r="W15" s="47">
        <f t="shared" si="0"/>
        <v>670883.01826070005</v>
      </c>
      <c r="X15" s="47"/>
      <c r="Y15" s="48">
        <f t="shared" si="1"/>
        <v>537627.23286300001</v>
      </c>
      <c r="Z15" s="48">
        <f t="shared" si="2"/>
        <v>593892.8539060998</v>
      </c>
      <c r="AA15" s="48">
        <f t="shared" si="3"/>
        <v>670883.01826070005</v>
      </c>
      <c r="AB15" s="48">
        <f t="shared" si="4"/>
        <v>727154.03193440009</v>
      </c>
      <c r="AC15" s="48">
        <f t="shared" si="5"/>
        <v>784795.42359260004</v>
      </c>
      <c r="AD15" s="1"/>
      <c r="AE15" s="1"/>
      <c r="AF15" s="1"/>
      <c r="AI15" s="9"/>
      <c r="AJ15" s="1"/>
      <c r="AK15" s="1"/>
      <c r="AL15" s="1"/>
      <c r="AM15" s="1"/>
      <c r="AN15" s="1"/>
      <c r="AO15" s="1"/>
      <c r="AP15" s="9"/>
      <c r="AQ15" s="3"/>
      <c r="AR15" s="4"/>
      <c r="AS15" s="1"/>
      <c r="AT15" s="1"/>
      <c r="AU15" s="1"/>
      <c r="AV15" s="1"/>
      <c r="AW15" s="1"/>
      <c r="AX15" s="3"/>
      <c r="AY15" s="3"/>
      <c r="AZ15" s="5"/>
      <c r="BA15" s="5"/>
      <c r="BB15" s="5"/>
      <c r="BC15" s="5"/>
      <c r="BD15" s="6"/>
      <c r="BE15" s="6"/>
      <c r="BF15" s="12"/>
      <c r="BG15" s="12"/>
      <c r="BH15" s="12"/>
      <c r="BI15" s="12"/>
      <c r="BJ15" s="12"/>
    </row>
    <row r="16" spans="2:62" x14ac:dyDescent="0.25">
      <c r="B16" s="1" t="s">
        <v>1180</v>
      </c>
      <c r="C16" s="1" t="s">
        <v>1207</v>
      </c>
      <c r="D16" s="1" t="s">
        <v>1190</v>
      </c>
      <c r="E16" s="1" t="s">
        <v>1208</v>
      </c>
      <c r="F16" s="1" t="s">
        <v>1209</v>
      </c>
      <c r="G16" s="1" t="s">
        <v>1210</v>
      </c>
      <c r="H16" s="1" t="s">
        <v>1211</v>
      </c>
      <c r="I16" s="7" t="s">
        <v>1187</v>
      </c>
      <c r="J16" s="44">
        <v>1</v>
      </c>
      <c r="K16" s="45">
        <v>1</v>
      </c>
      <c r="L16" s="1">
        <v>997</v>
      </c>
      <c r="M16" s="1" t="s">
        <v>1188</v>
      </c>
      <c r="N16" s="1" t="s">
        <v>1141</v>
      </c>
      <c r="O16" s="1" t="s">
        <v>1189</v>
      </c>
      <c r="P16" s="7" t="s">
        <v>1073</v>
      </c>
      <c r="Q16" s="44">
        <f>IF($L16=996,Multipliers!C$174,IF($L16=997,Multipliers!C$175,IF($L16=998,Multipliers!C$176,"NONE")))</f>
        <v>1.3</v>
      </c>
      <c r="R16" s="44">
        <f>IF($L16=996,Multipliers!C$5,IF($L16=997,Multipliers!C$6,IF($L16=998,Multipliers!C$7,"NONE")))</f>
        <v>1.34</v>
      </c>
      <c r="S16" s="46">
        <f t="shared" ref="S16:S35" si="8">IF(N16="Standard",$O$5*Q16*$O$7,IF(N16="Severe",$O$4*Q16*$O$7,IF(N16="Hostile",$O$3*Q16*$O$7)))</f>
        <v>576770.33050000016</v>
      </c>
      <c r="T16" s="46">
        <f t="shared" ref="T16:T35" si="9">IF(N16="Standard",$P$5*R16*$O$7,IF(N16="Severe",$P$4*R16*$O$7,IF(N16="Hostile",$P$3*R16*$O$7)))</f>
        <v>595942.1664000001</v>
      </c>
      <c r="U16" s="46">
        <f t="shared" si="6"/>
        <v>589982.74473600008</v>
      </c>
      <c r="V16" s="46">
        <f t="shared" si="7"/>
        <v>670883.01826070005</v>
      </c>
      <c r="W16" s="47">
        <f t="shared" si="0"/>
        <v>670883.01826070005</v>
      </c>
      <c r="X16" s="47"/>
      <c r="Y16" s="48">
        <f t="shared" si="1"/>
        <v>537627.23286300001</v>
      </c>
      <c r="Z16" s="48">
        <f t="shared" si="2"/>
        <v>593892.8539060998</v>
      </c>
      <c r="AA16" s="48">
        <f t="shared" si="3"/>
        <v>670883.01826070005</v>
      </c>
      <c r="AB16" s="48">
        <f t="shared" si="4"/>
        <v>727154.03193440009</v>
      </c>
      <c r="AC16" s="48">
        <f t="shared" si="5"/>
        <v>784795.42359260004</v>
      </c>
      <c r="AD16" s="1"/>
      <c r="AE16" s="1"/>
      <c r="AF16" s="1"/>
      <c r="AI16" s="9"/>
      <c r="AJ16" s="1"/>
      <c r="AK16" s="1"/>
      <c r="AL16" s="1"/>
      <c r="AM16" s="1"/>
      <c r="AN16" s="1"/>
      <c r="AO16" s="1"/>
      <c r="AP16" s="9"/>
      <c r="AQ16" s="3"/>
      <c r="AR16" s="4"/>
      <c r="AS16" s="1"/>
      <c r="AT16" s="1"/>
      <c r="AU16" s="1"/>
      <c r="AV16" s="1"/>
      <c r="AW16" s="1"/>
      <c r="AX16" s="3"/>
      <c r="AY16" s="3"/>
      <c r="AZ16" s="5"/>
      <c r="BA16" s="5"/>
      <c r="BB16" s="5"/>
      <c r="BC16" s="5"/>
      <c r="BD16" s="6"/>
      <c r="BE16" s="6"/>
      <c r="BF16" s="12"/>
      <c r="BG16" s="12"/>
      <c r="BH16" s="12"/>
      <c r="BI16" s="12"/>
      <c r="BJ16" s="12"/>
    </row>
    <row r="17" spans="2:62" x14ac:dyDescent="0.25">
      <c r="B17" s="1" t="s">
        <v>1180</v>
      </c>
      <c r="C17" s="1" t="s">
        <v>1212</v>
      </c>
      <c r="D17" s="1" t="s">
        <v>1190</v>
      </c>
      <c r="E17" s="1" t="s">
        <v>1213</v>
      </c>
      <c r="F17" s="1" t="s">
        <v>1214</v>
      </c>
      <c r="G17" s="1" t="s">
        <v>1202</v>
      </c>
      <c r="H17" s="1" t="s">
        <v>1203</v>
      </c>
      <c r="I17" s="7" t="s">
        <v>1187</v>
      </c>
      <c r="J17" s="44">
        <v>1</v>
      </c>
      <c r="K17" s="45">
        <v>1</v>
      </c>
      <c r="L17" s="1">
        <v>997</v>
      </c>
      <c r="M17" s="1" t="s">
        <v>1188</v>
      </c>
      <c r="N17" s="1" t="s">
        <v>1141</v>
      </c>
      <c r="O17" s="1" t="s">
        <v>1189</v>
      </c>
      <c r="P17" s="7" t="s">
        <v>1073</v>
      </c>
      <c r="Q17" s="44">
        <f>IF($L17=996,Multipliers!C$174,IF($L17=997,Multipliers!C$175,IF($L17=998,Multipliers!C$176,"NONE")))</f>
        <v>1.3</v>
      </c>
      <c r="R17" s="44">
        <f>IF($L17=996,Multipliers!C$5,IF($L17=997,Multipliers!C$6,IF($L17=998,Multipliers!C$7,"NONE")))</f>
        <v>1.34</v>
      </c>
      <c r="S17" s="46">
        <f t="shared" si="8"/>
        <v>576770.33050000016</v>
      </c>
      <c r="T17" s="46">
        <f t="shared" si="9"/>
        <v>595942.1664000001</v>
      </c>
      <c r="U17" s="46">
        <f t="shared" si="6"/>
        <v>589982.74473600008</v>
      </c>
      <c r="V17" s="46">
        <f t="shared" si="7"/>
        <v>670883.01826070005</v>
      </c>
      <c r="W17" s="47">
        <f t="shared" ref="W17:W36" si="10">IF(F17=F18,(V17+V18)/2,IF(F17=F16,(V17+V16)/2,IF(F17&lt;&gt;F16,V17)))</f>
        <v>670883.01826070005</v>
      </c>
      <c r="X17" s="47"/>
      <c r="Y17" s="48">
        <f t="shared" si="1"/>
        <v>537627.23286300001</v>
      </c>
      <c r="Z17" s="48">
        <f t="shared" si="2"/>
        <v>593892.8539060998</v>
      </c>
      <c r="AA17" s="48">
        <f t="shared" si="3"/>
        <v>670883.01826070005</v>
      </c>
      <c r="AB17" s="48">
        <f t="shared" si="4"/>
        <v>727154.03193440009</v>
      </c>
      <c r="AC17" s="48">
        <f t="shared" si="5"/>
        <v>784795.42359260004</v>
      </c>
      <c r="AD17" s="1"/>
      <c r="AE17" s="1"/>
      <c r="AF17" s="1"/>
      <c r="AI17" s="9"/>
      <c r="AJ17" s="1"/>
      <c r="AK17" s="1"/>
      <c r="AL17" s="1"/>
      <c r="AM17" s="1"/>
      <c r="AN17" s="1"/>
      <c r="AO17" s="1"/>
      <c r="AP17" s="9"/>
      <c r="AQ17" s="3"/>
      <c r="AR17" s="4"/>
      <c r="AS17" s="1"/>
      <c r="AT17" s="1"/>
      <c r="AU17" s="1"/>
      <c r="AV17" s="1"/>
      <c r="AW17" s="1"/>
      <c r="AX17" s="3"/>
      <c r="AY17" s="3"/>
      <c r="AZ17" s="5"/>
      <c r="BA17" s="5"/>
      <c r="BB17" s="5"/>
      <c r="BC17" s="5"/>
      <c r="BD17" s="6"/>
      <c r="BE17" s="6"/>
      <c r="BF17" s="12"/>
      <c r="BG17" s="12"/>
      <c r="BH17" s="12"/>
      <c r="BI17" s="12"/>
      <c r="BJ17" s="12"/>
    </row>
    <row r="18" spans="2:62" x14ac:dyDescent="0.25">
      <c r="B18" s="1" t="s">
        <v>1180</v>
      </c>
      <c r="C18" s="1" t="s">
        <v>1215</v>
      </c>
      <c r="D18" s="1" t="s">
        <v>1190</v>
      </c>
      <c r="E18" s="1" t="s">
        <v>1216</v>
      </c>
      <c r="F18" s="1" t="s">
        <v>1217</v>
      </c>
      <c r="G18" s="1" t="s">
        <v>1218</v>
      </c>
      <c r="H18" s="1" t="s">
        <v>1219</v>
      </c>
      <c r="I18" s="7" t="s">
        <v>1187</v>
      </c>
      <c r="J18" s="44">
        <v>1</v>
      </c>
      <c r="K18" s="45">
        <v>1</v>
      </c>
      <c r="L18" s="1">
        <v>998</v>
      </c>
      <c r="M18" s="1" t="s">
        <v>1188</v>
      </c>
      <c r="N18" s="1" t="s">
        <v>1141</v>
      </c>
      <c r="O18" s="1" t="s">
        <v>1189</v>
      </c>
      <c r="P18" s="7" t="s">
        <v>1074</v>
      </c>
      <c r="Q18" s="44">
        <f>IF($L18=996,Multipliers!C$174,IF($L18=997,Multipliers!C$175,IF($L18=998,Multipliers!C$176,"NONE")))</f>
        <v>1.34</v>
      </c>
      <c r="R18" s="44">
        <f>IF($L18=996,Multipliers!C$5,IF($L18=997,Multipliers!C$6,IF($L18=998,Multipliers!C$7,"NONE")))</f>
        <v>1.36</v>
      </c>
      <c r="S18" s="46">
        <f t="shared" si="8"/>
        <v>594517.10990000016</v>
      </c>
      <c r="T18" s="46">
        <f t="shared" si="9"/>
        <v>604836.82559999998</v>
      </c>
      <c r="U18" s="46">
        <f t="shared" si="6"/>
        <v>598788.45734399999</v>
      </c>
      <c r="V18" s="46">
        <f>((S18+U18)/2*1.2)</f>
        <v>715983.34034640016</v>
      </c>
      <c r="W18" s="47">
        <f t="shared" si="10"/>
        <v>715983.34034640016</v>
      </c>
      <c r="X18" s="47"/>
      <c r="Y18" s="48">
        <f>IF(N18="Standard",(((($Z$3*Q18)+($AD$3*R18*$T$5))/2)*$O$7*1.2),IF(N18="Severe",(((($AA$3*Q18)+($AE$3*R18*$T$5))/2)*$O$7*1.2),IF(N18="Hostile",(((($AB$3*Q18)+($AF$3*R18*$T$5))/2)*$O$7*1.2))))</f>
        <v>573912.50187599997</v>
      </c>
      <c r="Z18" s="48">
        <f>IF(N18="Standard",(((($Z$4*Q18)+($AD$4*R18*$T$5))/2)*$O$7*1.2),IF(N18="Severe",(((($AA$4*Q18)+($AE$4*R18*$T$5))/2)*$O$7*1.2),IF(N18="Hostile",(((($AB$4*Q18)+($AF$4*R18*$T$5))/2)*$O$7*1.2))))</f>
        <v>633906.89508719998</v>
      </c>
      <c r="AA18" s="48">
        <f>IF(N18="Standard",(((($Z$5*Q18)+($AD$5*R18*$T$5))/2)*$O$7*1.2),IF(N18="Severe",(((($AA$5*Q18)+($AE$5*R18*$T$5))/2)*$O$7*1.2),IF(N18="Hostile",((($AB$5*Q18)+($AF$5*R18*$T$5))/2)*$O$7*1.2)))</f>
        <v>715983.34034640016</v>
      </c>
      <c r="AB18" s="48">
        <f>IF(N18="Standard",(((($Z$6*Q18)+($AD$6*R18*$T$5))/2)*$O$7*1.2),IF(N18="Severe",(((($AA$6*Q18)+($AE$6*R18*$T$5))/2)*$O$7*1.2),IF(N18="Hostile",((($AB$6*Q18)+($AF$6*R18*$T$5))/2)*$O$7*1.2)))</f>
        <v>775980.51116880018</v>
      </c>
      <c r="AC18" s="48">
        <f>IF(N18="Standard",((($Z$7*Q18)+($AD$7*R18*$T$5))/2)*$O$7*1.2,IF(N18="Severe",((($AA$7*Q18)+($AE$7*R18*$T$5))/2)*$O$7*1.2,IF(N18="Hostile",((($AB$7*Q18)+($AF$7*R18*$T$5))/2)*$O$7*1.2)))</f>
        <v>837476.24333520012</v>
      </c>
      <c r="AD18" s="1"/>
      <c r="AE18" s="1"/>
      <c r="AF18" s="1"/>
      <c r="AI18" s="9"/>
      <c r="AJ18" s="1"/>
      <c r="AK18" s="1"/>
      <c r="AL18" s="1"/>
      <c r="AM18" s="1"/>
      <c r="AN18" s="1"/>
      <c r="AO18" s="1"/>
      <c r="AP18" s="9"/>
      <c r="AQ18" s="3"/>
      <c r="AR18" s="4"/>
      <c r="AS18" s="1"/>
      <c r="AT18" s="1"/>
      <c r="AU18" s="1"/>
      <c r="AV18" s="1"/>
      <c r="AW18" s="1"/>
      <c r="AX18" s="3"/>
      <c r="AY18" s="3"/>
      <c r="AZ18" s="5"/>
      <c r="BA18" s="5"/>
      <c r="BB18" s="5"/>
      <c r="BC18" s="5"/>
      <c r="BD18" s="6"/>
      <c r="BE18" s="6"/>
      <c r="BF18" s="12"/>
      <c r="BG18" s="12"/>
      <c r="BH18" s="12"/>
      <c r="BI18" s="12"/>
      <c r="BJ18" s="12"/>
    </row>
    <row r="19" spans="2:62" x14ac:dyDescent="0.25">
      <c r="B19" s="1" t="s">
        <v>1180</v>
      </c>
      <c r="C19" s="1" t="s">
        <v>1220</v>
      </c>
      <c r="D19" s="1" t="s">
        <v>1190</v>
      </c>
      <c r="E19" s="1" t="s">
        <v>1221</v>
      </c>
      <c r="F19" s="1" t="s">
        <v>1222</v>
      </c>
      <c r="G19" s="1" t="s">
        <v>1223</v>
      </c>
      <c r="H19" s="1" t="s">
        <v>1224</v>
      </c>
      <c r="I19" s="7" t="s">
        <v>1187</v>
      </c>
      <c r="J19" s="44">
        <v>1</v>
      </c>
      <c r="K19" s="45">
        <v>1</v>
      </c>
      <c r="L19" s="1">
        <v>997</v>
      </c>
      <c r="M19" s="1" t="s">
        <v>1188</v>
      </c>
      <c r="N19" s="1" t="s">
        <v>1141</v>
      </c>
      <c r="O19" s="1" t="s">
        <v>1189</v>
      </c>
      <c r="P19" s="7" t="s">
        <v>1073</v>
      </c>
      <c r="Q19" s="44">
        <f>IF($L19=996,Multipliers!C$174,IF($L19=997,Multipliers!C$175,IF($L19=998,Multipliers!C$176,"NONE")))</f>
        <v>1.3</v>
      </c>
      <c r="R19" s="44">
        <f>IF($L19=996,Multipliers!C$5,IF($L19=997,Multipliers!C$6,IF($L19=998,Multipliers!C$7,"NONE")))</f>
        <v>1.34</v>
      </c>
      <c r="S19" s="46">
        <f t="shared" si="8"/>
        <v>576770.33050000016</v>
      </c>
      <c r="T19" s="46">
        <f t="shared" si="9"/>
        <v>595942.1664000001</v>
      </c>
      <c r="U19" s="46">
        <f t="shared" si="6"/>
        <v>589982.74473600008</v>
      </c>
      <c r="V19" s="46">
        <f>((S19+U19)/2*1.15)</f>
        <v>670883.01826070005</v>
      </c>
      <c r="W19" s="47">
        <f t="shared" si="10"/>
        <v>670883.01826070005</v>
      </c>
      <c r="X19" s="47"/>
      <c r="Y19" s="48">
        <f>IF(N19="Standard",(((($Z$3*Q19)+($AD$3*R19*$T$5))/2)*$O$7*1.15),IF(N19="Severe",(((($AA$3*Q19)+($AE$3*R19*$T$5))/2)*$O$7*1.15),IF(N19="Hostile",(((($AB$3*Q19)+($AF$3*R19*$T$5))/2)*$O$7*1.15))))</f>
        <v>537627.23286300001</v>
      </c>
      <c r="Z19" s="48">
        <f>IF(N19="Standard",(((($Z$4*Q19)+($AD$4*R19*$T$5))/2)*$O$7*1.15),IF(N19="Severe",(((($AA$4*Q19)+($AE$4*R19*$T$5))/2)*$O$7*1.15),IF(N19="Hostile",(((($AB$4*Q19)+($AF$4*R19*$T$5))/2)*$O$7*1.15))))</f>
        <v>593892.8539060998</v>
      </c>
      <c r="AA19" s="48">
        <f>IF(N19="Standard",(((($Z$5*Q19)+($AD$5*R19*$T$5))/2)*$O$7*1.15),IF(N19="Severe",(((($AA$5*Q19)+($AE$5*R19*$T$5))/2)*$O$7*1.15),IF(N19="Hostile",(((($AB$5*Q19)+($AF$5*R19*$T$5))/2)*$O$7*1.15))))</f>
        <v>670883.01826070005</v>
      </c>
      <c r="AB19" s="48">
        <f>IF(N19="Standard",(((($Z$6*Q19)+($AD$6*R19*$T$5))/2)*$O$7*1.15),IF(N19="Severe",(((($AA$6*Q19)+($AE$6*R19*$T$5))/2)*$O$7*1.15),IF(N19="Hostile",(((($AB$6*Q19)+($AF$6*R19*$T$5))/2)*$O$7*1.15))))</f>
        <v>727154.03193440009</v>
      </c>
      <c r="AC19" s="48">
        <f>IF(N19="Standard",(((($Z$7*Q19)+($AD$7*R19*$T$5))/2)*$O$7*1.15),IF(N19="Severe",(((($AA$7*Q19)+($AE$7*R19*$T$5))/2)*$O$7*1.15),IF(N19="Hostile",(((($AB$7*Q19)+($AF$7*R19*$T$5))/2)*$O$7*1.15))))</f>
        <v>784795.42359260004</v>
      </c>
      <c r="AD19" s="1"/>
      <c r="AE19" s="1"/>
      <c r="AF19" s="1"/>
      <c r="AI19" s="9"/>
      <c r="AJ19" s="1"/>
      <c r="AK19" s="1"/>
      <c r="AL19" s="1"/>
      <c r="AM19" s="1"/>
      <c r="AN19" s="1"/>
      <c r="AO19" s="1"/>
      <c r="AP19" s="9"/>
      <c r="AQ19" s="3"/>
      <c r="AR19" s="4"/>
      <c r="AS19" s="1"/>
      <c r="AT19" s="1"/>
      <c r="AU19" s="1"/>
      <c r="AV19" s="1"/>
      <c r="AW19" s="1"/>
      <c r="AX19" s="3"/>
      <c r="AY19" s="3"/>
      <c r="AZ19" s="5"/>
      <c r="BA19" s="5"/>
      <c r="BB19" s="5"/>
      <c r="BC19" s="5"/>
      <c r="BD19" s="6"/>
      <c r="BE19" s="6"/>
      <c r="BF19" s="12"/>
      <c r="BG19" s="12"/>
      <c r="BH19" s="12"/>
      <c r="BI19" s="12"/>
      <c r="BJ19" s="12"/>
    </row>
    <row r="20" spans="2:62" x14ac:dyDescent="0.25">
      <c r="B20" s="1" t="s">
        <v>1180</v>
      </c>
      <c r="C20" s="1" t="s">
        <v>1181</v>
      </c>
      <c r="D20" s="1" t="s">
        <v>1225</v>
      </c>
      <c r="E20" s="1" t="s">
        <v>1192</v>
      </c>
      <c r="F20" s="1" t="s">
        <v>1226</v>
      </c>
      <c r="G20" s="1" t="s">
        <v>1210</v>
      </c>
      <c r="H20" s="1" t="s">
        <v>1211</v>
      </c>
      <c r="I20" s="7" t="s">
        <v>1187</v>
      </c>
      <c r="J20" s="44">
        <v>1</v>
      </c>
      <c r="K20" s="45">
        <v>4</v>
      </c>
      <c r="L20" s="1">
        <v>997</v>
      </c>
      <c r="M20" s="1" t="s">
        <v>1188</v>
      </c>
      <c r="N20" s="1" t="s">
        <v>1141</v>
      </c>
      <c r="O20" s="1" t="s">
        <v>1189</v>
      </c>
      <c r="P20" s="7" t="s">
        <v>1073</v>
      </c>
      <c r="Q20" s="44">
        <f>IF($L20=996,Multipliers!C$174,IF($L20=997,Multipliers!C$175,IF($L20=998,Multipliers!C$176,"NONE")))</f>
        <v>1.3</v>
      </c>
      <c r="R20" s="44">
        <f>IF($L20=996,Multipliers!C$5,IF($L20=997,Multipliers!C$6,IF($L20=998,Multipliers!C$7,"NONE")))</f>
        <v>1.34</v>
      </c>
      <c r="S20" s="46">
        <f>IF(N20="Standard",$O$5*Q20*$O$7,IF(N20="Severe",$O$4*Q20*$O$7,IF(N20="Hostile",$O$3*Q20*$O$7)))</f>
        <v>576770.33050000016</v>
      </c>
      <c r="T20" s="46">
        <f>IF(N20="Standard",$P$5*R20*$O$7,IF(N20="Severe",$P$4*R20*$O$7,IF(N20="Hostile",$P$3*R20*$O$7)))</f>
        <v>595942.1664000001</v>
      </c>
      <c r="U20" s="46">
        <f t="shared" si="6"/>
        <v>589982.74473600008</v>
      </c>
      <c r="V20" s="46">
        <f>((S20+U20)/2*1.15)</f>
        <v>670883.01826070005</v>
      </c>
      <c r="W20" s="47">
        <f t="shared" si="10"/>
        <v>670883.01826070005</v>
      </c>
      <c r="X20" s="47"/>
      <c r="Y20" s="48">
        <f>IF(N20="Standard",(((($Z$3*Q20)+($AD$3*R20*$T$5))/2)*$O$7*1.15),IF(N20="Severe",(((($AA$3*Q20)+($AE$3*R20*$T$5))/2)*$O$7*1.15),IF(N20="Hostile",(((($AB$3*Q20)+($AF$3*R20*$T$5))/2)*$O$7*1.15))))</f>
        <v>537627.23286300001</v>
      </c>
      <c r="Z20" s="48">
        <f>IF(N20="Standard",(((($Z$4*Q20)+($AD$4*R20*$T$5))/2)*$O$7*1.15),IF(N20="Severe",(((($AA$4*Q20)+($AE$4*R20*$T$5))/2)*$O$7*1.15),IF(N20="Hostile",(((($AB$4*Q20)+($AF$4*R20*$T$5))/2)*$O$7*1.15))))</f>
        <v>593892.8539060998</v>
      </c>
      <c r="AA20" s="48">
        <f>IF(N20="Standard",(((($Z$5*Q20)+($AD$5*R20*$T$5))/2)*$O$7*1.15),IF(N20="Severe",(((($AA$5*Q20)+($AE$5*R20*$T$5))/2)*$O$7*1.15),IF(N20="Hostile",(((($AB$5*Q20)+($AF$5*R20*$T$5))/2)*$O$7*1.15))))</f>
        <v>670883.01826070005</v>
      </c>
      <c r="AB20" s="48">
        <f>IF(N20="Standard",(((($Z$6*Q20)+($AD$6*R20*$T$5))/2)*$O$7*1.15),IF(N20="Severe",(((($AA$6*Q20)+($AE$6*R20*$T$5))/2)*$O$7*1.15),IF(N20="Hostile",(((($AB$6*Q20)+($AF$6*R20*$T$5))/2)*$O$7*1.15))))</f>
        <v>727154.03193440009</v>
      </c>
      <c r="AC20" s="48">
        <f>IF(N20="Standard",(((($Z$7*Q20)+($AD$7*R20*$T$5))/2)*$O$7*1.15),IF(N20="Severe",(((($AA$7*Q20)+($AE$7*R20*$T$5))/2)*$O$7*1.15),IF(N20="Hostile",(((($AB$7*Q20)+($AF$7*R20*$T$5))/2)*$O$7*1.15))))</f>
        <v>784795.42359260004</v>
      </c>
      <c r="AD20" s="1"/>
      <c r="AE20" s="1"/>
      <c r="AF20" s="1"/>
      <c r="AI20" s="9"/>
      <c r="AJ20" s="1"/>
      <c r="AK20" s="1"/>
      <c r="AL20" s="1"/>
      <c r="AM20" s="1"/>
      <c r="AN20" s="1"/>
      <c r="AO20" s="1"/>
      <c r="AP20" s="9"/>
      <c r="AQ20" s="3"/>
      <c r="AR20" s="4"/>
      <c r="AS20" s="1"/>
      <c r="AT20" s="1"/>
      <c r="AU20" s="1"/>
      <c r="AV20" s="1"/>
      <c r="AW20" s="1"/>
      <c r="AX20" s="3"/>
      <c r="AY20" s="3"/>
      <c r="AZ20" s="5"/>
      <c r="BA20" s="5"/>
      <c r="BB20" s="5"/>
      <c r="BC20" s="5"/>
      <c r="BD20" s="6"/>
      <c r="BE20" s="6"/>
      <c r="BF20" s="12"/>
      <c r="BG20" s="12"/>
      <c r="BH20" s="12"/>
      <c r="BI20" s="12"/>
      <c r="BJ20" s="12"/>
    </row>
    <row r="21" spans="2:62" x14ac:dyDescent="0.25">
      <c r="B21" s="1" t="s">
        <v>1180</v>
      </c>
      <c r="C21" s="1" t="s">
        <v>1227</v>
      </c>
      <c r="D21" s="1" t="s">
        <v>1190</v>
      </c>
      <c r="E21" s="1" t="s">
        <v>1228</v>
      </c>
      <c r="F21" s="1" t="s">
        <v>1229</v>
      </c>
      <c r="G21" s="1" t="s">
        <v>1202</v>
      </c>
      <c r="H21" s="1" t="s">
        <v>1203</v>
      </c>
      <c r="I21" s="7" t="s">
        <v>1187</v>
      </c>
      <c r="J21" s="44">
        <v>1</v>
      </c>
      <c r="K21" s="45">
        <v>1</v>
      </c>
      <c r="L21" s="1">
        <v>997</v>
      </c>
      <c r="M21" s="1" t="s">
        <v>1188</v>
      </c>
      <c r="N21" s="1" t="s">
        <v>1141</v>
      </c>
      <c r="O21" s="1" t="s">
        <v>1189</v>
      </c>
      <c r="P21" s="7" t="s">
        <v>1073</v>
      </c>
      <c r="Q21" s="44">
        <f>IF($L21=996,Multipliers!C$174,IF($L21=997,Multipliers!C$175,IF($L21=998,Multipliers!C$176,"NONE")))</f>
        <v>1.3</v>
      </c>
      <c r="R21" s="44">
        <f>IF($L21=996,Multipliers!C$5,IF($L21=997,Multipliers!C$6,IF($L21=998,Multipliers!C$7,"NONE")))</f>
        <v>1.34</v>
      </c>
      <c r="S21" s="46">
        <f>IF(N21="Standard",$O$5*Q21*$O$7,IF(N21="Severe",$O$4*Q21*$O$7,IF(N21="Hostile",$O$3*Q21*$O$7)))</f>
        <v>576770.33050000016</v>
      </c>
      <c r="T21" s="46">
        <f>IF(N21="Standard",$P$5*R21*$O$7,IF(N21="Severe",$P$4*R21*$O$7,IF(N21="Hostile",$P$3*R21*$O$7)))</f>
        <v>595942.1664000001</v>
      </c>
      <c r="U21" s="46">
        <f t="shared" si="6"/>
        <v>589982.74473600008</v>
      </c>
      <c r="V21" s="46">
        <f>((S21+U21)/2*1.15)</f>
        <v>670883.01826070005</v>
      </c>
      <c r="W21" s="47">
        <f t="shared" si="10"/>
        <v>670883.01826070005</v>
      </c>
      <c r="X21" s="47"/>
      <c r="Y21" s="48">
        <f>IF(N21="Standard",(((($Z$3*Q21)+($AD$3*R21*$T$5))/2)*$O$7*1.15),IF(N21="Severe",(((($AA$3*Q21)+($AE$3*R21*$T$5))/2)*$O$7*1.15),IF(N21="Hostile",(((($AB$3*Q21)+($AF$3*R21*$T$5))/2)*$O$7*1.15))))</f>
        <v>537627.23286300001</v>
      </c>
      <c r="Z21" s="48">
        <f>IF(N21="Standard",(((($Z$4*Q21)+($AD$4*R21*$T$5))/2)*$O$7*1.15),IF(N21="Severe",(((($AA$4*Q21)+($AE$4*R21*$T$5))/2)*$O$7*1.15),IF(N21="Hostile",(((($AB$4*Q21)+($AF$4*R21*$T$5))/2)*$O$7*1.15))))</f>
        <v>593892.8539060998</v>
      </c>
      <c r="AA21" s="48">
        <f>IF(N21="Standard",(((($Z$5*Q21)+($AD$5*R21*$T$5))/2)*$O$7*1.15),IF(N21="Severe",(((($AA$5*Q21)+($AE$5*R21*$T$5))/2)*$O$7*1.15),IF(N21="Hostile",(((($AB$5*Q21)+($AF$5*R21*$T$5))/2)*$O$7*1.15))))</f>
        <v>670883.01826070005</v>
      </c>
      <c r="AB21" s="48">
        <f>IF(N21="Standard",(((($Z$6*Q21)+($AD$6*R21*$T$5))/2)*$O$7*1.15),IF(N21="Severe",(((($AA$6*Q21)+($AE$6*R21*$T$5))/2)*$O$7*1.15),IF(N21="Hostile",(((($AB$6*Q21)+($AF$6*R21*$T$5))/2)*$O$7*1.15))))</f>
        <v>727154.03193440009</v>
      </c>
      <c r="AC21" s="48">
        <f>IF(N21="Standard",(((($Z$7*Q21)+($AD$7*R21*$T$5))/2)*$O$7*1.15),IF(N21="Severe",(((($AA$7*Q21)+($AE$7*R21*$T$5))/2)*$O$7*1.15),IF(N21="Hostile",(((($AB$7*Q21)+($AF$7*R21*$T$5))/2)*$O$7*1.15))))</f>
        <v>784795.42359260004</v>
      </c>
      <c r="AD21" s="1"/>
      <c r="AE21" s="1"/>
      <c r="AF21" s="1"/>
      <c r="AI21" s="9"/>
      <c r="AJ21" s="1"/>
      <c r="AK21" s="1"/>
      <c r="AL21" s="1"/>
      <c r="AM21" s="1"/>
      <c r="AN21" s="1"/>
      <c r="AO21" s="1"/>
      <c r="AP21" s="9"/>
      <c r="AQ21" s="3"/>
      <c r="AR21" s="4"/>
      <c r="AS21" s="1"/>
      <c r="AT21" s="1"/>
      <c r="AU21" s="1"/>
      <c r="AV21" s="1"/>
      <c r="AW21" s="1"/>
      <c r="AX21" s="3"/>
      <c r="AY21" s="3"/>
      <c r="AZ21" s="5"/>
      <c r="BA21" s="5"/>
      <c r="BB21" s="5"/>
      <c r="BC21" s="5"/>
      <c r="BD21" s="6"/>
      <c r="BE21" s="6"/>
      <c r="BF21" s="12"/>
      <c r="BG21" s="12"/>
      <c r="BH21" s="12"/>
      <c r="BI21" s="12"/>
      <c r="BJ21" s="12"/>
    </row>
    <row r="22" spans="2:62" x14ac:dyDescent="0.25">
      <c r="B22" s="1" t="s">
        <v>1180</v>
      </c>
      <c r="C22" s="1" t="s">
        <v>1230</v>
      </c>
      <c r="D22" s="1" t="s">
        <v>1190</v>
      </c>
      <c r="E22" s="1" t="s">
        <v>1231</v>
      </c>
      <c r="F22" s="1" t="s">
        <v>1232</v>
      </c>
      <c r="G22" s="1" t="s">
        <v>1218</v>
      </c>
      <c r="H22" s="1" t="s">
        <v>1219</v>
      </c>
      <c r="I22" s="7" t="s">
        <v>1187</v>
      </c>
      <c r="J22" s="44">
        <v>1</v>
      </c>
      <c r="K22" s="45">
        <v>1</v>
      </c>
      <c r="L22" s="1">
        <v>998</v>
      </c>
      <c r="M22" s="1" t="s">
        <v>1188</v>
      </c>
      <c r="N22" s="1" t="s">
        <v>1141</v>
      </c>
      <c r="O22" s="1" t="s">
        <v>1189</v>
      </c>
      <c r="P22" s="7" t="s">
        <v>1074</v>
      </c>
      <c r="Q22" s="44">
        <f>IF($L22=996,Multipliers!C$174,IF($L22=997,Multipliers!C$175,IF($L22=998,Multipliers!C$176,"NONE")))</f>
        <v>1.34</v>
      </c>
      <c r="R22" s="44">
        <f>IF($L22=996,Multipliers!C$5,IF($L22=997,Multipliers!C$6,IF($L22=998,Multipliers!C$7,"NONE")))</f>
        <v>1.36</v>
      </c>
      <c r="S22" s="46">
        <f t="shared" si="8"/>
        <v>594517.10990000016</v>
      </c>
      <c r="T22" s="46">
        <f t="shared" si="9"/>
        <v>604836.82559999998</v>
      </c>
      <c r="U22" s="46">
        <f t="shared" si="6"/>
        <v>598788.45734399999</v>
      </c>
      <c r="V22" s="46">
        <f>((S22+U22)/2*1.2)</f>
        <v>715983.34034640016</v>
      </c>
      <c r="W22" s="47">
        <f t="shared" si="10"/>
        <v>715983.34034640016</v>
      </c>
      <c r="X22" s="47"/>
      <c r="Y22" s="48">
        <f>IF(N22="Standard",(((($Z$3*Q22)+($AD$3*R22*$T$5))/2)*$O$7*1.2),IF(N22="Severe",(((($AA$3*Q22)+($AE$3*R22*$T$5))/2)*$O$7*1.2),IF(N22="Hostile",(((($AB$3*Q22)+($AF$3*R22*$T$5))/2)*$O$7*1.2))))</f>
        <v>573912.50187599997</v>
      </c>
      <c r="Z22" s="48">
        <f>IF(N22="Standard",(((($Z$4*Q22)+($AD$4*R22*$T$5))/2)*$O$7*1.2),IF(N22="Severe",(((($AA$4*Q22)+($AE$4*R22*$T$5))/2)*$O$7*1.2),IF(N22="Hostile",(((($AB$4*Q22)+($AF$4*R22*$T$5))/2)*$O$7*1.2))))</f>
        <v>633906.89508719998</v>
      </c>
      <c r="AA22" s="48">
        <f>IF(N22="Standard",(((($Z$5*Q22)+($AD$5*R22*$T$5))/2)*$O$7*1.2),IF(N22="Severe",(((($AA$5*Q22)+($AE$5*R22*$T$5))/2)*$O$7*1.2),IF(N22="Hostile",((($AB$5*Q22)+($AF$5*R22*$T$5))/2)*$O$7*1.2)))</f>
        <v>715983.34034640016</v>
      </c>
      <c r="AB22" s="48">
        <f>IF(N22="Standard",(((($Z$6*Q22)+($AD$6*R22*$T$5))/2)*$O$7*1.2),IF(N22="Severe",(((($AA$6*Q22)+($AE$6*R22*$T$5))/2)*$O$7*1.2),IF(N22="Hostile",((($AB$6*Q22)+($AF$6*R22*$T$5))/2)*$O$7*1.2)))</f>
        <v>775980.51116880018</v>
      </c>
      <c r="AC22" s="48">
        <f>IF(N22="Standard",((($Z$7*Q22)+($AD$7*R22*$T$5))/2)*$O$7*1.2,IF(N22="Severe",((($AA$7*Q22)+($AE$7*R22*$T$5))/2)*$O$7*1.2,IF(N22="Hostile",((($AB$7*Q22)+($AF$7*R22*$T$5))/2)*$O$7*1.2)))</f>
        <v>837476.24333520012</v>
      </c>
      <c r="AD22" s="1"/>
      <c r="AE22" s="1"/>
      <c r="AF22" s="1"/>
      <c r="AI22" s="9"/>
      <c r="AJ22" s="1"/>
      <c r="AK22" s="1"/>
      <c r="AL22" s="1"/>
      <c r="AM22" s="1"/>
      <c r="AN22" s="1"/>
      <c r="AO22" s="1"/>
      <c r="AP22" s="9"/>
      <c r="AQ22" s="3"/>
      <c r="AR22" s="4"/>
      <c r="AS22" s="1"/>
      <c r="AT22" s="1"/>
      <c r="AU22" s="1"/>
      <c r="AV22" s="1"/>
      <c r="AW22" s="1"/>
      <c r="AX22" s="3"/>
      <c r="AY22" s="3"/>
      <c r="AZ22" s="5"/>
      <c r="BA22" s="5"/>
      <c r="BB22" s="5"/>
      <c r="BC22" s="5"/>
      <c r="BD22" s="6"/>
      <c r="BE22" s="6"/>
      <c r="BF22" s="12"/>
      <c r="BG22" s="12"/>
      <c r="BH22" s="12"/>
      <c r="BI22" s="12"/>
      <c r="BJ22" s="12"/>
    </row>
    <row r="23" spans="2:62" x14ac:dyDescent="0.25">
      <c r="B23" s="1" t="s">
        <v>1180</v>
      </c>
      <c r="C23" s="1" t="s">
        <v>1233</v>
      </c>
      <c r="D23" s="1" t="s">
        <v>1190</v>
      </c>
      <c r="E23" s="1" t="s">
        <v>1234</v>
      </c>
      <c r="F23" s="1" t="s">
        <v>1235</v>
      </c>
      <c r="G23" s="1" t="s">
        <v>1236</v>
      </c>
      <c r="H23" s="1" t="s">
        <v>1237</v>
      </c>
      <c r="I23" s="7" t="s">
        <v>1187</v>
      </c>
      <c r="J23" s="44">
        <v>1</v>
      </c>
      <c r="K23" s="45">
        <v>1</v>
      </c>
      <c r="L23" s="1">
        <v>998</v>
      </c>
      <c r="M23" s="1" t="s">
        <v>1188</v>
      </c>
      <c r="N23" s="1" t="s">
        <v>1141</v>
      </c>
      <c r="O23" s="1" t="s">
        <v>1189</v>
      </c>
      <c r="P23" s="7" t="s">
        <v>1074</v>
      </c>
      <c r="Q23" s="44">
        <f>IF($L23=996,Multipliers!C$174,IF($L23=997,Multipliers!C$175,IF($L23=998,Multipliers!C$176,"NONE")))</f>
        <v>1.34</v>
      </c>
      <c r="R23" s="44">
        <f>IF($L23=996,Multipliers!C$5,IF($L23=997,Multipliers!C$6,IF($L23=998,Multipliers!C$7,"NONE")))</f>
        <v>1.36</v>
      </c>
      <c r="S23" s="46">
        <f t="shared" si="8"/>
        <v>594517.10990000016</v>
      </c>
      <c r="T23" s="46">
        <f t="shared" si="9"/>
        <v>604836.82559999998</v>
      </c>
      <c r="U23" s="46">
        <f t="shared" si="6"/>
        <v>598788.45734399999</v>
      </c>
      <c r="V23" s="46">
        <f>((S23+U23)/2*1.2)</f>
        <v>715983.34034640016</v>
      </c>
      <c r="W23" s="47">
        <f t="shared" si="10"/>
        <v>715983.34034640016</v>
      </c>
      <c r="X23" s="47"/>
      <c r="Y23" s="48">
        <f>IF(N23="Standard",(((($Z$3*Q23)+($AD$3*R23*$T$5))/2)*$O$7*1.2),IF(N23="Severe",(((($AA$3*Q23)+($AE$3*R23*$T$5))/2)*$O$7*1.2),IF(N23="Hostile",(((($AB$3*Q23)+($AF$3*R23*$T$5))/2)*$O$7*1.2))))</f>
        <v>573912.50187599997</v>
      </c>
      <c r="Z23" s="48">
        <f>IF(N23="Standard",(((($Z$4*Q23)+($AD$4*R23*$T$5))/2)*$O$7*1.2),IF(N23="Severe",(((($AA$4*Q23)+($AE$4*R23*$T$5))/2)*$O$7*1.2),IF(N23="Hostile",(((($AB$4*Q23)+($AF$4*R23*$T$5))/2)*$O$7*1.2))))</f>
        <v>633906.89508719998</v>
      </c>
      <c r="AA23" s="48">
        <f>IF(N23="Standard",(((($Z$5*Q23)+($AD$5*R23*$T$5))/2)*$O$7*1.2),IF(N23="Severe",(((($AA$5*Q23)+($AE$5*R23*$T$5))/2)*$O$7*1.2),IF(N23="Hostile",((($AB$5*Q23)+($AF$5*R23*$T$5))/2)*$O$7*1.2)))</f>
        <v>715983.34034640016</v>
      </c>
      <c r="AB23" s="48">
        <f>IF(N23="Standard",(((($Z$6*Q23)+($AD$6*R23*$T$5))/2)*$O$7*1.2),IF(N23="Severe",(((($AA$6*Q23)+($AE$6*R23*$T$5))/2)*$O$7*1.2),IF(N23="Hostile",((($AB$6*Q23)+($AF$6*R23*$T$5))/2)*$O$7*1.2)))</f>
        <v>775980.51116880018</v>
      </c>
      <c r="AC23" s="48">
        <f>IF(N23="Standard",((($Z$7*Q23)+($AD$7*R23*$T$5))/2)*$O$7*1.2,IF(N23="Severe",((($AA$7*Q23)+($AE$7*R23*$T$5))/2)*$O$7*1.2,IF(N23="Hostile",((($AB$7*Q23)+($AF$7*R23*$T$5))/2)*$O$7*1.2)))</f>
        <v>837476.24333520012</v>
      </c>
      <c r="AD23" s="1"/>
      <c r="AE23" s="1"/>
      <c r="AF23" s="1"/>
      <c r="AI23" s="9"/>
      <c r="AJ23" s="1"/>
      <c r="AK23" s="1"/>
      <c r="AL23" s="1"/>
      <c r="AM23" s="1"/>
      <c r="AN23" s="1"/>
      <c r="AO23" s="1"/>
      <c r="AP23" s="9"/>
      <c r="AQ23" s="3"/>
      <c r="AR23" s="4"/>
      <c r="AS23" s="1"/>
      <c r="AT23" s="1"/>
      <c r="AU23" s="1"/>
      <c r="AV23" s="1"/>
      <c r="AW23" s="1"/>
      <c r="AX23" s="3"/>
      <c r="AY23" s="3"/>
      <c r="AZ23" s="5"/>
      <c r="BA23" s="5"/>
      <c r="BB23" s="5"/>
      <c r="BC23" s="5"/>
      <c r="BD23" s="6"/>
      <c r="BE23" s="6"/>
      <c r="BF23" s="12"/>
      <c r="BG23" s="12"/>
      <c r="BH23" s="12"/>
      <c r="BI23" s="12"/>
      <c r="BJ23" s="12"/>
    </row>
    <row r="24" spans="2:62" x14ac:dyDescent="0.25">
      <c r="B24" s="1" t="s">
        <v>1180</v>
      </c>
      <c r="C24" s="1" t="s">
        <v>1238</v>
      </c>
      <c r="D24" s="1" t="s">
        <v>1190</v>
      </c>
      <c r="E24" s="1" t="s">
        <v>1239</v>
      </c>
      <c r="F24" s="1" t="s">
        <v>1240</v>
      </c>
      <c r="G24" s="1" t="s">
        <v>1241</v>
      </c>
      <c r="H24" s="1" t="s">
        <v>1242</v>
      </c>
      <c r="I24" s="7" t="s">
        <v>1187</v>
      </c>
      <c r="J24" s="44">
        <v>1</v>
      </c>
      <c r="K24" s="45">
        <v>1</v>
      </c>
      <c r="L24" s="1">
        <v>998</v>
      </c>
      <c r="M24" s="1" t="s">
        <v>1188</v>
      </c>
      <c r="N24" s="1" t="s">
        <v>1141</v>
      </c>
      <c r="O24" s="1" t="s">
        <v>1189</v>
      </c>
      <c r="P24" s="7" t="s">
        <v>1074</v>
      </c>
      <c r="Q24" s="44">
        <f>IF($L24=996,Multipliers!C$174,IF($L24=997,Multipliers!C$175,IF($L24=998,Multipliers!C$176,"NONE")))</f>
        <v>1.34</v>
      </c>
      <c r="R24" s="44">
        <f>IF($L24=996,Multipliers!C$5,IF($L24=997,Multipliers!C$6,IF($L24=998,Multipliers!C$7,"NONE")))</f>
        <v>1.36</v>
      </c>
      <c r="S24" s="46">
        <f t="shared" si="8"/>
        <v>594517.10990000016</v>
      </c>
      <c r="T24" s="46">
        <f t="shared" si="9"/>
        <v>604836.82559999998</v>
      </c>
      <c r="U24" s="46">
        <f t="shared" si="6"/>
        <v>598788.45734399999</v>
      </c>
      <c r="V24" s="46">
        <f>((S24+U24)/2*1.2)</f>
        <v>715983.34034640016</v>
      </c>
      <c r="W24" s="47">
        <f t="shared" si="10"/>
        <v>715983.34034640016</v>
      </c>
      <c r="X24" s="47"/>
      <c r="Y24" s="48">
        <f>IF(N24="Standard",(((($Z$3*Q24)+($AD$3*R24*$T$5))/2)*$O$7*1.2),IF(N24="Severe",(((($AA$3*Q24)+($AE$3*R24*$T$5))/2)*$O$7*1.2),IF(N24="Hostile",(((($AB$3*Q24)+($AF$3*R24*$T$5))/2)*$O$7*1.2))))</f>
        <v>573912.50187599997</v>
      </c>
      <c r="Z24" s="48">
        <f>IF(N24="Standard",(((($Z$4*Q24)+($AD$4*R24*$T$5))/2)*$O$7*1.2),IF(N24="Severe",(((($AA$4*Q24)+($AE$4*R24*$T$5))/2)*$O$7*1.2),IF(N24="Hostile",(((($AB$4*Q24)+($AF$4*R24*$T$5))/2)*$O$7*1.2))))</f>
        <v>633906.89508719998</v>
      </c>
      <c r="AA24" s="48">
        <f>IF(N24="Standard",(((($Z$5*Q24)+($AD$5*R24*$T$5))/2)*$O$7*1.2),IF(N24="Severe",(((($AA$5*Q24)+($AE$5*R24*$T$5))/2)*$O$7*1.2),IF(N24="Hostile",((($AB$5*Q24)+($AF$5*R24*$T$5))/2)*$O$7*1.2)))</f>
        <v>715983.34034640016</v>
      </c>
      <c r="AB24" s="48">
        <f>IF(N24="Standard",(((($Z$6*Q24)+($AD$6*R24*$T$5))/2)*$O$7*1.2),IF(N24="Severe",(((($AA$6*Q24)+($AE$6*R24*$T$5))/2)*$O$7*1.2),IF(N24="Hostile",((($AB$6*Q24)+($AF$6*R24*$T$5))/2)*$O$7*1.2)))</f>
        <v>775980.51116880018</v>
      </c>
      <c r="AC24" s="48">
        <f>IF(N24="Standard",((($Z$7*Q24)+($AD$7*R24*$T$5))/2)*$O$7*1.2,IF(N24="Severe",((($AA$7*Q24)+($AE$7*R24*$T$5))/2)*$O$7*1.2,IF(N24="Hostile",((($AB$7*Q24)+($AF$7*R24*$T$5))/2)*$O$7*1.2)))</f>
        <v>837476.24333520012</v>
      </c>
      <c r="AD24" s="1"/>
      <c r="AE24" s="1"/>
      <c r="AF24" s="1"/>
      <c r="AI24" s="9"/>
      <c r="AJ24" s="1"/>
      <c r="AK24" s="1"/>
      <c r="AL24" s="1"/>
      <c r="AM24" s="1"/>
      <c r="AN24" s="1"/>
      <c r="AO24" s="1"/>
      <c r="AP24" s="9"/>
      <c r="AQ24" s="3"/>
      <c r="AR24" s="4"/>
      <c r="AS24" s="1"/>
      <c r="AT24" s="1"/>
      <c r="AU24" s="1"/>
      <c r="AV24" s="1"/>
      <c r="AW24" s="1"/>
      <c r="AX24" s="3"/>
      <c r="AY24" s="3"/>
      <c r="AZ24" s="5"/>
      <c r="BA24" s="5"/>
      <c r="BB24" s="5"/>
      <c r="BC24" s="5"/>
      <c r="BD24" s="6"/>
      <c r="BE24" s="6"/>
      <c r="BF24" s="12"/>
      <c r="BG24" s="12"/>
      <c r="BH24" s="12"/>
      <c r="BI24" s="12"/>
      <c r="BJ24" s="12"/>
    </row>
    <row r="25" spans="2:62" x14ac:dyDescent="0.25">
      <c r="B25" s="1" t="s">
        <v>1180</v>
      </c>
      <c r="C25" s="1" t="s">
        <v>1243</v>
      </c>
      <c r="D25" s="1" t="s">
        <v>1190</v>
      </c>
      <c r="E25" s="1" t="s">
        <v>1244</v>
      </c>
      <c r="F25" s="1" t="s">
        <v>1245</v>
      </c>
      <c r="G25" s="1" t="s">
        <v>1202</v>
      </c>
      <c r="H25" s="1" t="s">
        <v>1203</v>
      </c>
      <c r="I25" s="7" t="s">
        <v>1187</v>
      </c>
      <c r="J25" s="44">
        <v>1</v>
      </c>
      <c r="K25" s="45">
        <v>1</v>
      </c>
      <c r="L25" s="1">
        <v>997</v>
      </c>
      <c r="M25" s="1" t="s">
        <v>1188</v>
      </c>
      <c r="N25" s="1" t="s">
        <v>1141</v>
      </c>
      <c r="O25" s="1" t="s">
        <v>1189</v>
      </c>
      <c r="P25" s="7" t="s">
        <v>1073</v>
      </c>
      <c r="Q25" s="44">
        <f>IF($L25=996,Multipliers!C$174,IF($L25=997,Multipliers!C$175,IF($L25=998,Multipliers!C$176,"NONE")))</f>
        <v>1.3</v>
      </c>
      <c r="R25" s="44">
        <f>IF($L25=996,Multipliers!C$5,IF($L25=997,Multipliers!C$6,IF($L25=998,Multipliers!C$7,"NONE")))</f>
        <v>1.34</v>
      </c>
      <c r="S25" s="46">
        <f t="shared" si="8"/>
        <v>576770.33050000016</v>
      </c>
      <c r="T25" s="46">
        <f t="shared" si="9"/>
        <v>595942.1664000001</v>
      </c>
      <c r="U25" s="46">
        <f t="shared" si="6"/>
        <v>589982.74473600008</v>
      </c>
      <c r="V25" s="46">
        <f>((S25+U25)/2*1.15)</f>
        <v>670883.01826070005</v>
      </c>
      <c r="W25" s="47">
        <f t="shared" si="10"/>
        <v>670883.01826070005</v>
      </c>
      <c r="X25" s="47"/>
      <c r="Y25" s="48">
        <f>IF(N25="Standard",(((($Z$3*Q25)+($AD$3*R25*$T$5))/2)*$O$7*1.15),IF(N25="Severe",(((($AA$3*Q25)+($AE$3*R25*$T$5))/2)*$O$7*1.15),IF(N25="Hostile",(((($AB$3*Q25)+($AF$3*R25*$T$5))/2)*$O$7*1.15))))</f>
        <v>537627.23286300001</v>
      </c>
      <c r="Z25" s="48">
        <f>IF(N25="Standard",(((($Z$4*Q25)+($AD$4*R25*$T$5))/2)*$O$7*1.15),IF(N25="Severe",(((($AA$4*Q25)+($AE$4*R25*$T$5))/2)*$O$7*1.15),IF(N25="Hostile",(((($AB$4*Q25)+($AF$4*R25*$T$5))/2)*$O$7*1.15))))</f>
        <v>593892.8539060998</v>
      </c>
      <c r="AA25" s="48">
        <f>IF(N25="Standard",(((($Z$5*Q25)+($AD$5*R25*$T$5))/2)*$O$7*1.15),IF(N25="Severe",(((($AA$5*Q25)+($AE$5*R25*$T$5))/2)*$O$7*1.15),IF(N25="Hostile",(((($AB$5*Q25)+($AF$5*R25*$T$5))/2)*$O$7*1.15))))</f>
        <v>670883.01826070005</v>
      </c>
      <c r="AB25" s="48">
        <f>IF(N25="Standard",(((($Z$6*Q25)+($AD$6*R25*$T$5))/2)*$O$7*1.15),IF(N25="Severe",(((($AA$6*Q25)+($AE$6*R25*$T$5))/2)*$O$7*1.15),IF(N25="Hostile",(((($AB$6*Q25)+($AF$6*R25*$T$5))/2)*$O$7*1.15))))</f>
        <v>727154.03193440009</v>
      </c>
      <c r="AC25" s="48">
        <f>IF(N25="Standard",(((($Z$7*Q25)+($AD$7*R25*$T$5))/2)*$O$7*1.15),IF(N25="Severe",(((($AA$7*Q25)+($AE$7*R25*$T$5))/2)*$O$7*1.15),IF(N25="Hostile",(((($AB$7*Q25)+($AF$7*R25*$T$5))/2)*$O$7*1.15))))</f>
        <v>784795.42359260004</v>
      </c>
      <c r="AD25" s="1"/>
      <c r="AE25" s="1"/>
      <c r="AF25" s="1"/>
      <c r="AI25" s="9"/>
      <c r="AJ25" s="1"/>
      <c r="AK25" s="1"/>
      <c r="AL25" s="1"/>
      <c r="AM25" s="1"/>
      <c r="AN25" s="1"/>
      <c r="AO25" s="1"/>
      <c r="AP25" s="9"/>
      <c r="AQ25" s="3"/>
      <c r="AR25" s="4"/>
      <c r="AS25" s="1"/>
      <c r="AT25" s="1"/>
      <c r="AU25" s="1"/>
      <c r="AV25" s="1"/>
      <c r="AW25" s="1"/>
      <c r="AX25" s="3"/>
      <c r="AY25" s="3"/>
      <c r="AZ25" s="5"/>
      <c r="BA25" s="5"/>
      <c r="BB25" s="5"/>
      <c r="BC25" s="5"/>
      <c r="BD25" s="6"/>
      <c r="BE25" s="6"/>
      <c r="BF25" s="12"/>
      <c r="BG25" s="12"/>
      <c r="BH25" s="12"/>
      <c r="BI25" s="12"/>
      <c r="BJ25" s="12"/>
    </row>
    <row r="26" spans="2:62" x14ac:dyDescent="0.25">
      <c r="B26" s="1" t="s">
        <v>1180</v>
      </c>
      <c r="C26" s="1" t="s">
        <v>1246</v>
      </c>
      <c r="D26" s="1" t="s">
        <v>1190</v>
      </c>
      <c r="E26" s="1" t="s">
        <v>1247</v>
      </c>
      <c r="F26" s="1" t="s">
        <v>1248</v>
      </c>
      <c r="G26" s="1" t="s">
        <v>1249</v>
      </c>
      <c r="H26" s="1" t="s">
        <v>1250</v>
      </c>
      <c r="I26" s="7" t="s">
        <v>1187</v>
      </c>
      <c r="J26" s="44">
        <v>1</v>
      </c>
      <c r="K26" s="45">
        <v>1</v>
      </c>
      <c r="L26" s="1">
        <v>996</v>
      </c>
      <c r="M26" s="1" t="s">
        <v>1188</v>
      </c>
      <c r="N26" s="1" t="s">
        <v>1141</v>
      </c>
      <c r="O26" s="1" t="s">
        <v>1189</v>
      </c>
      <c r="P26" s="1" t="s">
        <v>1190</v>
      </c>
      <c r="Q26" s="44">
        <f>IF($L26=996,Multipliers!C$174,IF($L26=997,Multipliers!C$175,IF($L26=998,Multipliers!C$176,"NONE")))</f>
        <v>1.29</v>
      </c>
      <c r="R26" s="44">
        <f>IF($L26=996,Multipliers!C$5,IF($L26=997,Multipliers!C$6,IF($L26=998,Multipliers!C$7,"NONE")))</f>
        <v>1.34</v>
      </c>
      <c r="S26" s="46">
        <f t="shared" si="8"/>
        <v>572333.63565000007</v>
      </c>
      <c r="T26" s="46">
        <f t="shared" si="9"/>
        <v>595942.1664000001</v>
      </c>
      <c r="U26" s="46">
        <f t="shared" si="6"/>
        <v>589982.74473600008</v>
      </c>
      <c r="V26" s="46">
        <f>(S26+U26)/2</f>
        <v>581158.19019300002</v>
      </c>
      <c r="W26" s="47">
        <f t="shared" si="10"/>
        <v>581158.19019300002</v>
      </c>
      <c r="X26" s="47"/>
      <c r="Y26" s="48">
        <f>IF(N26="Standard",(((($Z$3*Q26)+($AD$3*R26*$T$5))/2)*$O$7),IF(N26="Severe",(((($AA$3*Q26)+($AE$3*R26*$T$5))/2)*$O$7),IF(N26="Hostile",(((($AB$3*Q26)+($AF$3*R26*$T$5))/2)*$O$7))))</f>
        <v>465666.31849500001</v>
      </c>
      <c r="Z26" s="48">
        <f>IF(N26="Standard",(((($Z$4*Q26)+($AD$4*R26*$T$5))/2)*$O$7),IF(N26="Severe",(((($AA$4*Q26)+($AE$4*R26*$T$5))/2)*$O$7),IF(N26="Hostile",(((($AB$4*Q26)+($AF$4*R26*$T$5))/2)*$O$7))))</f>
        <v>514428.62433899997</v>
      </c>
      <c r="AA26" s="48">
        <f>IF(N26="Standard",((($Z$5*Q26)+($AD$5*R26*$T$5))/2)*$O$7,IF(N26="Severe",((($AA$5*Q26)+($AE$5*R26*$T$5))/2)*$O$7,IF(N26="Hostile",((($AB$5*Q26)+($AF$5*R26*$T$5))/2)*$O$7)))</f>
        <v>581158.19019300013</v>
      </c>
      <c r="AB26" s="48">
        <f>IF(N26="Standard",((($Z$6*Q26)+($AD$6*R26*$T$5))/2)*$O$7,IF(N26="Severe",((($AA$6*Q26)+($AE$6*R26*$T$5))/2)*$O$7,IF(N26="Hostile",((($AB$6*Q26)+($AF$6*R26*$T$5))/2)*$O$7)))</f>
        <v>629926.37213100016</v>
      </c>
      <c r="AC26" s="48">
        <f>IF(N26="Standard",((($Z$7*Q26)+($AD$7*R26*$T$5))/2)*$O$7,IF(N26="Severe",((($AA$7*Q26)+($AE$7*R26*$T$5))/2)*$O$7,IF(N26="Hostile",((($AB$7*Q26)+($AF$7*R26*$T$5))/2)*$O$7)))</f>
        <v>679867.06659900001</v>
      </c>
      <c r="AD26" s="1"/>
      <c r="AE26" s="1"/>
      <c r="AF26" s="1"/>
      <c r="AI26" s="9"/>
      <c r="AJ26" s="1"/>
      <c r="AK26" s="1"/>
      <c r="AL26" s="1"/>
      <c r="AM26" s="1"/>
      <c r="AN26" s="1"/>
      <c r="AO26" s="1"/>
      <c r="AP26" s="9"/>
      <c r="AQ26" s="3"/>
      <c r="AR26" s="4"/>
      <c r="AS26" s="1"/>
      <c r="AT26" s="1"/>
      <c r="AU26" s="1"/>
      <c r="AV26" s="1"/>
      <c r="AW26" s="1"/>
      <c r="AX26" s="3"/>
      <c r="AY26" s="3"/>
      <c r="AZ26" s="5"/>
      <c r="BA26" s="5"/>
      <c r="BB26" s="5"/>
      <c r="BC26" s="5"/>
      <c r="BD26" s="6"/>
      <c r="BE26" s="6"/>
      <c r="BF26" s="12"/>
      <c r="BG26" s="12"/>
      <c r="BH26" s="12"/>
      <c r="BI26" s="12"/>
      <c r="BJ26" s="12"/>
    </row>
    <row r="27" spans="2:62" x14ac:dyDescent="0.25">
      <c r="B27" s="1" t="s">
        <v>1180</v>
      </c>
      <c r="C27" s="1" t="s">
        <v>1251</v>
      </c>
      <c r="D27" s="1" t="s">
        <v>1190</v>
      </c>
      <c r="E27" s="1" t="s">
        <v>1252</v>
      </c>
      <c r="F27" s="1" t="s">
        <v>1253</v>
      </c>
      <c r="G27" s="1" t="s">
        <v>1202</v>
      </c>
      <c r="H27" s="1" t="s">
        <v>1203</v>
      </c>
      <c r="I27" s="7" t="s">
        <v>1187</v>
      </c>
      <c r="J27" s="44">
        <v>1</v>
      </c>
      <c r="K27" s="45">
        <v>1</v>
      </c>
      <c r="L27" s="1">
        <v>997</v>
      </c>
      <c r="M27" s="1" t="s">
        <v>1188</v>
      </c>
      <c r="N27" s="1" t="s">
        <v>1141</v>
      </c>
      <c r="O27" s="1" t="s">
        <v>1189</v>
      </c>
      <c r="P27" s="7" t="s">
        <v>1073</v>
      </c>
      <c r="Q27" s="44">
        <f>IF($L27=996,Multipliers!C$174,IF($L27=997,Multipliers!C$175,IF($L27=998,Multipliers!C$176,"NONE")))</f>
        <v>1.3</v>
      </c>
      <c r="R27" s="44">
        <f>IF($L27=996,Multipliers!C$5,IF($L27=997,Multipliers!C$6,IF($L27=998,Multipliers!C$7,"NONE")))</f>
        <v>1.34</v>
      </c>
      <c r="S27" s="46">
        <f t="shared" si="8"/>
        <v>576770.33050000016</v>
      </c>
      <c r="T27" s="46">
        <f t="shared" si="9"/>
        <v>595942.1664000001</v>
      </c>
      <c r="U27" s="46">
        <f t="shared" si="6"/>
        <v>589982.74473600008</v>
      </c>
      <c r="V27" s="46">
        <f>((S27+U27)/2*1.15)</f>
        <v>670883.01826070005</v>
      </c>
      <c r="W27" s="47">
        <f t="shared" si="10"/>
        <v>670883.01826070005</v>
      </c>
      <c r="X27" s="47"/>
      <c r="Y27" s="48">
        <f>IF(N27="Standard",(((($Z$3*Q27)+($AD$3*R27*$T$5))/2)*$O$7*1.15),IF(N27="Severe",(((($AA$3*Q27)+($AE$3*R27*$T$5))/2)*$O$7*1.15),IF(N27="Hostile",(((($AB$3*Q27)+($AF$3*R27*$T$5))/2)*$O$7*1.15))))</f>
        <v>537627.23286300001</v>
      </c>
      <c r="Z27" s="48">
        <f>IF(N27="Standard",(((($Z$4*Q27)+($AD$4*R27*$T$5))/2)*$O$7*1.15),IF(N27="Severe",(((($AA$4*Q27)+($AE$4*R27*$T$5))/2)*$O$7*1.15),IF(N27="Hostile",(((($AB$4*Q27)+($AF$4*R27*$T$5))/2)*$O$7*1.15))))</f>
        <v>593892.8539060998</v>
      </c>
      <c r="AA27" s="48">
        <f>IF(N27="Standard",(((($Z$5*Q27)+($AD$5*R27*$T$5))/2)*$O$7*1.15),IF(N27="Severe",(((($AA$5*Q27)+($AE$5*R27*$T$5))/2)*$O$7*1.15),IF(N27="Hostile",(((($AB$5*Q27)+($AF$5*R27*$T$5))/2)*$O$7*1.15))))</f>
        <v>670883.01826070005</v>
      </c>
      <c r="AB27" s="48">
        <f>IF(N27="Standard",(((($Z$6*Q27)+($AD$6*R27*$T$5))/2)*$O$7*1.15),IF(N27="Severe",(((($AA$6*Q27)+($AE$6*R27*$T$5))/2)*$O$7*1.15),IF(N27="Hostile",(((($AB$6*Q27)+($AF$6*R27*$T$5))/2)*$O$7*1.15))))</f>
        <v>727154.03193440009</v>
      </c>
      <c r="AC27" s="48">
        <f>IF(N27="Standard",(((($Z$7*Q27)+($AD$7*R27*$T$5))/2)*$O$7*1.15),IF(N27="Severe",(((($AA$7*Q27)+($AE$7*R27*$T$5))/2)*$O$7*1.15),IF(N27="Hostile",(((($AB$7*Q27)+($AF$7*R27*$T$5))/2)*$O$7*1.15))))</f>
        <v>784795.42359260004</v>
      </c>
      <c r="AD27" s="1"/>
      <c r="AE27" s="1"/>
      <c r="AF27" s="1"/>
      <c r="AI27" s="9"/>
      <c r="AJ27" s="1"/>
      <c r="AK27" s="1"/>
      <c r="AL27" s="1"/>
      <c r="AM27" s="1"/>
      <c r="AN27" s="1"/>
      <c r="AO27" s="1"/>
      <c r="AP27" s="9"/>
      <c r="AQ27" s="3"/>
      <c r="AR27" s="4"/>
      <c r="AS27" s="1"/>
      <c r="AT27" s="1"/>
      <c r="AU27" s="1"/>
      <c r="AV27" s="1"/>
      <c r="AW27" s="1"/>
      <c r="AX27" s="3"/>
      <c r="AY27" s="3"/>
      <c r="AZ27" s="5"/>
      <c r="BA27" s="5"/>
      <c r="BB27" s="5"/>
      <c r="BC27" s="5"/>
      <c r="BD27" s="6"/>
      <c r="BE27" s="6"/>
      <c r="BF27" s="12"/>
      <c r="BG27" s="12"/>
      <c r="BH27" s="12"/>
      <c r="BI27" s="12"/>
      <c r="BJ27" s="12"/>
    </row>
    <row r="28" spans="2:62" x14ac:dyDescent="0.25">
      <c r="B28" s="1" t="s">
        <v>1180</v>
      </c>
      <c r="C28" s="1" t="s">
        <v>1254</v>
      </c>
      <c r="D28" s="1" t="s">
        <v>1190</v>
      </c>
      <c r="E28" s="1" t="s">
        <v>1255</v>
      </c>
      <c r="F28" s="1" t="s">
        <v>1256</v>
      </c>
      <c r="G28" s="1" t="s">
        <v>1257</v>
      </c>
      <c r="H28" s="1" t="s">
        <v>1258</v>
      </c>
      <c r="I28" s="7" t="s">
        <v>1187</v>
      </c>
      <c r="J28" s="44">
        <v>1</v>
      </c>
      <c r="K28" s="45">
        <v>1</v>
      </c>
      <c r="L28" s="1">
        <v>996</v>
      </c>
      <c r="M28" s="1" t="s">
        <v>1188</v>
      </c>
      <c r="N28" s="1" t="s">
        <v>1141</v>
      </c>
      <c r="O28" s="1" t="s">
        <v>1189</v>
      </c>
      <c r="P28" s="1" t="s">
        <v>1190</v>
      </c>
      <c r="Q28" s="44">
        <f>IF($L28=996,Multipliers!C$174,IF($L28=997,Multipliers!C$175,IF($L28=998,Multipliers!C$176,"NONE")))</f>
        <v>1.29</v>
      </c>
      <c r="R28" s="44">
        <f>IF($L28=996,Multipliers!C$5,IF($L28=997,Multipliers!C$6,IF($L28=998,Multipliers!C$7,"NONE")))</f>
        <v>1.34</v>
      </c>
      <c r="S28" s="46">
        <f>IF(N28="Standard",$O$5*Q28*$O$7,IF(N28="Severe",$O$4*Q28*$O$7,IF(N28="Hostile",$O$3*Q28*$O$7)))</f>
        <v>572333.63565000007</v>
      </c>
      <c r="T28" s="46">
        <f>IF(N28="Standard",$P$5*R28*$O$7,IF(N28="Severe",$P$4*R28*$O$7,IF(N28="Hostile",$P$3*R28*$O$7)))</f>
        <v>595942.1664000001</v>
      </c>
      <c r="U28" s="46">
        <f t="shared" ref="U28:U45" si="11">IF(O28="E",$T$3*T28,IF(O28="C",$T$4*T28,IF(O28="W",$T$5*T28,1)))</f>
        <v>589982.74473600008</v>
      </c>
      <c r="V28" s="46">
        <f>(S28+U28)/2</f>
        <v>581158.19019300002</v>
      </c>
      <c r="W28" s="47">
        <f t="shared" si="10"/>
        <v>581158.19019300002</v>
      </c>
      <c r="X28" s="47"/>
      <c r="Y28" s="48">
        <f>IF(N28="Standard",(((($Z$3*Q28)+($AD$3*R28*$T$5))/2)*$O$7),IF(N28="Severe",(((($AA$3*Q28)+($AE$3*R28*$T$5))/2)*$O$7),IF(N28="Hostile",(((($AB$3*Q28)+($AF$3*R28*$T$5))/2)*$O$7))))</f>
        <v>465666.31849500001</v>
      </c>
      <c r="Z28" s="48">
        <f>IF(N28="Standard",(((($Z$4*Q28)+($AD$4*R28*$T$5))/2)*$O$7),IF(N28="Severe",(((($AA$4*Q28)+($AE$4*R28*$T$5))/2)*$O$7),IF(N28="Hostile",(((($AB$4*Q28)+($AF$4*R28*$T$5))/2)*$O$7))))</f>
        <v>514428.62433899997</v>
      </c>
      <c r="AA28" s="48">
        <f>IF(N28="Standard",((($Z$5*Q28)+($AD$5*R28*$T$5))/2)*$O$7,IF(N28="Severe",((($AA$5*Q28)+($AE$5*R28*$T$5))/2)*$O$7,IF(N28="Hostile",((($AB$5*Q28)+($AF$5*R28*$T$5))/2)*$O$7)))</f>
        <v>581158.19019300013</v>
      </c>
      <c r="AB28" s="48">
        <f>IF(N28="Standard",((($Z$6*Q28)+($AD$6*R28*$T$5))/2)*$O$7,IF(N28="Severe",((($AA$6*Q28)+($AE$6*R28*$T$5))/2)*$O$7,IF(N28="Hostile",((($AB$6*Q28)+($AF$6*R28*$T$5))/2)*$O$7)))</f>
        <v>629926.37213100016</v>
      </c>
      <c r="AC28" s="48">
        <f>IF(N28="Standard",((($Z$7*Q28)+($AD$7*R28*$T$5))/2)*$O$7,IF(N28="Severe",((($AA$7*Q28)+($AE$7*R28*$T$5))/2)*$O$7,IF(N28="Hostile",((($AB$7*Q28)+($AF$7*R28*$T$5))/2)*$O$7)))</f>
        <v>679867.06659900001</v>
      </c>
      <c r="AD28" s="1"/>
      <c r="AE28" s="1"/>
      <c r="AF28" s="1"/>
      <c r="AI28" s="9"/>
      <c r="AJ28" s="1"/>
      <c r="AK28" s="1"/>
      <c r="AL28" s="1"/>
      <c r="AM28" s="1"/>
      <c r="AN28" s="1"/>
      <c r="AO28" s="1"/>
      <c r="AP28" s="9"/>
      <c r="AQ28" s="3"/>
      <c r="AR28" s="4"/>
      <c r="AS28" s="1"/>
      <c r="AT28" s="1"/>
      <c r="AU28" s="1"/>
      <c r="AV28" s="1"/>
      <c r="AW28" s="1"/>
      <c r="AX28" s="3"/>
      <c r="AY28" s="3"/>
      <c r="AZ28" s="5"/>
      <c r="BA28" s="5"/>
      <c r="BB28" s="5"/>
      <c r="BC28" s="5"/>
      <c r="BD28" s="6"/>
      <c r="BE28" s="6"/>
      <c r="BF28" s="12"/>
      <c r="BG28" s="12"/>
      <c r="BH28" s="12"/>
      <c r="BI28" s="12"/>
      <c r="BJ28" s="12"/>
    </row>
    <row r="29" spans="2:62" x14ac:dyDescent="0.25">
      <c r="B29" s="1" t="s">
        <v>1180</v>
      </c>
      <c r="C29" s="1" t="s">
        <v>1259</v>
      </c>
      <c r="D29" s="1" t="s">
        <v>1190</v>
      </c>
      <c r="E29" s="1" t="s">
        <v>1260</v>
      </c>
      <c r="F29" s="1" t="s">
        <v>1261</v>
      </c>
      <c r="G29" s="1" t="s">
        <v>1218</v>
      </c>
      <c r="H29" s="1" t="s">
        <v>1219</v>
      </c>
      <c r="I29" s="7" t="s">
        <v>1187</v>
      </c>
      <c r="J29" s="44">
        <v>1</v>
      </c>
      <c r="K29" s="45">
        <v>1</v>
      </c>
      <c r="L29" s="1">
        <v>997</v>
      </c>
      <c r="M29" s="1" t="s">
        <v>1188</v>
      </c>
      <c r="N29" s="1" t="s">
        <v>1141</v>
      </c>
      <c r="O29" s="1" t="s">
        <v>1189</v>
      </c>
      <c r="P29" s="7" t="s">
        <v>1073</v>
      </c>
      <c r="Q29" s="44">
        <f>IF($L29=996,Multipliers!C$174,IF($L29=997,Multipliers!C$175,IF($L29=998,Multipliers!C$176,"NONE")))</f>
        <v>1.3</v>
      </c>
      <c r="R29" s="44">
        <f>IF($L29=996,Multipliers!C$5,IF($L29=997,Multipliers!C$6,IF($L29=998,Multipliers!C$7,"NONE")))</f>
        <v>1.34</v>
      </c>
      <c r="S29" s="46">
        <f t="shared" si="8"/>
        <v>576770.33050000016</v>
      </c>
      <c r="T29" s="46">
        <f t="shared" si="9"/>
        <v>595942.1664000001</v>
      </c>
      <c r="U29" s="46">
        <f t="shared" si="11"/>
        <v>589982.74473600008</v>
      </c>
      <c r="V29" s="46">
        <f>((S29+U29)/2*1.15)</f>
        <v>670883.01826070005</v>
      </c>
      <c r="W29" s="47">
        <f t="shared" si="10"/>
        <v>670883.01826070005</v>
      </c>
      <c r="X29" s="47"/>
      <c r="Y29" s="48">
        <f>IF(N29="Standard",(((($Z$3*Q29)+($AD$3*R29*$T$5))/2)*$O$7*1.15),IF(N29="Severe",(((($AA$3*Q29)+($AE$3*R29*$T$5))/2)*$O$7*1.15),IF(N29="Hostile",(((($AB$3*Q29)+($AF$3*R29*$T$5))/2)*$O$7*1.15))))</f>
        <v>537627.23286300001</v>
      </c>
      <c r="Z29" s="48">
        <f>IF(N29="Standard",(((($Z$4*Q29)+($AD$4*R29*$T$5))/2)*$O$7*1.15),IF(N29="Severe",(((($AA$4*Q29)+($AE$4*R29*$T$5))/2)*$O$7*1.15),IF(N29="Hostile",(((($AB$4*Q29)+($AF$4*R29*$T$5))/2)*$O$7*1.15))))</f>
        <v>593892.8539060998</v>
      </c>
      <c r="AA29" s="48">
        <f>IF(N29="Standard",(((($Z$5*Q29)+($AD$5*R29*$T$5))/2)*$O$7*1.15),IF(N29="Severe",(((($AA$5*Q29)+($AE$5*R29*$T$5))/2)*$O$7*1.15),IF(N29="Hostile",(((($AB$5*Q29)+($AF$5*R29*$T$5))/2)*$O$7*1.15))))</f>
        <v>670883.01826070005</v>
      </c>
      <c r="AB29" s="48">
        <f>IF(N29="Standard",(((($Z$6*Q29)+($AD$6*R29*$T$5))/2)*$O$7*1.15),IF(N29="Severe",(((($AA$6*Q29)+($AE$6*R29*$T$5))/2)*$O$7*1.15),IF(N29="Hostile",(((($AB$6*Q29)+($AF$6*R29*$T$5))/2)*$O$7*1.15))))</f>
        <v>727154.03193440009</v>
      </c>
      <c r="AC29" s="48">
        <f>IF(N29="Standard",(((($Z$7*Q29)+($AD$7*R29*$T$5))/2)*$O$7*1.15),IF(N29="Severe",(((($AA$7*Q29)+($AE$7*R29*$T$5))/2)*$O$7*1.15),IF(N29="Hostile",(((($AB$7*Q29)+($AF$7*R29*$T$5))/2)*$O$7*1.15))))</f>
        <v>784795.42359260004</v>
      </c>
      <c r="AD29" s="1"/>
      <c r="AE29" s="1"/>
      <c r="AF29" s="1"/>
      <c r="AI29" s="9"/>
      <c r="AJ29" s="1"/>
      <c r="AK29" s="1"/>
      <c r="AL29" s="1"/>
      <c r="AM29" s="1"/>
      <c r="AN29" s="1"/>
      <c r="AO29" s="1"/>
      <c r="AP29" s="9"/>
      <c r="AQ29" s="3"/>
      <c r="AR29" s="4"/>
      <c r="AS29" s="1"/>
      <c r="AT29" s="1"/>
      <c r="AU29" s="1"/>
      <c r="AV29" s="1"/>
      <c r="AW29" s="1"/>
      <c r="AX29" s="3"/>
      <c r="AY29" s="3"/>
      <c r="AZ29" s="5"/>
      <c r="BA29" s="5"/>
      <c r="BB29" s="5"/>
      <c r="BC29" s="5"/>
      <c r="BD29" s="6"/>
      <c r="BE29" s="6"/>
      <c r="BF29" s="12"/>
      <c r="BG29" s="12"/>
      <c r="BH29" s="12"/>
      <c r="BI29" s="12"/>
      <c r="BJ29" s="12"/>
    </row>
    <row r="30" spans="2:62" x14ac:dyDescent="0.25">
      <c r="B30" s="1" t="s">
        <v>1180</v>
      </c>
      <c r="C30" s="1" t="s">
        <v>1262</v>
      </c>
      <c r="D30" s="1" t="s">
        <v>1190</v>
      </c>
      <c r="E30" s="1" t="s">
        <v>1263</v>
      </c>
      <c r="F30" s="1" t="s">
        <v>1264</v>
      </c>
      <c r="G30" s="1" t="s">
        <v>1218</v>
      </c>
      <c r="H30" s="1" t="s">
        <v>1219</v>
      </c>
      <c r="I30" s="7" t="s">
        <v>1187</v>
      </c>
      <c r="J30" s="44">
        <v>1</v>
      </c>
      <c r="K30" s="45">
        <v>1</v>
      </c>
      <c r="L30" s="1">
        <v>998</v>
      </c>
      <c r="M30" s="1" t="s">
        <v>1188</v>
      </c>
      <c r="N30" s="1" t="s">
        <v>1141</v>
      </c>
      <c r="O30" s="1" t="s">
        <v>1189</v>
      </c>
      <c r="P30" s="7" t="s">
        <v>1074</v>
      </c>
      <c r="Q30" s="44">
        <f>IF($L30=996,Multipliers!C$174,IF($L30=997,Multipliers!C$175,IF($L30=998,Multipliers!C$176,"NONE")))</f>
        <v>1.34</v>
      </c>
      <c r="R30" s="44">
        <f>IF($L30=996,Multipliers!C$5,IF($L30=997,Multipliers!C$6,IF($L30=998,Multipliers!C$7,"NONE")))</f>
        <v>1.36</v>
      </c>
      <c r="S30" s="46">
        <f t="shared" si="8"/>
        <v>594517.10990000016</v>
      </c>
      <c r="T30" s="46">
        <f t="shared" si="9"/>
        <v>604836.82559999998</v>
      </c>
      <c r="U30" s="46">
        <f t="shared" si="11"/>
        <v>598788.45734399999</v>
      </c>
      <c r="V30" s="46">
        <f>((S30+U30)/2*1.2)</f>
        <v>715983.34034640016</v>
      </c>
      <c r="W30" s="47">
        <f t="shared" si="10"/>
        <v>715983.34034640016</v>
      </c>
      <c r="X30" s="47"/>
      <c r="Y30" s="48">
        <f>IF(N30="Standard",(((($Z$3*Q30)+($AD$3*R30*$T$5))/2)*$O$7*1.2),IF(N30="Severe",(((($AA$3*Q30)+($AE$3*R30*$T$5))/2)*$O$7*1.2),IF(N30="Hostile",(((($AB$3*Q30)+($AF$3*R30*$T$5))/2)*$O$7*1.2))))</f>
        <v>573912.50187599997</v>
      </c>
      <c r="Z30" s="48">
        <f>IF(N30="Standard",(((($Z$4*Q30)+($AD$4*R30*$T$5))/2)*$O$7*1.2),IF(N30="Severe",(((($AA$4*Q30)+($AE$4*R30*$T$5))/2)*$O$7*1.2),IF(N30="Hostile",(((($AB$4*Q30)+($AF$4*R30*$T$5))/2)*$O$7*1.2))))</f>
        <v>633906.89508719998</v>
      </c>
      <c r="AA30" s="48">
        <f>IF(N30="Standard",(((($Z$5*Q30)+($AD$5*R30*$T$5))/2)*$O$7*1.2),IF(N30="Severe",(((($AA$5*Q30)+($AE$5*R30*$T$5))/2)*$O$7*1.2),IF(N30="Hostile",((($AB$5*Q30)+($AF$5*R30*$T$5))/2)*$O$7*1.2)))</f>
        <v>715983.34034640016</v>
      </c>
      <c r="AB30" s="48">
        <f>IF(N30="Standard",(((($Z$6*Q30)+($AD$6*R30*$T$5))/2)*$O$7*1.2),IF(N30="Severe",(((($AA$6*Q30)+($AE$6*R30*$T$5))/2)*$O$7*1.2),IF(N30="Hostile",((($AB$6*Q30)+($AF$6*R30*$T$5))/2)*$O$7*1.2)))</f>
        <v>775980.51116880018</v>
      </c>
      <c r="AC30" s="48">
        <f>IF(N30="Standard",((($Z$7*Q30)+($AD$7*R30*$T$5))/2)*$O$7*1.2,IF(N30="Severe",((($AA$7*Q30)+($AE$7*R30*$T$5))/2)*$O$7*1.2,IF(N30="Hostile",((($AB$7*Q30)+($AF$7*R30*$T$5))/2)*$O$7*1.2)))</f>
        <v>837476.24333520012</v>
      </c>
      <c r="AD30" s="1"/>
      <c r="AE30" s="1"/>
      <c r="AF30" s="1"/>
      <c r="AI30" s="9"/>
      <c r="AJ30" s="1"/>
      <c r="AK30" s="1"/>
      <c r="AL30" s="1"/>
      <c r="AM30" s="1"/>
      <c r="AN30" s="1"/>
      <c r="AO30" s="1"/>
      <c r="AP30" s="9"/>
      <c r="AQ30" s="3"/>
      <c r="AR30" s="4"/>
      <c r="AS30" s="1"/>
      <c r="AT30" s="1"/>
      <c r="AU30" s="1"/>
      <c r="AV30" s="1"/>
      <c r="AW30" s="1"/>
      <c r="AX30" s="3"/>
      <c r="AY30" s="3"/>
      <c r="AZ30" s="5"/>
      <c r="BA30" s="5"/>
      <c r="BB30" s="5"/>
      <c r="BC30" s="5"/>
      <c r="BD30" s="6"/>
      <c r="BE30" s="6"/>
      <c r="BF30" s="12"/>
      <c r="BG30" s="12"/>
      <c r="BH30" s="12"/>
      <c r="BI30" s="12"/>
      <c r="BJ30" s="12"/>
    </row>
    <row r="31" spans="2:62" x14ac:dyDescent="0.25">
      <c r="B31" s="1" t="s">
        <v>1180</v>
      </c>
      <c r="C31" s="1"/>
      <c r="D31" s="1"/>
      <c r="E31" s="1"/>
      <c r="F31" s="84" t="s">
        <v>2648</v>
      </c>
      <c r="G31" s="84" t="s">
        <v>1241</v>
      </c>
      <c r="H31" s="84" t="s">
        <v>1242</v>
      </c>
      <c r="I31" s="7" t="s">
        <v>1187</v>
      </c>
      <c r="J31" s="44">
        <v>1</v>
      </c>
      <c r="K31" s="45">
        <v>1</v>
      </c>
      <c r="L31" s="1">
        <v>998</v>
      </c>
      <c r="M31" s="1" t="s">
        <v>1188</v>
      </c>
      <c r="N31" s="1" t="s">
        <v>1141</v>
      </c>
      <c r="O31" s="1" t="s">
        <v>1189</v>
      </c>
      <c r="P31" s="7" t="s">
        <v>1074</v>
      </c>
      <c r="Q31" s="44">
        <f>IF($L31=996,Multipliers!C$174,IF($L31=997,Multipliers!C$175,IF($L31=998,Multipliers!C$176,"NONE")))</f>
        <v>1.34</v>
      </c>
      <c r="R31" s="44">
        <f>IF($L31=996,Multipliers!C$5,IF($L31=997,Multipliers!C$6,IF($L31=998,Multipliers!C$7,"NONE")))</f>
        <v>1.36</v>
      </c>
      <c r="S31" s="46">
        <f>IF(N31="Standard",$O$5*Q31*$O$7,IF(N31="Severe",$O$4*Q31*$O$7,IF(N31="Hostile",$O$3*Q31*$O$7)))</f>
        <v>594517.10990000016</v>
      </c>
      <c r="T31" s="46">
        <f>IF(N31="Standard",$P$5*R31*$O$7,IF(N31="Severe",$P$4*R31*$O$7,IF(N31="Hostile",$P$3*R31*$O$7)))</f>
        <v>604836.82559999998</v>
      </c>
      <c r="U31" s="46">
        <f>IF(O31="E",$T$3*T31,IF(O31="C",$T$4*T31,IF(O31="W",$T$5*T31,1)))</f>
        <v>598788.45734399999</v>
      </c>
      <c r="V31" s="46">
        <f>((S31+U31)/2*1.2)</f>
        <v>715983.34034640016</v>
      </c>
      <c r="W31" s="47">
        <f t="shared" si="10"/>
        <v>715983.34034640016</v>
      </c>
      <c r="X31" s="47"/>
      <c r="Y31" s="48">
        <f>IF(N31="Standard",(((($Z$3*Q31)+($AD$3*R31*$T$5))/2)*$O$7*1.2),IF(N31="Severe",(((($AA$3*Q31)+($AE$3*R31*$T$5))/2)*$O$7*1.2),IF(N31="Hostile",(((($AB$3*Q31)+($AF$3*R31*$T$5))/2)*$O$7*1.2))))</f>
        <v>573912.50187599997</v>
      </c>
      <c r="Z31" s="48">
        <f>IF(N31="Standard",(((($Z$4*Q31)+($AD$4*R31*$T$5))/2)*$O$7*1.2),IF(N31="Severe",(((($AA$4*Q31)+($AE$4*R31*$T$5))/2)*$O$7*1.2),IF(N31="Hostile",(((($AB$4*Q31)+($AF$4*R31*$T$5))/2)*$O$7*1.2))))</f>
        <v>633906.89508719998</v>
      </c>
      <c r="AA31" s="48">
        <f>IF(N31="Standard",(((($Z$5*Q31)+($AD$5*R31*$T$5))/2)*$O$7*1.2),IF(N31="Severe",(((($AA$5*Q31)+($AE$5*R31*$T$5))/2)*$O$7*1.2),IF(N31="Hostile",((($AB$5*Q31)+($AF$5*R31*$T$5))/2)*$O$7*1.2)))</f>
        <v>715983.34034640016</v>
      </c>
      <c r="AB31" s="48">
        <f>IF(N31="Standard",(((($Z$6*Q31)+($AD$6*R31*$T$5))/2)*$O$7*1.2),IF(N31="Severe",(((($AA$6*Q31)+($AE$6*R31*$T$5))/2)*$O$7*1.2),IF(N31="Hostile",((($AB$6*Q31)+($AF$6*R31*$T$5))/2)*$O$7*1.2)))</f>
        <v>775980.51116880018</v>
      </c>
      <c r="AC31" s="48">
        <f>IF(N31="Standard",((($Z$7*Q31)+($AD$7*R31*$T$5))/2)*$O$7*1.2,IF(N31="Severe",((($AA$7*Q31)+($AE$7*R31*$T$5))/2)*$O$7*1.2,IF(N31="Hostile",((($AB$7*Q31)+($AF$7*R31*$T$5))/2)*$O$7*1.2)))</f>
        <v>837476.24333520012</v>
      </c>
      <c r="AD31" s="1"/>
      <c r="AE31" s="1"/>
      <c r="AF31" s="1"/>
      <c r="AI31" s="9"/>
      <c r="AJ31" s="1"/>
      <c r="AK31" s="1"/>
      <c r="AL31" s="1"/>
      <c r="AM31" s="1"/>
      <c r="AN31" s="1"/>
      <c r="AO31" s="1"/>
      <c r="AP31" s="9"/>
      <c r="AQ31" s="3"/>
      <c r="AR31" s="4"/>
      <c r="AS31" s="1"/>
      <c r="AT31" s="1"/>
      <c r="AU31" s="1"/>
      <c r="AV31" s="1"/>
      <c r="AW31" s="1"/>
      <c r="AX31" s="3"/>
      <c r="AY31" s="3"/>
      <c r="AZ31" s="5"/>
      <c r="BA31" s="5"/>
      <c r="BB31" s="5"/>
      <c r="BC31" s="5"/>
      <c r="BD31" s="6"/>
      <c r="BE31" s="6"/>
      <c r="BF31" s="12"/>
      <c r="BG31" s="12"/>
      <c r="BH31" s="12"/>
      <c r="BI31" s="12"/>
      <c r="BJ31" s="12"/>
    </row>
    <row r="32" spans="2:62" x14ac:dyDescent="0.25">
      <c r="B32" s="1" t="s">
        <v>1180</v>
      </c>
      <c r="C32" s="1" t="s">
        <v>1265</v>
      </c>
      <c r="D32" s="1" t="s">
        <v>1190</v>
      </c>
      <c r="E32" s="1" t="s">
        <v>1266</v>
      </c>
      <c r="F32" s="1" t="s">
        <v>1267</v>
      </c>
      <c r="G32" s="1" t="s">
        <v>1210</v>
      </c>
      <c r="H32" s="1" t="s">
        <v>1211</v>
      </c>
      <c r="I32" s="7" t="s">
        <v>1187</v>
      </c>
      <c r="J32" s="44">
        <v>1</v>
      </c>
      <c r="K32" s="45">
        <v>1</v>
      </c>
      <c r="L32" s="1">
        <v>997</v>
      </c>
      <c r="M32" s="1" t="s">
        <v>1188</v>
      </c>
      <c r="N32" s="1" t="s">
        <v>1141</v>
      </c>
      <c r="O32" s="1" t="s">
        <v>1189</v>
      </c>
      <c r="P32" s="7" t="s">
        <v>1073</v>
      </c>
      <c r="Q32" s="44">
        <f>IF($L32=996,Multipliers!C$174,IF($L32=997,Multipliers!C$175,IF($L32=998,Multipliers!C$176,"NONE")))</f>
        <v>1.3</v>
      </c>
      <c r="R32" s="44">
        <f>IF($L32=996,Multipliers!C$5,IF($L32=997,Multipliers!C$6,IF($L32=998,Multipliers!C$7,"NONE")))</f>
        <v>1.34</v>
      </c>
      <c r="S32" s="46">
        <f t="shared" si="8"/>
        <v>576770.33050000016</v>
      </c>
      <c r="T32" s="46">
        <f t="shared" si="9"/>
        <v>595942.1664000001</v>
      </c>
      <c r="U32" s="46">
        <f t="shared" si="11"/>
        <v>589982.74473600008</v>
      </c>
      <c r="V32" s="46">
        <f>((S32+U32)/2*1.15)</f>
        <v>670883.01826070005</v>
      </c>
      <c r="W32" s="47">
        <f t="shared" si="10"/>
        <v>670883.01826070005</v>
      </c>
      <c r="X32" s="47"/>
      <c r="Y32" s="48">
        <f>IF(N32="Standard",(((($Z$3*Q32)+($AD$3*R32*$T$5))/2)*$O$7*1.15),IF(N32="Severe",(((($AA$3*Q32)+($AE$3*R32*$T$5))/2)*$O$7*1.15),IF(N32="Hostile",(((($AB$3*Q32)+($AF$3*R32*$T$5))/2)*$O$7*1.15))))</f>
        <v>537627.23286300001</v>
      </c>
      <c r="Z32" s="48">
        <f>IF(N32="Standard",(((($Z$4*Q32)+($AD$4*R32*$T$5))/2)*$O$7*1.15),IF(N32="Severe",(((($AA$4*Q32)+($AE$4*R32*$T$5))/2)*$O$7*1.15),IF(N32="Hostile",(((($AB$4*Q32)+($AF$4*R32*$T$5))/2)*$O$7*1.15))))</f>
        <v>593892.8539060998</v>
      </c>
      <c r="AA32" s="48">
        <f>IF(N32="Standard",(((($Z$5*Q32)+($AD$5*R32*$T$5))/2)*$O$7*1.15),IF(N32="Severe",(((($AA$5*Q32)+($AE$5*R32*$T$5))/2)*$O$7*1.15),IF(N32="Hostile",(((($AB$5*Q32)+($AF$5*R32*$T$5))/2)*$O$7*1.15))))</f>
        <v>670883.01826070005</v>
      </c>
      <c r="AB32" s="48">
        <f>IF(N32="Standard",(((($Z$6*Q32)+($AD$6*R32*$T$5))/2)*$O$7*1.15),IF(N32="Severe",(((($AA$6*Q32)+($AE$6*R32*$T$5))/2)*$O$7*1.15),IF(N32="Hostile",(((($AB$6*Q32)+($AF$6*R32*$T$5))/2)*$O$7*1.15))))</f>
        <v>727154.03193440009</v>
      </c>
      <c r="AC32" s="48">
        <f>IF(N32="Standard",(((($Z$7*Q32)+($AD$7*R32*$T$5))/2)*$O$7*1.15),IF(N32="Severe",(((($AA$7*Q32)+($AE$7*R32*$T$5))/2)*$O$7*1.15),IF(N32="Hostile",(((($AB$7*Q32)+($AF$7*R32*$T$5))/2)*$O$7*1.15))))</f>
        <v>784795.42359260004</v>
      </c>
      <c r="AD32" s="1"/>
      <c r="AE32" s="1"/>
      <c r="AF32" s="1"/>
      <c r="AI32" s="9"/>
      <c r="AJ32" s="1"/>
      <c r="AK32" s="1"/>
      <c r="AL32" s="1"/>
      <c r="AM32" s="1"/>
      <c r="AN32" s="1"/>
      <c r="AO32" s="1"/>
      <c r="AP32" s="9"/>
      <c r="AQ32" s="3"/>
      <c r="AR32" s="4"/>
      <c r="AS32" s="1"/>
      <c r="AT32" s="1"/>
      <c r="AU32" s="1"/>
      <c r="AV32" s="1"/>
      <c r="AW32" s="1"/>
      <c r="AX32" s="3"/>
      <c r="AY32" s="3"/>
      <c r="AZ32" s="5"/>
      <c r="BA32" s="5"/>
      <c r="BB32" s="5"/>
      <c r="BC32" s="5"/>
      <c r="BD32" s="6"/>
      <c r="BE32" s="6"/>
      <c r="BF32" s="12"/>
      <c r="BG32" s="12"/>
      <c r="BH32" s="12"/>
      <c r="BI32" s="12"/>
      <c r="BJ32" s="12"/>
    </row>
    <row r="33" spans="2:62" x14ac:dyDescent="0.25">
      <c r="B33" s="1" t="s">
        <v>1180</v>
      </c>
      <c r="C33" s="1" t="s">
        <v>1268</v>
      </c>
      <c r="D33" s="1" t="s">
        <v>1190</v>
      </c>
      <c r="E33" s="1" t="s">
        <v>1269</v>
      </c>
      <c r="F33" s="1" t="s">
        <v>1270</v>
      </c>
      <c r="G33" s="1" t="s">
        <v>1202</v>
      </c>
      <c r="H33" s="1" t="s">
        <v>1203</v>
      </c>
      <c r="I33" s="7" t="s">
        <v>1187</v>
      </c>
      <c r="J33" s="44">
        <v>1</v>
      </c>
      <c r="K33" s="45">
        <v>1</v>
      </c>
      <c r="L33" s="1">
        <v>997</v>
      </c>
      <c r="M33" s="1" t="s">
        <v>1188</v>
      </c>
      <c r="N33" s="1" t="s">
        <v>1141</v>
      </c>
      <c r="O33" s="1" t="s">
        <v>1189</v>
      </c>
      <c r="P33" s="7" t="s">
        <v>1073</v>
      </c>
      <c r="Q33" s="44">
        <f>IF($L33=996,Multipliers!C$174,IF($L33=997,Multipliers!C$175,IF($L33=998,Multipliers!C$176,"NONE")))</f>
        <v>1.3</v>
      </c>
      <c r="R33" s="44">
        <f>IF($L33=996,Multipliers!C$5,IF($L33=997,Multipliers!C$6,IF($L33=998,Multipliers!C$7,"NONE")))</f>
        <v>1.34</v>
      </c>
      <c r="S33" s="46">
        <f t="shared" si="8"/>
        <v>576770.33050000016</v>
      </c>
      <c r="T33" s="46">
        <f t="shared" si="9"/>
        <v>595942.1664000001</v>
      </c>
      <c r="U33" s="46">
        <f t="shared" si="11"/>
        <v>589982.74473600008</v>
      </c>
      <c r="V33" s="46">
        <f>((S33+U33)/2*1.15)</f>
        <v>670883.01826070005</v>
      </c>
      <c r="W33" s="47">
        <f t="shared" si="10"/>
        <v>670883.01826070005</v>
      </c>
      <c r="X33" s="47"/>
      <c r="Y33" s="48">
        <f>IF(N33="Standard",(((($Z$3*Q33)+($AD$3*R33*$T$5))/2)*$O$7*1.15),IF(N33="Severe",(((($AA$3*Q33)+($AE$3*R33*$T$5))/2)*$O$7*1.15),IF(N33="Hostile",(((($AB$3*Q33)+($AF$3*R33*$T$5))/2)*$O$7*1.15))))</f>
        <v>537627.23286300001</v>
      </c>
      <c r="Z33" s="48">
        <f>IF(N33="Standard",(((($Z$4*Q33)+($AD$4*R33*$T$5))/2)*$O$7*1.15),IF(N33="Severe",(((($AA$4*Q33)+($AE$4*R33*$T$5))/2)*$O$7*1.15),IF(N33="Hostile",(((($AB$4*Q33)+($AF$4*R33*$T$5))/2)*$O$7*1.15))))</f>
        <v>593892.8539060998</v>
      </c>
      <c r="AA33" s="48">
        <f>IF(N33="Standard",(((($Z$5*Q33)+($AD$5*R33*$T$5))/2)*$O$7*1.15),IF(N33="Severe",(((($AA$5*Q33)+($AE$5*R33*$T$5))/2)*$O$7*1.15),IF(N33="Hostile",(((($AB$5*Q33)+($AF$5*R33*$T$5))/2)*$O$7*1.15))))</f>
        <v>670883.01826070005</v>
      </c>
      <c r="AB33" s="48">
        <f>IF(N33="Standard",(((($Z$6*Q33)+($AD$6*R33*$T$5))/2)*$O$7*1.15),IF(N33="Severe",(((($AA$6*Q33)+($AE$6*R33*$T$5))/2)*$O$7*1.15),IF(N33="Hostile",(((($AB$6*Q33)+($AF$6*R33*$T$5))/2)*$O$7*1.15))))</f>
        <v>727154.03193440009</v>
      </c>
      <c r="AC33" s="48">
        <f>IF(N33="Standard",(((($Z$7*Q33)+($AD$7*R33*$T$5))/2)*$O$7*1.15),IF(N33="Severe",(((($AA$7*Q33)+($AE$7*R33*$T$5))/2)*$O$7*1.15),IF(N33="Hostile",(((($AB$7*Q33)+($AF$7*R33*$T$5))/2)*$O$7*1.15))))</f>
        <v>784795.42359260004</v>
      </c>
      <c r="AD33" s="1"/>
      <c r="AE33" s="1"/>
      <c r="AF33" s="1"/>
      <c r="AI33" s="9"/>
      <c r="AJ33" s="1"/>
      <c r="AK33" s="1"/>
      <c r="AL33" s="1"/>
      <c r="AM33" s="1"/>
      <c r="AN33" s="1"/>
      <c r="AO33" s="1"/>
      <c r="AP33" s="9"/>
      <c r="AQ33" s="3"/>
      <c r="AR33" s="4"/>
      <c r="AS33" s="1"/>
      <c r="AT33" s="1"/>
      <c r="AU33" s="1"/>
      <c r="AV33" s="1"/>
      <c r="AW33" s="1"/>
      <c r="AX33" s="3"/>
      <c r="AY33" s="3"/>
      <c r="AZ33" s="5"/>
      <c r="BA33" s="5"/>
      <c r="BB33" s="5"/>
      <c r="BC33" s="5"/>
      <c r="BD33" s="6"/>
      <c r="BE33" s="6"/>
      <c r="BF33" s="12"/>
      <c r="BG33" s="12"/>
      <c r="BH33" s="12"/>
      <c r="BI33" s="12"/>
      <c r="BJ33" s="12"/>
    </row>
    <row r="34" spans="2:62" x14ac:dyDescent="0.25">
      <c r="B34" s="1" t="s">
        <v>1180</v>
      </c>
      <c r="C34" s="1" t="s">
        <v>1271</v>
      </c>
      <c r="D34" s="1" t="s">
        <v>1190</v>
      </c>
      <c r="E34" s="1" t="s">
        <v>1272</v>
      </c>
      <c r="F34" s="1" t="s">
        <v>1273</v>
      </c>
      <c r="G34" s="1" t="s">
        <v>1241</v>
      </c>
      <c r="H34" s="1" t="s">
        <v>1242</v>
      </c>
      <c r="I34" s="7" t="s">
        <v>1187</v>
      </c>
      <c r="J34" s="44">
        <v>1</v>
      </c>
      <c r="K34" s="45">
        <v>1</v>
      </c>
      <c r="L34" s="1">
        <v>998</v>
      </c>
      <c r="M34" s="1" t="s">
        <v>1188</v>
      </c>
      <c r="N34" s="1" t="s">
        <v>1141</v>
      </c>
      <c r="O34" s="1" t="s">
        <v>1189</v>
      </c>
      <c r="P34" s="7" t="s">
        <v>1074</v>
      </c>
      <c r="Q34" s="44">
        <f>IF($L34=996,Multipliers!C$174,IF($L34=997,Multipliers!C$175,IF($L34=998,Multipliers!C$176,"NONE")))</f>
        <v>1.34</v>
      </c>
      <c r="R34" s="44">
        <f>IF($L34=996,Multipliers!C$5,IF($L34=997,Multipliers!C$6,IF($L34=998,Multipliers!C$7,"NONE")))</f>
        <v>1.36</v>
      </c>
      <c r="S34" s="46">
        <f t="shared" si="8"/>
        <v>594517.10990000016</v>
      </c>
      <c r="T34" s="46">
        <f t="shared" si="9"/>
        <v>604836.82559999998</v>
      </c>
      <c r="U34" s="46">
        <f t="shared" si="11"/>
        <v>598788.45734399999</v>
      </c>
      <c r="V34" s="46">
        <f>((S34+U34)/2*1.2)</f>
        <v>715983.34034640016</v>
      </c>
      <c r="W34" s="47">
        <f t="shared" si="10"/>
        <v>715983.34034640016</v>
      </c>
      <c r="X34" s="47"/>
      <c r="Y34" s="48">
        <f>IF(N34="Standard",(((($Z$3*Q34)+($AD$3*R34*$T$5))/2)*$O$7*1.2),IF(N34="Severe",(((($AA$3*Q34)+($AE$3*R34*$T$5))/2)*$O$7*1.2),IF(N34="Hostile",(((($AB$3*Q34)+($AF$3*R34*$T$5))/2)*$O$7*1.2))))</f>
        <v>573912.50187599997</v>
      </c>
      <c r="Z34" s="48">
        <f>IF(N34="Standard",(((($Z$4*Q34)+($AD$4*R34*$T$5))/2)*$O$7*1.2),IF(N34="Severe",(((($AA$4*Q34)+($AE$4*R34*$T$5))/2)*$O$7*1.2),IF(N34="Hostile",(((($AB$4*Q34)+($AF$4*R34*$T$5))/2)*$O$7*1.2))))</f>
        <v>633906.89508719998</v>
      </c>
      <c r="AA34" s="48">
        <f>IF(N34="Standard",(((($Z$5*Q34)+($AD$5*R34*$T$5))/2)*$O$7*1.2),IF(N34="Severe",(((($AA$5*Q34)+($AE$5*R34*$T$5))/2)*$O$7*1.2),IF(N34="Hostile",((($AB$5*Q34)+($AF$5*R34*$T$5))/2)*$O$7*1.2)))</f>
        <v>715983.34034640016</v>
      </c>
      <c r="AB34" s="48">
        <f>IF(N34="Standard",(((($Z$6*Q34)+($AD$6*R34*$T$5))/2)*$O$7*1.2),IF(N34="Severe",(((($AA$6*Q34)+($AE$6*R34*$T$5))/2)*$O$7*1.2),IF(N34="Hostile",((($AB$6*Q34)+($AF$6*R34*$T$5))/2)*$O$7*1.2)))</f>
        <v>775980.51116880018</v>
      </c>
      <c r="AC34" s="48">
        <f>IF(N34="Standard",((($Z$7*Q34)+($AD$7*R34*$T$5))/2)*$O$7*1.2,IF(N34="Severe",((($AA$7*Q34)+($AE$7*R34*$T$5))/2)*$O$7*1.2,IF(N34="Hostile",((($AB$7*Q34)+($AF$7*R34*$T$5))/2)*$O$7*1.2)))</f>
        <v>837476.24333520012</v>
      </c>
      <c r="AD34" s="1"/>
      <c r="AE34" s="1"/>
      <c r="AF34" s="1"/>
      <c r="AI34" s="9"/>
      <c r="AJ34" s="1"/>
      <c r="AK34" s="1"/>
      <c r="AL34" s="1"/>
      <c r="AM34" s="1"/>
      <c r="AN34" s="1"/>
      <c r="AO34" s="1"/>
      <c r="AP34" s="9"/>
      <c r="AQ34" s="3"/>
      <c r="AR34" s="4"/>
      <c r="AS34" s="1"/>
      <c r="AT34" s="1"/>
      <c r="AU34" s="1"/>
      <c r="AV34" s="1"/>
      <c r="AW34" s="1"/>
      <c r="AX34" s="3"/>
      <c r="AY34" s="3"/>
      <c r="AZ34" s="5"/>
      <c r="BA34" s="5"/>
      <c r="BB34" s="5"/>
      <c r="BC34" s="5"/>
      <c r="BD34" s="6"/>
      <c r="BE34" s="6"/>
      <c r="BF34" s="12"/>
      <c r="BG34" s="12"/>
      <c r="BH34" s="12"/>
      <c r="BI34" s="12"/>
      <c r="BJ34" s="12"/>
    </row>
    <row r="35" spans="2:62" x14ac:dyDescent="0.25">
      <c r="B35" s="1" t="s">
        <v>1180</v>
      </c>
      <c r="C35" s="1" t="s">
        <v>1274</v>
      </c>
      <c r="D35" s="1" t="s">
        <v>1190</v>
      </c>
      <c r="E35" s="1" t="s">
        <v>1275</v>
      </c>
      <c r="F35" s="1" t="s">
        <v>1276</v>
      </c>
      <c r="G35" s="1" t="s">
        <v>1241</v>
      </c>
      <c r="H35" s="1" t="s">
        <v>1242</v>
      </c>
      <c r="I35" s="7" t="s">
        <v>1187</v>
      </c>
      <c r="J35" s="44">
        <v>1</v>
      </c>
      <c r="K35" s="45">
        <v>1</v>
      </c>
      <c r="L35" s="1">
        <v>998</v>
      </c>
      <c r="M35" s="1" t="s">
        <v>1188</v>
      </c>
      <c r="N35" s="1" t="s">
        <v>1141</v>
      </c>
      <c r="O35" s="1" t="s">
        <v>1189</v>
      </c>
      <c r="P35" s="7" t="s">
        <v>1074</v>
      </c>
      <c r="Q35" s="44">
        <f>IF($L35=996,Multipliers!C$174,IF($L35=997,Multipliers!C$175,IF($L35=998,Multipliers!C$176,"NONE")))</f>
        <v>1.34</v>
      </c>
      <c r="R35" s="44">
        <f>IF($L35=996,Multipliers!C$5,IF($L35=997,Multipliers!C$6,IF($L35=998,Multipliers!C$7,"NONE")))</f>
        <v>1.36</v>
      </c>
      <c r="S35" s="46">
        <f t="shared" si="8"/>
        <v>594517.10990000016</v>
      </c>
      <c r="T35" s="46">
        <f t="shared" si="9"/>
        <v>604836.82559999998</v>
      </c>
      <c r="U35" s="46">
        <f t="shared" si="11"/>
        <v>598788.45734399999</v>
      </c>
      <c r="V35" s="46">
        <f>((S35+U35)/2*1.2)</f>
        <v>715983.34034640016</v>
      </c>
      <c r="W35" s="47">
        <f t="shared" si="10"/>
        <v>715983.34034640016</v>
      </c>
      <c r="X35" s="47"/>
      <c r="Y35" s="48">
        <f>IF(N35="Standard",(((($Z$3*Q35)+($AD$3*R35*$T$5))/2)*$O$7*1.2),IF(N35="Severe",(((($AA$3*Q35)+($AE$3*R35*$T$5))/2)*$O$7*1.2),IF(N35="Hostile",(((($AB$3*Q35)+($AF$3*R35*$T$5))/2)*$O$7*1.2))))</f>
        <v>573912.50187599997</v>
      </c>
      <c r="Z35" s="48">
        <f>IF(N35="Standard",(((($Z$4*Q35)+($AD$4*R35*$T$5))/2)*$O$7*1.2),IF(N35="Severe",(((($AA$4*Q35)+($AE$4*R35*$T$5))/2)*$O$7*1.2),IF(N35="Hostile",(((($AB$4*Q35)+($AF$4*R35*$T$5))/2)*$O$7*1.2))))</f>
        <v>633906.89508719998</v>
      </c>
      <c r="AA35" s="48">
        <f>IF(N35="Standard",(((($Z$5*Q35)+($AD$5*R35*$T$5))/2)*$O$7*1.2),IF(N35="Severe",(((($AA$5*Q35)+($AE$5*R35*$T$5))/2)*$O$7*1.2),IF(N35="Hostile",((($AB$5*Q35)+($AF$5*R35*$T$5))/2)*$O$7*1.2)))</f>
        <v>715983.34034640016</v>
      </c>
      <c r="AB35" s="48">
        <f>IF(N35="Standard",(((($Z$6*Q35)+($AD$6*R35*$T$5))/2)*$O$7*1.2),IF(N35="Severe",(((($AA$6*Q35)+($AE$6*R35*$T$5))/2)*$O$7*1.2),IF(N35="Hostile",((($AB$6*Q35)+($AF$6*R35*$T$5))/2)*$O$7*1.2)))</f>
        <v>775980.51116880018</v>
      </c>
      <c r="AC35" s="48">
        <f>IF(N35="Standard",((($Z$7*Q35)+($AD$7*R35*$T$5))/2)*$O$7*1.2,IF(N35="Severe",((($AA$7*Q35)+($AE$7*R35*$T$5))/2)*$O$7*1.2,IF(N35="Hostile",((($AB$7*Q35)+($AF$7*R35*$T$5))/2)*$O$7*1.2)))</f>
        <v>837476.24333520012</v>
      </c>
      <c r="AD35" s="1"/>
      <c r="AE35" s="1"/>
      <c r="AF35" s="1"/>
      <c r="AI35" s="9"/>
      <c r="AJ35" s="1"/>
      <c r="AK35" s="1"/>
      <c r="AL35" s="1"/>
      <c r="AM35" s="1"/>
      <c r="AN35" s="1"/>
      <c r="AO35" s="1"/>
      <c r="AP35" s="9"/>
      <c r="AQ35" s="3"/>
      <c r="AR35" s="4"/>
      <c r="AS35" s="1"/>
      <c r="AT35" s="1"/>
      <c r="AU35" s="1"/>
      <c r="AV35" s="1"/>
      <c r="AW35" s="1"/>
      <c r="AX35" s="3"/>
      <c r="AY35" s="3"/>
      <c r="AZ35" s="5"/>
      <c r="BA35" s="5"/>
      <c r="BB35" s="5"/>
      <c r="BC35" s="5"/>
      <c r="BD35" s="6"/>
      <c r="BE35" s="6"/>
      <c r="BF35" s="12"/>
      <c r="BG35" s="12"/>
      <c r="BH35" s="12"/>
      <c r="BI35" s="12"/>
      <c r="BJ35" s="12"/>
    </row>
    <row r="36" spans="2:62" x14ac:dyDescent="0.25">
      <c r="B36" s="1" t="s">
        <v>1180</v>
      </c>
      <c r="C36" s="1" t="s">
        <v>1277</v>
      </c>
      <c r="D36" s="1" t="s">
        <v>1190</v>
      </c>
      <c r="E36" s="1" t="s">
        <v>1278</v>
      </c>
      <c r="F36" s="1" t="s">
        <v>1279</v>
      </c>
      <c r="G36" s="1" t="s">
        <v>1218</v>
      </c>
      <c r="H36" s="1" t="s">
        <v>1219</v>
      </c>
      <c r="I36" s="7" t="s">
        <v>1187</v>
      </c>
      <c r="J36" s="44">
        <v>1</v>
      </c>
      <c r="K36" s="45">
        <v>1</v>
      </c>
      <c r="L36" s="1">
        <v>997</v>
      </c>
      <c r="M36" s="1" t="s">
        <v>1188</v>
      </c>
      <c r="N36" s="1" t="s">
        <v>1141</v>
      </c>
      <c r="O36" s="1" t="s">
        <v>1189</v>
      </c>
      <c r="P36" s="7" t="s">
        <v>1073</v>
      </c>
      <c r="Q36" s="44">
        <f>IF($L36=996,Multipliers!C$174,IF($L36=997,Multipliers!C$175,IF($L36=998,Multipliers!C$176,"NONE")))</f>
        <v>1.3</v>
      </c>
      <c r="R36" s="44">
        <f>IF($L36=996,Multipliers!C$5,IF($L36=997,Multipliers!C$6,IF($L36=998,Multipliers!C$7,"NONE")))</f>
        <v>1.34</v>
      </c>
      <c r="S36" s="46">
        <f t="shared" ref="S36:S68" si="12">IF(N36="Standard",$O$5*Q36*$O$7,IF(N36="Severe",$O$4*Q36*$O$7,IF(N36="Hostile",$O$3*Q36*$O$7)))</f>
        <v>576770.33050000016</v>
      </c>
      <c r="T36" s="46">
        <f t="shared" ref="T36:T68" si="13">IF(N36="Standard",$P$5*R36*$O$7,IF(N36="Severe",$P$4*R36*$O$7,IF(N36="Hostile",$P$3*R36*$O$7)))</f>
        <v>595942.1664000001</v>
      </c>
      <c r="U36" s="46">
        <f t="shared" si="11"/>
        <v>589982.74473600008</v>
      </c>
      <c r="V36" s="46">
        <f>((S36+U36)/2*1.15)</f>
        <v>670883.01826070005</v>
      </c>
      <c r="W36" s="47">
        <f t="shared" si="10"/>
        <v>670883.01826070005</v>
      </c>
      <c r="X36" s="47"/>
      <c r="Y36" s="48">
        <f>IF(N36="Standard",(((($Z$3*Q36)+($AD$3*R36*$T$5))/2)*$O$7*1.15),IF(N36="Severe",(((($AA$3*Q36)+($AE$3*R36*$T$5))/2)*$O$7*1.15),IF(N36="Hostile",(((($AB$3*Q36)+($AF$3*R36*$T$5))/2)*$O$7*1.15))))</f>
        <v>537627.23286300001</v>
      </c>
      <c r="Z36" s="48">
        <f>IF(N36="Standard",(((($Z$4*Q36)+($AD$4*R36*$T$5))/2)*$O$7*1.15),IF(N36="Severe",(((($AA$4*Q36)+($AE$4*R36*$T$5))/2)*$O$7*1.15),IF(N36="Hostile",(((($AB$4*Q36)+($AF$4*R36*$T$5))/2)*$O$7*1.15))))</f>
        <v>593892.8539060998</v>
      </c>
      <c r="AA36" s="48">
        <f>IF(N36="Standard",(((($Z$5*Q36)+($AD$5*R36*$T$5))/2)*$O$7*1.15),IF(N36="Severe",(((($AA$5*Q36)+($AE$5*R36*$T$5))/2)*$O$7*1.15),IF(N36="Hostile",(((($AB$5*Q36)+($AF$5*R36*$T$5))/2)*$O$7*1.15))))</f>
        <v>670883.01826070005</v>
      </c>
      <c r="AB36" s="48">
        <f>IF(N36="Standard",(((($Z$6*Q36)+($AD$6*R36*$T$5))/2)*$O$7*1.15),IF(N36="Severe",(((($AA$6*Q36)+($AE$6*R36*$T$5))/2)*$O$7*1.15),IF(N36="Hostile",(((($AB$6*Q36)+($AF$6*R36*$T$5))/2)*$O$7*1.15))))</f>
        <v>727154.03193440009</v>
      </c>
      <c r="AC36" s="48">
        <f>IF(N36="Standard",(((($Z$7*Q36)+($AD$7*R36*$T$5))/2)*$O$7*1.15),IF(N36="Severe",(((($AA$7*Q36)+($AE$7*R36*$T$5))/2)*$O$7*1.15),IF(N36="Hostile",(((($AB$7*Q36)+($AF$7*R36*$T$5))/2)*$O$7*1.15))))</f>
        <v>784795.42359260004</v>
      </c>
      <c r="AD36" s="1"/>
      <c r="AE36" s="1"/>
      <c r="AF36" s="1"/>
      <c r="AI36" s="9"/>
      <c r="AJ36" s="1"/>
      <c r="AK36" s="1"/>
      <c r="AL36" s="1"/>
      <c r="AM36" s="1"/>
      <c r="AN36" s="1"/>
      <c r="AO36" s="1"/>
      <c r="AP36" s="9"/>
      <c r="AQ36" s="3"/>
      <c r="AR36" s="4"/>
      <c r="AS36" s="1"/>
      <c r="AT36" s="1"/>
      <c r="AU36" s="1"/>
      <c r="AV36" s="1"/>
      <c r="AW36" s="1"/>
      <c r="AX36" s="3"/>
      <c r="AY36" s="3"/>
      <c r="AZ36" s="5"/>
      <c r="BA36" s="5"/>
      <c r="BB36" s="5"/>
      <c r="BC36" s="5"/>
      <c r="BD36" s="6"/>
      <c r="BE36" s="6"/>
      <c r="BF36" s="12"/>
      <c r="BG36" s="12"/>
      <c r="BH36" s="12"/>
      <c r="BI36" s="12"/>
      <c r="BJ36" s="12"/>
    </row>
    <row r="37" spans="2:62" x14ac:dyDescent="0.25">
      <c r="B37" s="1" t="s">
        <v>1180</v>
      </c>
      <c r="C37" s="1" t="s">
        <v>1280</v>
      </c>
      <c r="D37" s="1" t="s">
        <v>1190</v>
      </c>
      <c r="E37" s="1" t="s">
        <v>1281</v>
      </c>
      <c r="F37" s="1" t="s">
        <v>1282</v>
      </c>
      <c r="G37" s="1" t="s">
        <v>1210</v>
      </c>
      <c r="H37" s="1" t="s">
        <v>1211</v>
      </c>
      <c r="I37" s="7" t="s">
        <v>1187</v>
      </c>
      <c r="J37" s="44">
        <v>1</v>
      </c>
      <c r="K37" s="45">
        <v>1</v>
      </c>
      <c r="L37" s="1">
        <v>997</v>
      </c>
      <c r="M37" s="1" t="s">
        <v>1188</v>
      </c>
      <c r="N37" s="1" t="s">
        <v>1141</v>
      </c>
      <c r="O37" s="1" t="s">
        <v>1189</v>
      </c>
      <c r="P37" s="7" t="s">
        <v>1073</v>
      </c>
      <c r="Q37" s="44">
        <f>IF($L37=996,Multipliers!C$174,IF($L37=997,Multipliers!C$175,IF($L37=998,Multipliers!C$176,"NONE")))</f>
        <v>1.3</v>
      </c>
      <c r="R37" s="44">
        <f>IF($L37=996,Multipliers!C$5,IF($L37=997,Multipliers!C$6,IF($L37=998,Multipliers!C$7,"NONE")))</f>
        <v>1.34</v>
      </c>
      <c r="S37" s="46">
        <f t="shared" si="12"/>
        <v>576770.33050000016</v>
      </c>
      <c r="T37" s="46">
        <f t="shared" si="13"/>
        <v>595942.1664000001</v>
      </c>
      <c r="U37" s="46">
        <f t="shared" si="11"/>
        <v>589982.74473600008</v>
      </c>
      <c r="V37" s="46">
        <f t="shared" ref="V37:V44" si="14">((S37+U37)/2*1.15)</f>
        <v>670883.01826070005</v>
      </c>
      <c r="W37" s="47">
        <f t="shared" ref="W37:W44" si="15">IF(F37=F38,(V37+V38)/2,IF(F37=F36,(V37+V36)/2,IF(F37&lt;&gt;F36,V37)))</f>
        <v>670883.01826070005</v>
      </c>
      <c r="X37" s="47"/>
      <c r="Y37" s="48">
        <f t="shared" ref="Y37:Y44" si="16">IF(N37="Standard",(((($Z$3*Q37)+($AD$3*R37*$T$5))/2)*$O$7*1.15),IF(N37="Severe",(((($AA$3*Q37)+($AE$3*R37*$T$5))/2)*$O$7*1.15),IF(N37="Hostile",(((($AB$3*Q37)+($AF$3*R37*$T$5))/2)*$O$7*1.15))))</f>
        <v>537627.23286300001</v>
      </c>
      <c r="Z37" s="48">
        <f t="shared" ref="Z37:Z44" si="17">IF(N37="Standard",(((($Z$4*Q37)+($AD$4*R37*$T$5))/2)*$O$7*1.15),IF(N37="Severe",(((($AA$4*Q37)+($AE$4*R37*$T$5))/2)*$O$7*1.15),IF(N37="Hostile",(((($AB$4*Q37)+($AF$4*R37*$T$5))/2)*$O$7*1.15))))</f>
        <v>593892.8539060998</v>
      </c>
      <c r="AA37" s="48">
        <f t="shared" ref="AA37:AA44" si="18">IF(N37="Standard",(((($Z$5*Q37)+($AD$5*R37*$T$5))/2)*$O$7*1.15),IF(N37="Severe",(((($AA$5*Q37)+($AE$5*R37*$T$5))/2)*$O$7*1.15),IF(N37="Hostile",(((($AB$5*Q37)+($AF$5*R37*$T$5))/2)*$O$7*1.15))))</f>
        <v>670883.01826070005</v>
      </c>
      <c r="AB37" s="48">
        <f t="shared" ref="AB37:AB44" si="19">IF(N37="Standard",(((($Z$6*Q37)+($AD$6*R37*$T$5))/2)*$O$7*1.15),IF(N37="Severe",(((($AA$6*Q37)+($AE$6*R37*$T$5))/2)*$O$7*1.15),IF(N37="Hostile",(((($AB$6*Q37)+($AF$6*R37*$T$5))/2)*$O$7*1.15))))</f>
        <v>727154.03193440009</v>
      </c>
      <c r="AC37" s="48">
        <f t="shared" ref="AC37:AC44" si="20">IF(N37="Standard",(((($Z$7*Q37)+($AD$7*R37*$T$5))/2)*$O$7*1.15),IF(N37="Severe",(((($AA$7*Q37)+($AE$7*R37*$T$5))/2)*$O$7*1.15),IF(N37="Hostile",(((($AB$7*Q37)+($AF$7*R37*$T$5))/2)*$O$7*1.15))))</f>
        <v>784795.42359260004</v>
      </c>
      <c r="AD37" s="1"/>
      <c r="AE37" s="1"/>
      <c r="AF37" s="1"/>
      <c r="AI37" s="9"/>
      <c r="AJ37" s="1"/>
      <c r="AK37" s="1"/>
      <c r="AL37" s="1"/>
      <c r="AM37" s="1"/>
      <c r="AN37" s="1"/>
      <c r="AO37" s="1"/>
      <c r="AP37" s="9"/>
      <c r="AQ37" s="3"/>
      <c r="AR37" s="4"/>
      <c r="AS37" s="1"/>
      <c r="AT37" s="1"/>
      <c r="AU37" s="1"/>
      <c r="AV37" s="1"/>
      <c r="AW37" s="1"/>
      <c r="AX37" s="3"/>
      <c r="AY37" s="3"/>
      <c r="AZ37" s="5"/>
      <c r="BA37" s="5"/>
      <c r="BB37" s="5"/>
      <c r="BC37" s="5"/>
      <c r="BD37" s="6"/>
      <c r="BE37" s="6"/>
      <c r="BF37" s="12"/>
      <c r="BG37" s="12"/>
      <c r="BH37" s="12"/>
      <c r="BI37" s="12"/>
      <c r="BJ37" s="12"/>
    </row>
    <row r="38" spans="2:62" x14ac:dyDescent="0.25">
      <c r="B38" s="1" t="s">
        <v>1180</v>
      </c>
      <c r="C38" s="1"/>
      <c r="D38" s="1"/>
      <c r="E38" s="1"/>
      <c r="F38" s="1" t="s">
        <v>1283</v>
      </c>
      <c r="G38" s="84" t="s">
        <v>1294</v>
      </c>
      <c r="H38" s="1" t="s">
        <v>1284</v>
      </c>
      <c r="I38" s="7" t="s">
        <v>1187</v>
      </c>
      <c r="J38" s="44">
        <v>1</v>
      </c>
      <c r="K38" s="45">
        <v>1</v>
      </c>
      <c r="L38" s="1">
        <v>997</v>
      </c>
      <c r="M38" s="1" t="s">
        <v>1188</v>
      </c>
      <c r="N38" s="1" t="s">
        <v>1141</v>
      </c>
      <c r="O38" s="1" t="s">
        <v>1189</v>
      </c>
      <c r="P38" s="7" t="s">
        <v>1073</v>
      </c>
      <c r="Q38" s="44">
        <f>IF($L38=996,Multipliers!C$174,IF($L38=997,Multipliers!C$175,IF($L38=998,Multipliers!C$176,"NONE")))</f>
        <v>1.3</v>
      </c>
      <c r="R38" s="44">
        <f>IF($L38=996,Multipliers!C$5,IF($L38=997,Multipliers!C$6,IF($L38=998,Multipliers!C$7,"NONE")))</f>
        <v>1.34</v>
      </c>
      <c r="S38" s="46">
        <f>IF(N38="Standard",$O$5*Q38*$O$7,IF(N38="Severe",$O$4*Q38*$O$7,IF(N38="Hostile",$O$3*Q38*$O$7)))</f>
        <v>576770.33050000016</v>
      </c>
      <c r="T38" s="46">
        <f>IF(N38="Standard",$P$5*R38*$O$7,IF(N38="Severe",$P$4*R38*$O$7,IF(N38="Hostile",$P$3*R38*$O$7)))</f>
        <v>595942.1664000001</v>
      </c>
      <c r="U38" s="46">
        <f>IF(O38="E",$T$3*T38,IF(O38="C",$T$4*T38,IF(O38="W",$T$5*T38,1)))</f>
        <v>589982.74473600008</v>
      </c>
      <c r="V38" s="46">
        <f t="shared" si="14"/>
        <v>670883.01826070005</v>
      </c>
      <c r="W38" s="47">
        <f t="shared" si="15"/>
        <v>670883.01826070005</v>
      </c>
      <c r="X38" s="47"/>
      <c r="Y38" s="48">
        <f t="shared" si="16"/>
        <v>537627.23286300001</v>
      </c>
      <c r="Z38" s="48">
        <f t="shared" si="17"/>
        <v>593892.8539060998</v>
      </c>
      <c r="AA38" s="48">
        <f t="shared" si="18"/>
        <v>670883.01826070005</v>
      </c>
      <c r="AB38" s="48">
        <f t="shared" si="19"/>
        <v>727154.03193440009</v>
      </c>
      <c r="AC38" s="48">
        <f t="shared" si="20"/>
        <v>784795.42359260004</v>
      </c>
      <c r="AD38" s="1"/>
      <c r="AE38" s="1"/>
      <c r="AF38" s="1"/>
      <c r="AI38" s="9"/>
      <c r="AJ38" s="1"/>
      <c r="AK38" s="1"/>
      <c r="AL38" s="1"/>
      <c r="AM38" s="1"/>
      <c r="AN38" s="1"/>
      <c r="AO38" s="1"/>
      <c r="AP38" s="9"/>
      <c r="AQ38" s="3"/>
      <c r="AR38" s="4"/>
      <c r="AS38" s="1"/>
      <c r="AT38" s="1"/>
      <c r="AU38" s="1"/>
      <c r="AV38" s="1"/>
      <c r="AW38" s="1"/>
      <c r="AX38" s="3"/>
      <c r="AY38" s="3"/>
      <c r="AZ38" s="5"/>
      <c r="BA38" s="5"/>
      <c r="BB38" s="5"/>
      <c r="BC38" s="5"/>
      <c r="BD38" s="6"/>
      <c r="BE38" s="6"/>
      <c r="BF38" s="12"/>
      <c r="BG38" s="12"/>
      <c r="BH38" s="12"/>
      <c r="BI38" s="12"/>
      <c r="BJ38" s="12"/>
    </row>
    <row r="39" spans="2:62" x14ac:dyDescent="0.25">
      <c r="B39" s="1" t="s">
        <v>1180</v>
      </c>
      <c r="C39" s="1" t="s">
        <v>1285</v>
      </c>
      <c r="D39" s="1" t="s">
        <v>1190</v>
      </c>
      <c r="E39" s="1" t="s">
        <v>1286</v>
      </c>
      <c r="F39" s="1" t="s">
        <v>1287</v>
      </c>
      <c r="G39" s="1" t="s">
        <v>1202</v>
      </c>
      <c r="H39" s="1" t="s">
        <v>1203</v>
      </c>
      <c r="I39" s="7" t="s">
        <v>1187</v>
      </c>
      <c r="J39" s="44">
        <v>1</v>
      </c>
      <c r="K39" s="45">
        <v>1</v>
      </c>
      <c r="L39" s="1">
        <v>997</v>
      </c>
      <c r="M39" s="1" t="s">
        <v>1188</v>
      </c>
      <c r="N39" s="1" t="s">
        <v>1141</v>
      </c>
      <c r="O39" s="1" t="s">
        <v>1189</v>
      </c>
      <c r="P39" s="7" t="s">
        <v>1073</v>
      </c>
      <c r="Q39" s="44">
        <f>IF($L39=996,Multipliers!C$174,IF($L39=997,Multipliers!C$175,IF($L39=998,Multipliers!C$176,"NONE")))</f>
        <v>1.3</v>
      </c>
      <c r="R39" s="44">
        <f>IF($L39=996,Multipliers!C$5,IF($L39=997,Multipliers!C$6,IF($L39=998,Multipliers!C$7,"NONE")))</f>
        <v>1.34</v>
      </c>
      <c r="S39" s="46">
        <f t="shared" si="12"/>
        <v>576770.33050000016</v>
      </c>
      <c r="T39" s="46">
        <f t="shared" si="13"/>
        <v>595942.1664000001</v>
      </c>
      <c r="U39" s="46">
        <f t="shared" si="11"/>
        <v>589982.74473600008</v>
      </c>
      <c r="V39" s="46">
        <f t="shared" si="14"/>
        <v>670883.01826070005</v>
      </c>
      <c r="W39" s="47">
        <f t="shared" si="15"/>
        <v>670883.01826070005</v>
      </c>
      <c r="X39" s="47"/>
      <c r="Y39" s="48">
        <f t="shared" si="16"/>
        <v>537627.23286300001</v>
      </c>
      <c r="Z39" s="48">
        <f t="shared" si="17"/>
        <v>593892.8539060998</v>
      </c>
      <c r="AA39" s="48">
        <f t="shared" si="18"/>
        <v>670883.01826070005</v>
      </c>
      <c r="AB39" s="48">
        <f t="shared" si="19"/>
        <v>727154.03193440009</v>
      </c>
      <c r="AC39" s="48">
        <f t="shared" si="20"/>
        <v>784795.42359260004</v>
      </c>
      <c r="AD39" s="1"/>
      <c r="AE39" s="1"/>
      <c r="AF39" s="1"/>
      <c r="AI39" s="9"/>
      <c r="AJ39" s="1"/>
      <c r="AK39" s="1"/>
      <c r="AL39" s="1"/>
      <c r="AM39" s="1"/>
      <c r="AN39" s="1"/>
      <c r="AO39" s="1"/>
      <c r="AP39" s="9"/>
      <c r="AQ39" s="3"/>
      <c r="AR39" s="4"/>
      <c r="AS39" s="1"/>
      <c r="AT39" s="1"/>
      <c r="AU39" s="1"/>
      <c r="AV39" s="1"/>
      <c r="AW39" s="1"/>
      <c r="AX39" s="3"/>
      <c r="AY39" s="3"/>
      <c r="AZ39" s="5"/>
      <c r="BA39" s="5"/>
      <c r="BB39" s="5"/>
      <c r="BC39" s="5"/>
      <c r="BD39" s="6"/>
      <c r="BE39" s="6"/>
      <c r="BF39" s="12"/>
      <c r="BG39" s="12"/>
      <c r="BH39" s="12"/>
      <c r="BI39" s="12"/>
      <c r="BJ39" s="12"/>
    </row>
    <row r="40" spans="2:62" x14ac:dyDescent="0.25">
      <c r="B40" s="1" t="s">
        <v>1180</v>
      </c>
      <c r="C40" s="1" t="s">
        <v>1288</v>
      </c>
      <c r="D40" s="1" t="s">
        <v>1190</v>
      </c>
      <c r="E40" s="1" t="s">
        <v>1289</v>
      </c>
      <c r="F40" s="1" t="s">
        <v>1290</v>
      </c>
      <c r="G40" s="1" t="s">
        <v>1218</v>
      </c>
      <c r="H40" s="1" t="s">
        <v>1219</v>
      </c>
      <c r="I40" s="7" t="s">
        <v>1187</v>
      </c>
      <c r="J40" s="44">
        <v>1</v>
      </c>
      <c r="K40" s="45">
        <v>1</v>
      </c>
      <c r="L40" s="1">
        <v>997</v>
      </c>
      <c r="M40" s="1" t="s">
        <v>1188</v>
      </c>
      <c r="N40" s="1" t="s">
        <v>1141</v>
      </c>
      <c r="O40" s="1" t="s">
        <v>1189</v>
      </c>
      <c r="P40" s="7" t="s">
        <v>1073</v>
      </c>
      <c r="Q40" s="44">
        <f>IF($L40=996,Multipliers!C$174,IF($L40=997,Multipliers!C$175,IF($L40=998,Multipliers!C$176,"NONE")))</f>
        <v>1.3</v>
      </c>
      <c r="R40" s="44">
        <f>IF($L40=996,Multipliers!C$5,IF($L40=997,Multipliers!C$6,IF($L40=998,Multipliers!C$7,"NONE")))</f>
        <v>1.34</v>
      </c>
      <c r="S40" s="46">
        <f t="shared" si="12"/>
        <v>576770.33050000016</v>
      </c>
      <c r="T40" s="46">
        <f t="shared" si="13"/>
        <v>595942.1664000001</v>
      </c>
      <c r="U40" s="46">
        <f t="shared" si="11"/>
        <v>589982.74473600008</v>
      </c>
      <c r="V40" s="46">
        <f t="shared" si="14"/>
        <v>670883.01826070005</v>
      </c>
      <c r="W40" s="47">
        <f t="shared" si="15"/>
        <v>670883.01826070005</v>
      </c>
      <c r="X40" s="47"/>
      <c r="Y40" s="48">
        <f t="shared" si="16"/>
        <v>537627.23286300001</v>
      </c>
      <c r="Z40" s="48">
        <f t="shared" si="17"/>
        <v>593892.8539060998</v>
      </c>
      <c r="AA40" s="48">
        <f t="shared" si="18"/>
        <v>670883.01826070005</v>
      </c>
      <c r="AB40" s="48">
        <f t="shared" si="19"/>
        <v>727154.03193440009</v>
      </c>
      <c r="AC40" s="48">
        <f t="shared" si="20"/>
        <v>784795.42359260004</v>
      </c>
      <c r="AD40" s="1"/>
      <c r="AE40" s="1"/>
      <c r="AF40" s="1"/>
      <c r="AI40" s="9"/>
      <c r="AJ40" s="1"/>
      <c r="AK40" s="1"/>
      <c r="AL40" s="1"/>
      <c r="AM40" s="1"/>
      <c r="AN40" s="1"/>
      <c r="AO40" s="1"/>
      <c r="AP40" s="9"/>
      <c r="AQ40" s="3"/>
      <c r="AR40" s="4"/>
      <c r="AS40" s="1"/>
      <c r="AT40" s="1"/>
      <c r="AU40" s="1"/>
      <c r="AV40" s="1"/>
      <c r="AW40" s="1"/>
      <c r="AX40" s="3"/>
      <c r="AY40" s="3"/>
      <c r="AZ40" s="5"/>
      <c r="BA40" s="5"/>
      <c r="BB40" s="5"/>
      <c r="BC40" s="5"/>
      <c r="BD40" s="6"/>
      <c r="BE40" s="6"/>
      <c r="BF40" s="12"/>
      <c r="BG40" s="12"/>
      <c r="BH40" s="12"/>
      <c r="BI40" s="12"/>
      <c r="BJ40" s="12"/>
    </row>
    <row r="41" spans="2:62" x14ac:dyDescent="0.25">
      <c r="B41" s="1" t="s">
        <v>1180</v>
      </c>
      <c r="C41" s="1" t="s">
        <v>1291</v>
      </c>
      <c r="D41" s="1" t="s">
        <v>1190</v>
      </c>
      <c r="E41" s="1" t="s">
        <v>1292</v>
      </c>
      <c r="F41" s="1" t="s">
        <v>1293</v>
      </c>
      <c r="G41" s="1" t="s">
        <v>1294</v>
      </c>
      <c r="H41" s="1" t="s">
        <v>1295</v>
      </c>
      <c r="I41" s="7" t="s">
        <v>1187</v>
      </c>
      <c r="J41" s="44">
        <v>1</v>
      </c>
      <c r="K41" s="45">
        <v>1</v>
      </c>
      <c r="L41" s="1">
        <v>997</v>
      </c>
      <c r="M41" s="1" t="s">
        <v>1188</v>
      </c>
      <c r="N41" s="1" t="s">
        <v>1141</v>
      </c>
      <c r="O41" s="1" t="s">
        <v>1189</v>
      </c>
      <c r="P41" s="7" t="s">
        <v>1073</v>
      </c>
      <c r="Q41" s="44">
        <f>IF($L41=996,Multipliers!C$174,IF($L41=997,Multipliers!C$175,IF($L41=998,Multipliers!C$176,"NONE")))</f>
        <v>1.3</v>
      </c>
      <c r="R41" s="44">
        <f>IF($L41=996,Multipliers!C$5,IF($L41=997,Multipliers!C$6,IF($L41=998,Multipliers!C$7,"NONE")))</f>
        <v>1.34</v>
      </c>
      <c r="S41" s="46">
        <f t="shared" si="12"/>
        <v>576770.33050000016</v>
      </c>
      <c r="T41" s="46">
        <f t="shared" si="13"/>
        <v>595942.1664000001</v>
      </c>
      <c r="U41" s="46">
        <f t="shared" si="11"/>
        <v>589982.74473600008</v>
      </c>
      <c r="V41" s="46">
        <f t="shared" si="14"/>
        <v>670883.01826070005</v>
      </c>
      <c r="W41" s="47">
        <f t="shared" si="15"/>
        <v>670883.01826070005</v>
      </c>
      <c r="X41" s="47"/>
      <c r="Y41" s="48">
        <f t="shared" si="16"/>
        <v>537627.23286300001</v>
      </c>
      <c r="Z41" s="48">
        <f t="shared" si="17"/>
        <v>593892.8539060998</v>
      </c>
      <c r="AA41" s="48">
        <f t="shared" si="18"/>
        <v>670883.01826070005</v>
      </c>
      <c r="AB41" s="48">
        <f t="shared" si="19"/>
        <v>727154.03193440009</v>
      </c>
      <c r="AC41" s="48">
        <f t="shared" si="20"/>
        <v>784795.42359260004</v>
      </c>
      <c r="AD41" s="1"/>
      <c r="AE41" s="1"/>
      <c r="AF41" s="1"/>
      <c r="AI41" s="9"/>
      <c r="AJ41" s="1"/>
      <c r="AK41" s="1"/>
      <c r="AL41" s="1"/>
      <c r="AM41" s="1"/>
      <c r="AN41" s="1"/>
      <c r="AO41" s="1"/>
      <c r="AP41" s="9"/>
      <c r="AQ41" s="3"/>
      <c r="AR41" s="4"/>
      <c r="AS41" s="1"/>
      <c r="AT41" s="1"/>
      <c r="AU41" s="1"/>
      <c r="AV41" s="1"/>
      <c r="AW41" s="1"/>
      <c r="AX41" s="3"/>
      <c r="AY41" s="3"/>
      <c r="AZ41" s="5"/>
      <c r="BA41" s="5"/>
      <c r="BB41" s="5"/>
      <c r="BC41" s="5"/>
      <c r="BD41" s="6"/>
      <c r="BE41" s="6"/>
      <c r="BF41" s="12"/>
      <c r="BG41" s="12"/>
      <c r="BH41" s="12"/>
      <c r="BI41" s="12"/>
      <c r="BJ41" s="12"/>
    </row>
    <row r="42" spans="2:62" x14ac:dyDescent="0.25">
      <c r="B42" s="1" t="s">
        <v>1180</v>
      </c>
      <c r="C42" s="1" t="s">
        <v>1181</v>
      </c>
      <c r="D42" s="1" t="s">
        <v>1296</v>
      </c>
      <c r="E42" s="1" t="s">
        <v>1192</v>
      </c>
      <c r="F42" s="1" t="s">
        <v>1297</v>
      </c>
      <c r="G42" s="1" t="s">
        <v>1223</v>
      </c>
      <c r="H42" s="1" t="s">
        <v>1224</v>
      </c>
      <c r="I42" s="7" t="s">
        <v>1187</v>
      </c>
      <c r="J42" s="44">
        <v>1</v>
      </c>
      <c r="K42" s="45">
        <v>4</v>
      </c>
      <c r="L42" s="1">
        <v>997</v>
      </c>
      <c r="M42" s="1" t="s">
        <v>1188</v>
      </c>
      <c r="N42" s="1" t="s">
        <v>1141</v>
      </c>
      <c r="O42" s="1" t="s">
        <v>1189</v>
      </c>
      <c r="P42" s="7" t="s">
        <v>1073</v>
      </c>
      <c r="Q42" s="44">
        <f>IF($L42=996,Multipliers!C$174,IF($L42=997,Multipliers!C$175,IF($L42=998,Multipliers!C$176,"NONE")))</f>
        <v>1.3</v>
      </c>
      <c r="R42" s="44">
        <f>IF($L42=996,Multipliers!C$5,IF($L42=997,Multipliers!C$6,IF($L42=998,Multipliers!C$7,"NONE")))</f>
        <v>1.34</v>
      </c>
      <c r="S42" s="46">
        <f t="shared" si="12"/>
        <v>576770.33050000016</v>
      </c>
      <c r="T42" s="46">
        <f t="shared" si="13"/>
        <v>595942.1664000001</v>
      </c>
      <c r="U42" s="46">
        <f t="shared" si="11"/>
        <v>589982.74473600008</v>
      </c>
      <c r="V42" s="46">
        <f t="shared" si="14"/>
        <v>670883.01826070005</v>
      </c>
      <c r="W42" s="47">
        <f t="shared" si="15"/>
        <v>670883.01826070005</v>
      </c>
      <c r="X42" s="47"/>
      <c r="Y42" s="48">
        <f t="shared" si="16"/>
        <v>537627.23286300001</v>
      </c>
      <c r="Z42" s="48">
        <f t="shared" si="17"/>
        <v>593892.8539060998</v>
      </c>
      <c r="AA42" s="48">
        <f t="shared" si="18"/>
        <v>670883.01826070005</v>
      </c>
      <c r="AB42" s="48">
        <f t="shared" si="19"/>
        <v>727154.03193440009</v>
      </c>
      <c r="AC42" s="48">
        <f t="shared" si="20"/>
        <v>784795.42359260004</v>
      </c>
      <c r="AD42" s="1"/>
      <c r="AE42" s="1"/>
      <c r="AF42" s="1"/>
      <c r="AI42" s="9"/>
      <c r="AJ42" s="1"/>
      <c r="AK42" s="1"/>
      <c r="AL42" s="1"/>
      <c r="AM42" s="1"/>
      <c r="AN42" s="1"/>
      <c r="AO42" s="1"/>
      <c r="AP42" s="9"/>
      <c r="AQ42" s="3"/>
      <c r="AR42" s="4"/>
      <c r="AS42" s="1"/>
      <c r="AT42" s="1"/>
      <c r="AU42" s="1"/>
      <c r="AV42" s="1"/>
      <c r="AW42" s="1"/>
      <c r="AX42" s="3"/>
      <c r="AY42" s="3"/>
      <c r="AZ42" s="5"/>
      <c r="BA42" s="5"/>
      <c r="BB42" s="5"/>
      <c r="BC42" s="5"/>
      <c r="BD42" s="6"/>
      <c r="BE42" s="6"/>
      <c r="BF42" s="12"/>
      <c r="BG42" s="12"/>
      <c r="BH42" s="12"/>
      <c r="BI42" s="12"/>
      <c r="BJ42" s="12"/>
    </row>
    <row r="43" spans="2:62" x14ac:dyDescent="0.25">
      <c r="B43" s="1" t="s">
        <v>1180</v>
      </c>
      <c r="C43" s="1" t="s">
        <v>1298</v>
      </c>
      <c r="D43" s="1" t="s">
        <v>1190</v>
      </c>
      <c r="E43" s="1" t="s">
        <v>1299</v>
      </c>
      <c r="F43" s="1" t="s">
        <v>1300</v>
      </c>
      <c r="G43" s="1" t="s">
        <v>1236</v>
      </c>
      <c r="H43" s="1" t="s">
        <v>1237</v>
      </c>
      <c r="I43" s="7" t="s">
        <v>1187</v>
      </c>
      <c r="J43" s="44">
        <v>1</v>
      </c>
      <c r="K43" s="45">
        <v>1</v>
      </c>
      <c r="L43" s="1">
        <v>997</v>
      </c>
      <c r="M43" s="1" t="s">
        <v>1188</v>
      </c>
      <c r="N43" s="1" t="s">
        <v>1141</v>
      </c>
      <c r="O43" s="1" t="s">
        <v>1189</v>
      </c>
      <c r="P43" s="7" t="s">
        <v>1073</v>
      </c>
      <c r="Q43" s="44">
        <f>IF($L43=996,Multipliers!C$174,IF($L43=997,Multipliers!C$175,IF($L43=998,Multipliers!C$176,"NONE")))</f>
        <v>1.3</v>
      </c>
      <c r="R43" s="44">
        <f>IF($L43=996,Multipliers!C$5,IF($L43=997,Multipliers!C$6,IF($L43=998,Multipliers!C$7,"NONE")))</f>
        <v>1.34</v>
      </c>
      <c r="S43" s="46">
        <f t="shared" si="12"/>
        <v>576770.33050000016</v>
      </c>
      <c r="T43" s="46">
        <f t="shared" si="13"/>
        <v>595942.1664000001</v>
      </c>
      <c r="U43" s="46">
        <f t="shared" si="11"/>
        <v>589982.74473600008</v>
      </c>
      <c r="V43" s="46">
        <f t="shared" si="14"/>
        <v>670883.01826070005</v>
      </c>
      <c r="W43" s="47">
        <f t="shared" si="15"/>
        <v>670883.01826070005</v>
      </c>
      <c r="X43" s="47"/>
      <c r="Y43" s="48">
        <f t="shared" si="16"/>
        <v>537627.23286300001</v>
      </c>
      <c r="Z43" s="48">
        <f t="shared" si="17"/>
        <v>593892.8539060998</v>
      </c>
      <c r="AA43" s="48">
        <f t="shared" si="18"/>
        <v>670883.01826070005</v>
      </c>
      <c r="AB43" s="48">
        <f t="shared" si="19"/>
        <v>727154.03193440009</v>
      </c>
      <c r="AC43" s="48">
        <f t="shared" si="20"/>
        <v>784795.42359260004</v>
      </c>
      <c r="AD43" s="1"/>
      <c r="AE43" s="1"/>
      <c r="AF43" s="1"/>
      <c r="AI43" s="9"/>
      <c r="AJ43" s="1"/>
      <c r="AK43" s="1"/>
      <c r="AL43" s="1"/>
      <c r="AM43" s="1"/>
      <c r="AN43" s="1"/>
      <c r="AO43" s="1"/>
      <c r="AP43" s="9"/>
      <c r="AQ43" s="3"/>
      <c r="AR43" s="4"/>
      <c r="AS43" s="1"/>
      <c r="AT43" s="1"/>
      <c r="AU43" s="1"/>
      <c r="AV43" s="1"/>
      <c r="AW43" s="1"/>
      <c r="AX43" s="3"/>
      <c r="AY43" s="3"/>
      <c r="AZ43" s="5"/>
      <c r="BA43" s="5"/>
      <c r="BB43" s="5"/>
      <c r="BC43" s="5"/>
      <c r="BD43" s="6"/>
      <c r="BE43" s="6"/>
      <c r="BF43" s="12"/>
      <c r="BG43" s="12"/>
      <c r="BH43" s="12"/>
      <c r="BI43" s="12"/>
      <c r="BJ43" s="12"/>
    </row>
    <row r="44" spans="2:62" x14ac:dyDescent="0.25">
      <c r="B44" s="1" t="s">
        <v>1180</v>
      </c>
      <c r="C44" s="1" t="s">
        <v>1181</v>
      </c>
      <c r="D44" s="1" t="s">
        <v>1301</v>
      </c>
      <c r="E44" s="1" t="s">
        <v>1192</v>
      </c>
      <c r="F44" s="1" t="s">
        <v>1302</v>
      </c>
      <c r="G44" s="1" t="s">
        <v>1202</v>
      </c>
      <c r="H44" s="1" t="s">
        <v>1203</v>
      </c>
      <c r="I44" s="7" t="s">
        <v>1187</v>
      </c>
      <c r="J44" s="44">
        <v>1</v>
      </c>
      <c r="K44" s="45">
        <v>4</v>
      </c>
      <c r="L44" s="1">
        <v>997</v>
      </c>
      <c r="M44" s="1" t="s">
        <v>1188</v>
      </c>
      <c r="N44" s="1" t="s">
        <v>1141</v>
      </c>
      <c r="O44" s="1" t="s">
        <v>1189</v>
      </c>
      <c r="P44" s="7" t="s">
        <v>1073</v>
      </c>
      <c r="Q44" s="44">
        <f>IF($L44=996,Multipliers!C$174,IF($L44=997,Multipliers!C$175,IF($L44=998,Multipliers!C$176,"NONE")))</f>
        <v>1.3</v>
      </c>
      <c r="R44" s="44">
        <f>IF($L44=996,Multipliers!C$5,IF($L44=997,Multipliers!C$6,IF($L44=998,Multipliers!C$7,"NONE")))</f>
        <v>1.34</v>
      </c>
      <c r="S44" s="46">
        <f t="shared" si="12"/>
        <v>576770.33050000016</v>
      </c>
      <c r="T44" s="46">
        <f t="shared" si="13"/>
        <v>595942.1664000001</v>
      </c>
      <c r="U44" s="46">
        <f t="shared" si="11"/>
        <v>589982.74473600008</v>
      </c>
      <c r="V44" s="46">
        <f t="shared" si="14"/>
        <v>670883.01826070005</v>
      </c>
      <c r="W44" s="47">
        <f t="shared" si="15"/>
        <v>670883.01826070005</v>
      </c>
      <c r="X44" s="47"/>
      <c r="Y44" s="48">
        <f t="shared" si="16"/>
        <v>537627.23286300001</v>
      </c>
      <c r="Z44" s="48">
        <f t="shared" si="17"/>
        <v>593892.8539060998</v>
      </c>
      <c r="AA44" s="48">
        <f t="shared" si="18"/>
        <v>670883.01826070005</v>
      </c>
      <c r="AB44" s="48">
        <f t="shared" si="19"/>
        <v>727154.03193440009</v>
      </c>
      <c r="AC44" s="48">
        <f t="shared" si="20"/>
        <v>784795.42359260004</v>
      </c>
      <c r="AD44" s="1"/>
      <c r="AE44" s="1"/>
      <c r="AF44" s="1"/>
      <c r="AI44" s="9"/>
      <c r="AJ44" s="1"/>
      <c r="AK44" s="1"/>
      <c r="AL44" s="1"/>
      <c r="AM44" s="1"/>
      <c r="AN44" s="1"/>
      <c r="AO44" s="1"/>
      <c r="AP44" s="9"/>
      <c r="AQ44" s="3"/>
      <c r="AR44" s="4"/>
      <c r="AS44" s="1"/>
      <c r="AT44" s="1"/>
      <c r="AU44" s="1"/>
      <c r="AV44" s="1"/>
      <c r="AW44" s="1"/>
      <c r="AX44" s="3"/>
      <c r="AY44" s="3"/>
      <c r="AZ44" s="5"/>
      <c r="BA44" s="5"/>
      <c r="BB44" s="5"/>
      <c r="BC44" s="5"/>
      <c r="BD44" s="6"/>
      <c r="BE44" s="6"/>
      <c r="BF44" s="12"/>
      <c r="BG44" s="12"/>
      <c r="BH44" s="12"/>
      <c r="BI44" s="12"/>
      <c r="BJ44" s="12"/>
    </row>
    <row r="45" spans="2:62" x14ac:dyDescent="0.25">
      <c r="B45" s="1" t="s">
        <v>1180</v>
      </c>
      <c r="C45" s="1" t="s">
        <v>1303</v>
      </c>
      <c r="D45" s="1" t="s">
        <v>1190</v>
      </c>
      <c r="E45" s="1" t="s">
        <v>1304</v>
      </c>
      <c r="F45" s="1" t="s">
        <v>1305</v>
      </c>
      <c r="G45" s="1" t="s">
        <v>1194</v>
      </c>
      <c r="H45" s="1" t="s">
        <v>1195</v>
      </c>
      <c r="I45" s="7" t="s">
        <v>1187</v>
      </c>
      <c r="J45" s="44">
        <v>1</v>
      </c>
      <c r="K45" s="45">
        <v>1</v>
      </c>
      <c r="L45" s="1">
        <v>996</v>
      </c>
      <c r="M45" s="1" t="s">
        <v>1188</v>
      </c>
      <c r="N45" s="1" t="s">
        <v>1141</v>
      </c>
      <c r="O45" s="1" t="s">
        <v>1189</v>
      </c>
      <c r="P45" s="1" t="s">
        <v>1190</v>
      </c>
      <c r="Q45" s="44">
        <f>IF($L45=996,Multipliers!C$174,IF($L45=997,Multipliers!C$175,IF($L45=998,Multipliers!C$176,"NONE")))</f>
        <v>1.29</v>
      </c>
      <c r="R45" s="44">
        <f>IF($L45=996,Multipliers!C$5,IF($L45=997,Multipliers!C$6,IF($L45=998,Multipliers!C$7,"NONE")))</f>
        <v>1.34</v>
      </c>
      <c r="S45" s="46">
        <f t="shared" si="12"/>
        <v>572333.63565000007</v>
      </c>
      <c r="T45" s="46">
        <f t="shared" si="13"/>
        <v>595942.1664000001</v>
      </c>
      <c r="U45" s="46">
        <f t="shared" si="11"/>
        <v>589982.74473600008</v>
      </c>
      <c r="V45" s="46">
        <f>(S45+U45)/2</f>
        <v>581158.19019300002</v>
      </c>
      <c r="W45" s="47">
        <f t="shared" ref="W45:W66" si="21">IF(F45=F46,(V45+V46)/2,IF(F45=F44,(V45+V44)/2,IF(F45&lt;&gt;F44,V45)))</f>
        <v>581158.19019300002</v>
      </c>
      <c r="X45" s="47"/>
      <c r="Y45" s="48">
        <f>IF(N45="Standard",(((($Z$3*Q45)+($AD$3*R45*$T$5))/2)*$O$7),IF(N45="Severe",(((($AA$3*Q45)+($AE$3*R45*$T$5))/2)*$O$7),IF(N45="Hostile",(((($AB$3*Q45)+($AF$3*R45*$T$5))/2)*$O$7))))</f>
        <v>465666.31849500001</v>
      </c>
      <c r="Z45" s="48">
        <f>IF(N45="Standard",(((($Z$4*Q45)+($AD$4*R45*$T$5))/2)*$O$7),IF(N45="Severe",(((($AA$4*Q45)+($AE$4*R45*$T$5))/2)*$O$7),IF(N45="Hostile",(((($AB$4*Q45)+($AF$4*R45*$T$5))/2)*$O$7))))</f>
        <v>514428.62433899997</v>
      </c>
      <c r="AA45" s="48">
        <f>IF(N45="Standard",((($Z$5*Q45)+($AD$5*R45*$T$5))/2)*$O$7,IF(N45="Severe",((($AA$5*Q45)+($AE$5*R45*$T$5))/2)*$O$7,IF(N45="Hostile",((($AB$5*Q45)+($AF$5*R45*$T$5))/2)*$O$7)))</f>
        <v>581158.19019300013</v>
      </c>
      <c r="AB45" s="48">
        <f>IF(N45="Standard",((($Z$6*Q45)+($AD$6*R45*$T$5))/2)*$O$7,IF(N45="Severe",((($AA$6*Q45)+($AE$6*R45*$T$5))/2)*$O$7,IF(N45="Hostile",((($AB$6*Q45)+($AF$6*R45*$T$5))/2)*$O$7)))</f>
        <v>629926.37213100016</v>
      </c>
      <c r="AC45" s="48">
        <f>IF(N45="Standard",((($Z$7*Q45)+($AD$7*R45*$T$5))/2)*$O$7,IF(N45="Severe",((($AA$7*Q45)+($AE$7*R45*$T$5))/2)*$O$7,IF(N45="Hostile",((($AB$7*Q45)+($AF$7*R45*$T$5))/2)*$O$7)))</f>
        <v>679867.06659900001</v>
      </c>
      <c r="AD45" s="1"/>
      <c r="AE45" s="1"/>
      <c r="AF45" s="1"/>
      <c r="AI45" s="9"/>
      <c r="AJ45" s="1"/>
      <c r="AK45" s="1"/>
      <c r="AL45" s="1"/>
      <c r="AM45" s="1"/>
      <c r="AN45" s="1"/>
      <c r="AO45" s="1"/>
      <c r="AP45" s="9"/>
      <c r="AQ45" s="3"/>
      <c r="AR45" s="4"/>
      <c r="AS45" s="1"/>
      <c r="AT45" s="1"/>
      <c r="AU45" s="1"/>
      <c r="AV45" s="1"/>
      <c r="AW45" s="1"/>
      <c r="AX45" s="3"/>
      <c r="AY45" s="3"/>
      <c r="AZ45" s="5"/>
      <c r="BA45" s="5"/>
      <c r="BB45" s="5"/>
      <c r="BC45" s="5"/>
      <c r="BD45" s="6"/>
      <c r="BE45" s="6"/>
      <c r="BF45" s="12"/>
      <c r="BG45" s="12"/>
      <c r="BH45" s="12"/>
      <c r="BI45" s="12"/>
      <c r="BJ45" s="12"/>
    </row>
    <row r="46" spans="2:62" x14ac:dyDescent="0.25">
      <c r="B46" s="1" t="s">
        <v>1180</v>
      </c>
      <c r="C46" s="1" t="s">
        <v>1306</v>
      </c>
      <c r="D46" s="1" t="s">
        <v>1190</v>
      </c>
      <c r="E46" s="1" t="s">
        <v>1307</v>
      </c>
      <c r="F46" s="1" t="s">
        <v>1308</v>
      </c>
      <c r="G46" s="1" t="s">
        <v>1218</v>
      </c>
      <c r="H46" s="1" t="s">
        <v>1219</v>
      </c>
      <c r="I46" s="7" t="s">
        <v>1187</v>
      </c>
      <c r="J46" s="44">
        <v>1</v>
      </c>
      <c r="K46" s="45">
        <v>1</v>
      </c>
      <c r="L46" s="1">
        <v>997</v>
      </c>
      <c r="M46" s="1" t="s">
        <v>1188</v>
      </c>
      <c r="N46" s="1" t="s">
        <v>1141</v>
      </c>
      <c r="O46" s="1" t="s">
        <v>1189</v>
      </c>
      <c r="P46" s="7" t="s">
        <v>1073</v>
      </c>
      <c r="Q46" s="44">
        <f>IF($L46=996,Multipliers!C$174,IF($L46=997,Multipliers!C$175,IF($L46=998,Multipliers!C$176,"NONE")))</f>
        <v>1.3</v>
      </c>
      <c r="R46" s="44">
        <f>IF($L46=996,Multipliers!C$5,IF($L46=997,Multipliers!C$6,IF($L46=998,Multipliers!C$7,"NONE")))</f>
        <v>1.34</v>
      </c>
      <c r="S46" s="46">
        <f t="shared" si="12"/>
        <v>576770.33050000016</v>
      </c>
      <c r="T46" s="46">
        <f t="shared" si="13"/>
        <v>595942.1664000001</v>
      </c>
      <c r="U46" s="46">
        <f t="shared" ref="U46:U61" si="22">IF(O46="E",$T$3*T46,IF(O46="C",$T$4*T46,IF(O46="W",$T$5*T46,1)))</f>
        <v>589982.74473600008</v>
      </c>
      <c r="V46" s="46">
        <f>((S46+U46)/2*1.15)</f>
        <v>670883.01826070005</v>
      </c>
      <c r="W46" s="47">
        <f t="shared" si="21"/>
        <v>670883.01826070005</v>
      </c>
      <c r="X46" s="47"/>
      <c r="Y46" s="48">
        <f>IF(N46="Standard",(((($Z$3*Q46)+($AD$3*R46*$T$5))/2)*$O$7*1.15),IF(N46="Severe",(((($AA$3*Q46)+($AE$3*R46*$T$5))/2)*$O$7*1.15),IF(N46="Hostile",(((($AB$3*Q46)+($AF$3*R46*$T$5))/2)*$O$7*1.15))))</f>
        <v>537627.23286300001</v>
      </c>
      <c r="Z46" s="48">
        <f>IF(N46="Standard",(((($Z$4*Q46)+($AD$4*R46*$T$5))/2)*$O$7*1.15),IF(N46="Severe",(((($AA$4*Q46)+($AE$4*R46*$T$5))/2)*$O$7*1.15),IF(N46="Hostile",(((($AB$4*Q46)+($AF$4*R46*$T$5))/2)*$O$7*1.15))))</f>
        <v>593892.8539060998</v>
      </c>
      <c r="AA46" s="48">
        <f>IF(N46="Standard",(((($Z$5*Q46)+($AD$5*R46*$T$5))/2)*$O$7*1.15),IF(N46="Severe",(((($AA$5*Q46)+($AE$5*R46*$T$5))/2)*$O$7*1.15),IF(N46="Hostile",(((($AB$5*Q46)+($AF$5*R46*$T$5))/2)*$O$7*1.15))))</f>
        <v>670883.01826070005</v>
      </c>
      <c r="AB46" s="48">
        <f>IF(N46="Standard",(((($Z$6*Q46)+($AD$6*R46*$T$5))/2)*$O$7*1.15),IF(N46="Severe",(((($AA$6*Q46)+($AE$6*R46*$T$5))/2)*$O$7*1.15),IF(N46="Hostile",(((($AB$6*Q46)+($AF$6*R46*$T$5))/2)*$O$7*1.15))))</f>
        <v>727154.03193440009</v>
      </c>
      <c r="AC46" s="48">
        <f>IF(N46="Standard",(((($Z$7*Q46)+($AD$7*R46*$T$5))/2)*$O$7*1.15),IF(N46="Severe",(((($AA$7*Q46)+($AE$7*R46*$T$5))/2)*$O$7*1.15),IF(N46="Hostile",(((($AB$7*Q46)+($AF$7*R46*$T$5))/2)*$O$7*1.15))))</f>
        <v>784795.42359260004</v>
      </c>
      <c r="AD46" s="1"/>
      <c r="AE46" s="1"/>
      <c r="AF46" s="1"/>
      <c r="AI46" s="9"/>
      <c r="AJ46" s="1"/>
      <c r="AK46" s="1"/>
      <c r="AL46" s="1"/>
      <c r="AM46" s="1"/>
      <c r="AN46" s="1"/>
      <c r="AO46" s="1"/>
      <c r="AP46" s="9"/>
      <c r="AQ46" s="3"/>
      <c r="AR46" s="4"/>
      <c r="AS46" s="1"/>
      <c r="AT46" s="1"/>
      <c r="AU46" s="1"/>
      <c r="AV46" s="1"/>
      <c r="AW46" s="1"/>
      <c r="AX46" s="3"/>
      <c r="AY46" s="3"/>
      <c r="AZ46" s="5"/>
      <c r="BA46" s="5"/>
      <c r="BB46" s="5"/>
      <c r="BC46" s="5"/>
      <c r="BD46" s="6"/>
      <c r="BE46" s="6"/>
      <c r="BF46" s="12"/>
      <c r="BG46" s="12"/>
      <c r="BH46" s="12"/>
      <c r="BI46" s="12"/>
      <c r="BJ46" s="12"/>
    </row>
    <row r="47" spans="2:62" x14ac:dyDescent="0.25">
      <c r="B47" s="1" t="s">
        <v>1180</v>
      </c>
      <c r="C47" s="1" t="s">
        <v>1309</v>
      </c>
      <c r="D47" s="1" t="s">
        <v>1190</v>
      </c>
      <c r="E47" s="1" t="s">
        <v>1310</v>
      </c>
      <c r="F47" s="1" t="s">
        <v>1311</v>
      </c>
      <c r="G47" s="1" t="s">
        <v>1312</v>
      </c>
      <c r="H47" s="1" t="s">
        <v>1313</v>
      </c>
      <c r="I47" s="7" t="s">
        <v>1187</v>
      </c>
      <c r="J47" s="44">
        <v>1</v>
      </c>
      <c r="K47" s="45">
        <v>1</v>
      </c>
      <c r="L47" s="1">
        <v>996</v>
      </c>
      <c r="M47" s="1" t="s">
        <v>1188</v>
      </c>
      <c r="N47" s="1" t="s">
        <v>1141</v>
      </c>
      <c r="O47" s="1" t="s">
        <v>1189</v>
      </c>
      <c r="P47" s="1" t="s">
        <v>1190</v>
      </c>
      <c r="Q47" s="44">
        <f>IF($L47=996,Multipliers!C$174,IF($L47=997,Multipliers!C$175,IF($L47=998,Multipliers!C$176,"NONE")))</f>
        <v>1.29</v>
      </c>
      <c r="R47" s="44">
        <f>IF($L47=996,Multipliers!C$5,IF($L47=997,Multipliers!C$6,IF($L47=998,Multipliers!C$7,"NONE")))</f>
        <v>1.34</v>
      </c>
      <c r="S47" s="46">
        <f t="shared" si="12"/>
        <v>572333.63565000007</v>
      </c>
      <c r="T47" s="46">
        <f t="shared" si="13"/>
        <v>595942.1664000001</v>
      </c>
      <c r="U47" s="46">
        <f t="shared" si="22"/>
        <v>589982.74473600008</v>
      </c>
      <c r="V47" s="46">
        <f>(S47+U47)/2</f>
        <v>581158.19019300002</v>
      </c>
      <c r="W47" s="47">
        <f t="shared" si="21"/>
        <v>581158.19019300002</v>
      </c>
      <c r="X47" s="47"/>
      <c r="Y47" s="48">
        <f>IF(N47="Standard",(((($Z$3*Q47)+($AD$3*R47*$T$5))/2)*$O$7),IF(N47="Severe",(((($AA$3*Q47)+($AE$3*R47*$T$5))/2)*$O$7),IF(N47="Hostile",(((($AB$3*Q47)+($AF$3*R47*$T$5))/2)*$O$7))))</f>
        <v>465666.31849500001</v>
      </c>
      <c r="Z47" s="48">
        <f>IF(N47="Standard",(((($Z$4*Q47)+($AD$4*R47*$T$5))/2)*$O$7),IF(N47="Severe",(((($AA$4*Q47)+($AE$4*R47*$T$5))/2)*$O$7),IF(N47="Hostile",(((($AB$4*Q47)+($AF$4*R47*$T$5))/2)*$O$7))))</f>
        <v>514428.62433899997</v>
      </c>
      <c r="AA47" s="48">
        <f>IF(N47="Standard",((($Z$5*Q47)+($AD$5*R47*$T$5))/2)*$O$7,IF(N47="Severe",((($AA$5*Q47)+($AE$5*R47*$T$5))/2)*$O$7,IF(N47="Hostile",((($AB$5*Q47)+($AF$5*R47*$T$5))/2)*$O$7)))</f>
        <v>581158.19019300013</v>
      </c>
      <c r="AB47" s="48">
        <f>IF(N47="Standard",((($Z$6*Q47)+($AD$6*R47*$T$5))/2)*$O$7,IF(N47="Severe",((($AA$6*Q47)+($AE$6*R47*$T$5))/2)*$O$7,IF(N47="Hostile",((($AB$6*Q47)+($AF$6*R47*$T$5))/2)*$O$7)))</f>
        <v>629926.37213100016</v>
      </c>
      <c r="AC47" s="48">
        <f>IF(N47="Standard",((($Z$7*Q47)+($AD$7*R47*$T$5))/2)*$O$7,IF(N47="Severe",((($AA$7*Q47)+($AE$7*R47*$T$5))/2)*$O$7,IF(N47="Hostile",((($AB$7*Q47)+($AF$7*R47*$T$5))/2)*$O$7)))</f>
        <v>679867.06659900001</v>
      </c>
      <c r="AD47" s="1"/>
      <c r="AE47" s="1"/>
      <c r="AF47" s="1"/>
      <c r="AI47" s="9"/>
      <c r="AJ47" s="1"/>
      <c r="AK47" s="1"/>
      <c r="AL47" s="1"/>
      <c r="AM47" s="1"/>
      <c r="AN47" s="1"/>
      <c r="AO47" s="1"/>
      <c r="AP47" s="9"/>
      <c r="AQ47" s="3"/>
      <c r="AR47" s="4"/>
      <c r="AS47" s="1"/>
      <c r="AT47" s="1"/>
      <c r="AU47" s="1"/>
      <c r="AV47" s="1"/>
      <c r="AW47" s="1"/>
      <c r="AX47" s="3"/>
      <c r="AY47" s="3"/>
      <c r="AZ47" s="5"/>
      <c r="BA47" s="5"/>
      <c r="BB47" s="5"/>
      <c r="BC47" s="5"/>
      <c r="BD47" s="6"/>
      <c r="BE47" s="6"/>
      <c r="BF47" s="12"/>
      <c r="BG47" s="12"/>
      <c r="BH47" s="12"/>
      <c r="BI47" s="12"/>
      <c r="BJ47" s="12"/>
    </row>
    <row r="48" spans="2:62" x14ac:dyDescent="0.25">
      <c r="B48" s="1" t="s">
        <v>1180</v>
      </c>
      <c r="C48" s="1" t="s">
        <v>1314</v>
      </c>
      <c r="D48" s="1" t="s">
        <v>1190</v>
      </c>
      <c r="E48" s="1" t="s">
        <v>1315</v>
      </c>
      <c r="F48" s="1" t="s">
        <v>1316</v>
      </c>
      <c r="G48" s="1" t="s">
        <v>1202</v>
      </c>
      <c r="H48" s="1" t="s">
        <v>1203</v>
      </c>
      <c r="I48" s="7" t="s">
        <v>1187</v>
      </c>
      <c r="J48" s="44">
        <v>1</v>
      </c>
      <c r="K48" s="45">
        <v>1</v>
      </c>
      <c r="L48" s="1">
        <v>997</v>
      </c>
      <c r="M48" s="1" t="s">
        <v>1188</v>
      </c>
      <c r="N48" s="1" t="s">
        <v>1141</v>
      </c>
      <c r="O48" s="1" t="s">
        <v>1189</v>
      </c>
      <c r="P48" s="7" t="s">
        <v>1073</v>
      </c>
      <c r="Q48" s="44">
        <f>IF($L48=996,Multipliers!C$174,IF($L48=997,Multipliers!C$175,IF($L48=998,Multipliers!C$176,"NONE")))</f>
        <v>1.3</v>
      </c>
      <c r="R48" s="44">
        <f>IF($L48=996,Multipliers!C$5,IF($L48=997,Multipliers!C$6,IF($L48=998,Multipliers!C$7,"NONE")))</f>
        <v>1.34</v>
      </c>
      <c r="S48" s="46">
        <f t="shared" si="12"/>
        <v>576770.33050000016</v>
      </c>
      <c r="T48" s="46">
        <f t="shared" si="13"/>
        <v>595942.1664000001</v>
      </c>
      <c r="U48" s="46">
        <f t="shared" si="22"/>
        <v>589982.74473600008</v>
      </c>
      <c r="V48" s="46">
        <f>((S48+U48)/2*1.15)</f>
        <v>670883.01826070005</v>
      </c>
      <c r="W48" s="47">
        <f t="shared" si="21"/>
        <v>670883.01826070005</v>
      </c>
      <c r="X48" s="47"/>
      <c r="Y48" s="48">
        <f>IF(N48="Standard",(((($Z$3*Q48)+($AD$3*R48*$T$5))/2)*$O$7*1.15),IF(N48="Severe",(((($AA$3*Q48)+($AE$3*R48*$T$5))/2)*$O$7*1.15),IF(N48="Hostile",(((($AB$3*Q48)+($AF$3*R48*$T$5))/2)*$O$7*1.15))))</f>
        <v>537627.23286300001</v>
      </c>
      <c r="Z48" s="48">
        <f>IF(N48="Standard",(((($Z$4*Q48)+($AD$4*R48*$T$5))/2)*$O$7*1.15),IF(N48="Severe",(((($AA$4*Q48)+($AE$4*R48*$T$5))/2)*$O$7*1.15),IF(N48="Hostile",(((($AB$4*Q48)+($AF$4*R48*$T$5))/2)*$O$7*1.15))))</f>
        <v>593892.8539060998</v>
      </c>
      <c r="AA48" s="48">
        <f>IF(N48="Standard",(((($Z$5*Q48)+($AD$5*R48*$T$5))/2)*$O$7*1.15),IF(N48="Severe",(((($AA$5*Q48)+($AE$5*R48*$T$5))/2)*$O$7*1.15),IF(N48="Hostile",(((($AB$5*Q48)+($AF$5*R48*$T$5))/2)*$O$7*1.15))))</f>
        <v>670883.01826070005</v>
      </c>
      <c r="AB48" s="48">
        <f>IF(N48="Standard",(((($Z$6*Q48)+($AD$6*R48*$T$5))/2)*$O$7*1.15),IF(N48="Severe",(((($AA$6*Q48)+($AE$6*R48*$T$5))/2)*$O$7*1.15),IF(N48="Hostile",(((($AB$6*Q48)+($AF$6*R48*$T$5))/2)*$O$7*1.15))))</f>
        <v>727154.03193440009</v>
      </c>
      <c r="AC48" s="48">
        <f>IF(N48="Standard",(((($Z$7*Q48)+($AD$7*R48*$T$5))/2)*$O$7*1.15),IF(N48="Severe",(((($AA$7*Q48)+($AE$7*R48*$T$5))/2)*$O$7*1.15),IF(N48="Hostile",(((($AB$7*Q48)+($AF$7*R48*$T$5))/2)*$O$7*1.15))))</f>
        <v>784795.42359260004</v>
      </c>
      <c r="AD48" s="1"/>
      <c r="AE48" s="1"/>
      <c r="AF48" s="1"/>
      <c r="AI48" s="9"/>
      <c r="AJ48" s="1"/>
      <c r="AK48" s="1"/>
      <c r="AL48" s="1"/>
      <c r="AM48" s="1"/>
      <c r="AN48" s="1"/>
      <c r="AO48" s="1"/>
      <c r="AP48" s="9"/>
      <c r="AQ48" s="3"/>
      <c r="AR48" s="4"/>
      <c r="AS48" s="1"/>
      <c r="AT48" s="1"/>
      <c r="AU48" s="1"/>
      <c r="AV48" s="1"/>
      <c r="AW48" s="1"/>
      <c r="AX48" s="3"/>
      <c r="AY48" s="3"/>
      <c r="AZ48" s="5"/>
      <c r="BA48" s="5"/>
      <c r="BB48" s="5"/>
      <c r="BC48" s="5"/>
      <c r="BD48" s="6"/>
      <c r="BE48" s="6"/>
      <c r="BF48" s="12"/>
      <c r="BG48" s="12"/>
      <c r="BH48" s="12"/>
      <c r="BI48" s="12"/>
      <c r="BJ48" s="12"/>
    </row>
    <row r="49" spans="2:62" x14ac:dyDescent="0.25">
      <c r="B49" s="1" t="s">
        <v>1180</v>
      </c>
      <c r="C49" s="1" t="s">
        <v>1317</v>
      </c>
      <c r="D49" s="1" t="s">
        <v>1190</v>
      </c>
      <c r="E49" s="1" t="s">
        <v>1318</v>
      </c>
      <c r="F49" s="1" t="s">
        <v>1319</v>
      </c>
      <c r="G49" s="1" t="s">
        <v>1202</v>
      </c>
      <c r="H49" s="1" t="s">
        <v>1203</v>
      </c>
      <c r="I49" s="7" t="s">
        <v>1187</v>
      </c>
      <c r="J49" s="44">
        <v>1</v>
      </c>
      <c r="K49" s="45">
        <v>1</v>
      </c>
      <c r="L49" s="1">
        <v>997</v>
      </c>
      <c r="M49" s="1" t="s">
        <v>1188</v>
      </c>
      <c r="N49" s="1" t="s">
        <v>1141</v>
      </c>
      <c r="O49" s="1" t="s">
        <v>1189</v>
      </c>
      <c r="P49" s="7" t="s">
        <v>1073</v>
      </c>
      <c r="Q49" s="44">
        <f>IF($L49=996,Multipliers!C$174,IF($L49=997,Multipliers!C$175,IF($L49=998,Multipliers!C$176,"NONE")))</f>
        <v>1.3</v>
      </c>
      <c r="R49" s="44">
        <f>IF($L49=996,Multipliers!C$5,IF($L49=997,Multipliers!C$6,IF($L49=998,Multipliers!C$7,"NONE")))</f>
        <v>1.34</v>
      </c>
      <c r="S49" s="46">
        <f t="shared" si="12"/>
        <v>576770.33050000016</v>
      </c>
      <c r="T49" s="46">
        <f t="shared" si="13"/>
        <v>595942.1664000001</v>
      </c>
      <c r="U49" s="46">
        <f t="shared" si="22"/>
        <v>589982.74473600008</v>
      </c>
      <c r="V49" s="46">
        <f>((S49+U49)/2*1.15)</f>
        <v>670883.01826070005</v>
      </c>
      <c r="W49" s="47">
        <f t="shared" si="21"/>
        <v>670883.01826070005</v>
      </c>
      <c r="X49" s="47"/>
      <c r="Y49" s="48">
        <f>IF(N49="Standard",(((($Z$3*Q49)+($AD$3*R49*$T$5))/2)*$O$7*1.15),IF(N49="Severe",(((($AA$3*Q49)+($AE$3*R49*$T$5))/2)*$O$7*1.15),IF(N49="Hostile",(((($AB$3*Q49)+($AF$3*R49*$T$5))/2)*$O$7*1.15))))</f>
        <v>537627.23286300001</v>
      </c>
      <c r="Z49" s="48">
        <f>IF(N49="Standard",(((($Z$4*Q49)+($AD$4*R49*$T$5))/2)*$O$7*1.15),IF(N49="Severe",(((($AA$4*Q49)+($AE$4*R49*$T$5))/2)*$O$7*1.15),IF(N49="Hostile",(((($AB$4*Q49)+($AF$4*R49*$T$5))/2)*$O$7*1.15))))</f>
        <v>593892.8539060998</v>
      </c>
      <c r="AA49" s="48">
        <f>IF(N49="Standard",(((($Z$5*Q49)+($AD$5*R49*$T$5))/2)*$O$7*1.15),IF(N49="Severe",(((($AA$5*Q49)+($AE$5*R49*$T$5))/2)*$O$7*1.15),IF(N49="Hostile",(((($AB$5*Q49)+($AF$5*R49*$T$5))/2)*$O$7*1.15))))</f>
        <v>670883.01826070005</v>
      </c>
      <c r="AB49" s="48">
        <f>IF(N49="Standard",(((($Z$6*Q49)+($AD$6*R49*$T$5))/2)*$O$7*1.15),IF(N49="Severe",(((($AA$6*Q49)+($AE$6*R49*$T$5))/2)*$O$7*1.15),IF(N49="Hostile",(((($AB$6*Q49)+($AF$6*R49*$T$5))/2)*$O$7*1.15))))</f>
        <v>727154.03193440009</v>
      </c>
      <c r="AC49" s="48">
        <f>IF(N49="Standard",(((($Z$7*Q49)+($AD$7*R49*$T$5))/2)*$O$7*1.15),IF(N49="Severe",(((($AA$7*Q49)+($AE$7*R49*$T$5))/2)*$O$7*1.15),IF(N49="Hostile",(((($AB$7*Q49)+($AF$7*R49*$T$5))/2)*$O$7*1.15))))</f>
        <v>784795.42359260004</v>
      </c>
      <c r="AD49" s="1"/>
      <c r="AE49" s="1"/>
      <c r="AF49" s="1"/>
      <c r="AI49" s="9"/>
      <c r="AJ49" s="1"/>
      <c r="AK49" s="1"/>
      <c r="AL49" s="1"/>
      <c r="AM49" s="1"/>
      <c r="AN49" s="1"/>
      <c r="AO49" s="1"/>
      <c r="AP49" s="9"/>
      <c r="AQ49" s="3"/>
      <c r="AR49" s="4"/>
      <c r="AS49" s="1"/>
      <c r="AT49" s="1"/>
      <c r="AU49" s="1"/>
      <c r="AV49" s="1"/>
      <c r="AW49" s="1"/>
      <c r="AX49" s="3"/>
      <c r="AY49" s="3"/>
      <c r="AZ49" s="5"/>
      <c r="BA49" s="5"/>
      <c r="BB49" s="5"/>
      <c r="BC49" s="5"/>
      <c r="BD49" s="6"/>
      <c r="BE49" s="6"/>
      <c r="BF49" s="12"/>
      <c r="BG49" s="12"/>
      <c r="BH49" s="12"/>
      <c r="BI49" s="12"/>
      <c r="BJ49" s="12"/>
    </row>
    <row r="50" spans="2:62" x14ac:dyDescent="0.25">
      <c r="B50" s="1" t="s">
        <v>1180</v>
      </c>
      <c r="C50" s="1" t="s">
        <v>1181</v>
      </c>
      <c r="D50" s="1" t="s">
        <v>1320</v>
      </c>
      <c r="E50" s="1" t="s">
        <v>1321</v>
      </c>
      <c r="F50" s="1" t="s">
        <v>1322</v>
      </c>
      <c r="G50" s="1" t="s">
        <v>1323</v>
      </c>
      <c r="H50" s="1" t="s">
        <v>1324</v>
      </c>
      <c r="I50" s="7" t="s">
        <v>1187</v>
      </c>
      <c r="J50" s="44">
        <v>1</v>
      </c>
      <c r="K50" s="45">
        <v>1</v>
      </c>
      <c r="L50" s="1">
        <v>996</v>
      </c>
      <c r="M50" s="1" t="s">
        <v>1188</v>
      </c>
      <c r="N50" s="1" t="s">
        <v>1141</v>
      </c>
      <c r="O50" s="1" t="s">
        <v>1189</v>
      </c>
      <c r="P50" s="1" t="s">
        <v>1190</v>
      </c>
      <c r="Q50" s="44">
        <f>IF($L50=996,Multipliers!C$174,IF($L50=997,Multipliers!C$175,IF($L50=998,Multipliers!C$176,"NONE")))</f>
        <v>1.29</v>
      </c>
      <c r="R50" s="44">
        <f>IF($L50=996,Multipliers!C$5,IF($L50=997,Multipliers!C$6,IF($L50=998,Multipliers!C$7,"NONE")))</f>
        <v>1.34</v>
      </c>
      <c r="S50" s="46">
        <f t="shared" si="12"/>
        <v>572333.63565000007</v>
      </c>
      <c r="T50" s="46">
        <f t="shared" si="13"/>
        <v>595942.1664000001</v>
      </c>
      <c r="U50" s="46">
        <f t="shared" si="22"/>
        <v>589982.74473600008</v>
      </c>
      <c r="V50" s="46">
        <f>(S50+U50)/2</f>
        <v>581158.19019300002</v>
      </c>
      <c r="W50" s="47">
        <f t="shared" si="21"/>
        <v>581158.19019300002</v>
      </c>
      <c r="X50" s="47"/>
      <c r="Y50" s="48">
        <f>IF(N50="Standard",(((($Z$3*Q50)+($AD$3*R50*$T$5))/2)*$O$7),IF(N50="Severe",(((($AA$3*Q50)+($AE$3*R50*$T$5))/2)*$O$7),IF(N50="Hostile",(((($AB$3*Q50)+($AF$3*R50*$T$5))/2)*$O$7))))</f>
        <v>465666.31849500001</v>
      </c>
      <c r="Z50" s="48">
        <f>IF(N50="Standard",(((($Z$4*Q50)+($AD$4*R50*$T$5))/2)*$O$7),IF(N50="Severe",(((($AA$4*Q50)+($AE$4*R50*$T$5))/2)*$O$7),IF(N50="Hostile",(((($AB$4*Q50)+($AF$4*R50*$T$5))/2)*$O$7))))</f>
        <v>514428.62433899997</v>
      </c>
      <c r="AA50" s="48">
        <f>IF(N50="Standard",((($Z$5*Q50)+($AD$5*R50*$T$5))/2)*$O$7,IF(N50="Severe",((($AA$5*Q50)+($AE$5*R50*$T$5))/2)*$O$7,IF(N50="Hostile",((($AB$5*Q50)+($AF$5*R50*$T$5))/2)*$O$7)))</f>
        <v>581158.19019300013</v>
      </c>
      <c r="AB50" s="48">
        <f>IF(N50="Standard",((($Z$6*Q50)+($AD$6*R50*$T$5))/2)*$O$7,IF(N50="Severe",((($AA$6*Q50)+($AE$6*R50*$T$5))/2)*$O$7,IF(N50="Hostile",((($AB$6*Q50)+($AF$6*R50*$T$5))/2)*$O$7)))</f>
        <v>629926.37213100016</v>
      </c>
      <c r="AC50" s="48">
        <f>IF(N50="Standard",((($Z$7*Q50)+($AD$7*R50*$T$5))/2)*$O$7,IF(N50="Severe",((($AA$7*Q50)+($AE$7*R50*$T$5))/2)*$O$7,IF(N50="Hostile",((($AB$7*Q50)+($AF$7*R50*$T$5))/2)*$O$7)))</f>
        <v>679867.06659900001</v>
      </c>
      <c r="AD50" s="1"/>
      <c r="AE50" s="1"/>
      <c r="AF50" s="1"/>
      <c r="AI50" s="9"/>
      <c r="AJ50" s="1"/>
      <c r="AK50" s="1"/>
      <c r="AL50" s="1"/>
      <c r="AM50" s="1"/>
      <c r="AN50" s="1"/>
      <c r="AO50" s="1"/>
      <c r="AP50" s="9"/>
      <c r="AQ50" s="3"/>
      <c r="AR50" s="4"/>
      <c r="AS50" s="1"/>
      <c r="AT50" s="1"/>
      <c r="AU50" s="1"/>
      <c r="AV50" s="1"/>
      <c r="AW50" s="1"/>
      <c r="AX50" s="3"/>
      <c r="AY50" s="3"/>
      <c r="AZ50" s="5"/>
      <c r="BA50" s="5"/>
      <c r="BB50" s="5"/>
      <c r="BC50" s="5"/>
      <c r="BD50" s="6"/>
      <c r="BE50" s="6"/>
      <c r="BF50" s="12"/>
      <c r="BG50" s="12"/>
      <c r="BH50" s="12"/>
      <c r="BI50" s="12"/>
      <c r="BJ50" s="12"/>
    </row>
    <row r="51" spans="2:62" x14ac:dyDescent="0.25">
      <c r="B51" s="1" t="s">
        <v>1180</v>
      </c>
      <c r="C51" s="1" t="s">
        <v>1325</v>
      </c>
      <c r="D51" s="1" t="s">
        <v>1190</v>
      </c>
      <c r="E51" s="1" t="s">
        <v>1326</v>
      </c>
      <c r="F51" s="1" t="s">
        <v>1327</v>
      </c>
      <c r="G51" s="1" t="s">
        <v>1223</v>
      </c>
      <c r="H51" s="1" t="s">
        <v>1224</v>
      </c>
      <c r="I51" s="7" t="s">
        <v>1187</v>
      </c>
      <c r="J51" s="44">
        <v>1</v>
      </c>
      <c r="K51" s="45">
        <v>1</v>
      </c>
      <c r="L51" s="1">
        <v>997</v>
      </c>
      <c r="M51" s="1" t="s">
        <v>1188</v>
      </c>
      <c r="N51" s="1" t="s">
        <v>1141</v>
      </c>
      <c r="O51" s="1" t="s">
        <v>1189</v>
      </c>
      <c r="P51" s="7" t="s">
        <v>1073</v>
      </c>
      <c r="Q51" s="44">
        <f>IF($L51=996,Multipliers!C$174,IF($L51=997,Multipliers!C$175,IF($L51=998,Multipliers!C$176,"NONE")))</f>
        <v>1.3</v>
      </c>
      <c r="R51" s="44">
        <f>IF($L51=996,Multipliers!C$5,IF($L51=997,Multipliers!C$6,IF($L51=998,Multipliers!C$7,"NONE")))</f>
        <v>1.34</v>
      </c>
      <c r="S51" s="46">
        <f t="shared" si="12"/>
        <v>576770.33050000016</v>
      </c>
      <c r="T51" s="46">
        <f t="shared" si="13"/>
        <v>595942.1664000001</v>
      </c>
      <c r="U51" s="46">
        <f t="shared" si="22"/>
        <v>589982.74473600008</v>
      </c>
      <c r="V51" s="46">
        <f>((S51+U51)/2*1.15)</f>
        <v>670883.01826070005</v>
      </c>
      <c r="W51" s="47">
        <f t="shared" si="21"/>
        <v>670883.01826070005</v>
      </c>
      <c r="X51" s="47"/>
      <c r="Y51" s="48">
        <f>IF(N51="Standard",(((($Z$3*Q51)+($AD$3*R51*$T$5))/2)*$O$7*1.15),IF(N51="Severe",(((($AA$3*Q51)+($AE$3*R51*$T$5))/2)*$O$7*1.15),IF(N51="Hostile",(((($AB$3*Q51)+($AF$3*R51*$T$5))/2)*$O$7*1.15))))</f>
        <v>537627.23286300001</v>
      </c>
      <c r="Z51" s="48">
        <f>IF(N51="Standard",(((($Z$4*Q51)+($AD$4*R51*$T$5))/2)*$O$7*1.15),IF(N51="Severe",(((($AA$4*Q51)+($AE$4*R51*$T$5))/2)*$O$7*1.15),IF(N51="Hostile",(((($AB$4*Q51)+($AF$4*R51*$T$5))/2)*$O$7*1.15))))</f>
        <v>593892.8539060998</v>
      </c>
      <c r="AA51" s="48">
        <f>IF(N51="Standard",(((($Z$5*Q51)+($AD$5*R51*$T$5))/2)*$O$7*1.15),IF(N51="Severe",(((($AA$5*Q51)+($AE$5*R51*$T$5))/2)*$O$7*1.15),IF(N51="Hostile",(((($AB$5*Q51)+($AF$5*R51*$T$5))/2)*$O$7*1.15))))</f>
        <v>670883.01826070005</v>
      </c>
      <c r="AB51" s="48">
        <f>IF(N51="Standard",(((($Z$6*Q51)+($AD$6*R51*$T$5))/2)*$O$7*1.15),IF(N51="Severe",(((($AA$6*Q51)+($AE$6*R51*$T$5))/2)*$O$7*1.15),IF(N51="Hostile",(((($AB$6*Q51)+($AF$6*R51*$T$5))/2)*$O$7*1.15))))</f>
        <v>727154.03193440009</v>
      </c>
      <c r="AC51" s="48">
        <f>IF(N51="Standard",(((($Z$7*Q51)+($AD$7*R51*$T$5))/2)*$O$7*1.15),IF(N51="Severe",(((($AA$7*Q51)+($AE$7*R51*$T$5))/2)*$O$7*1.15),IF(N51="Hostile",(((($AB$7*Q51)+($AF$7*R51*$T$5))/2)*$O$7*1.15))))</f>
        <v>784795.42359260004</v>
      </c>
      <c r="AD51" s="1"/>
      <c r="AE51" s="1"/>
      <c r="AF51" s="1"/>
      <c r="AI51" s="9"/>
      <c r="AJ51" s="1"/>
      <c r="AK51" s="1"/>
      <c r="AL51" s="1"/>
      <c r="AM51" s="1"/>
      <c r="AN51" s="1"/>
      <c r="AO51" s="1"/>
      <c r="AP51" s="9"/>
      <c r="AQ51" s="3"/>
      <c r="AR51" s="4"/>
      <c r="AS51" s="1"/>
      <c r="AT51" s="1"/>
      <c r="AU51" s="1"/>
      <c r="AV51" s="1"/>
      <c r="AW51" s="1"/>
      <c r="AX51" s="3"/>
      <c r="AY51" s="3"/>
      <c r="AZ51" s="5"/>
      <c r="BA51" s="5"/>
      <c r="BB51" s="5"/>
      <c r="BC51" s="5"/>
      <c r="BD51" s="6"/>
      <c r="BE51" s="6"/>
      <c r="BF51" s="12"/>
      <c r="BG51" s="12"/>
      <c r="BH51" s="12"/>
      <c r="BI51" s="12"/>
      <c r="BJ51" s="12"/>
    </row>
    <row r="52" spans="2:62" x14ac:dyDescent="0.25">
      <c r="B52" s="1" t="s">
        <v>1180</v>
      </c>
      <c r="C52" s="1" t="s">
        <v>1328</v>
      </c>
      <c r="D52" s="1" t="s">
        <v>1190</v>
      </c>
      <c r="E52" s="1" t="s">
        <v>1329</v>
      </c>
      <c r="F52" s="1" t="s">
        <v>1330</v>
      </c>
      <c r="G52" s="1" t="s">
        <v>1223</v>
      </c>
      <c r="H52" s="1" t="s">
        <v>1224</v>
      </c>
      <c r="I52" s="7" t="s">
        <v>1187</v>
      </c>
      <c r="J52" s="44">
        <v>1</v>
      </c>
      <c r="K52" s="45">
        <v>1</v>
      </c>
      <c r="L52" s="1">
        <v>997</v>
      </c>
      <c r="M52" s="1" t="s">
        <v>1188</v>
      </c>
      <c r="N52" s="1" t="s">
        <v>1141</v>
      </c>
      <c r="O52" s="1" t="s">
        <v>1189</v>
      </c>
      <c r="P52" s="7" t="s">
        <v>1073</v>
      </c>
      <c r="Q52" s="44">
        <f>IF($L52=996,Multipliers!C$174,IF($L52=997,Multipliers!C$175,IF($L52=998,Multipliers!C$176,"NONE")))</f>
        <v>1.3</v>
      </c>
      <c r="R52" s="44">
        <f>IF($L52=996,Multipliers!C$5,IF($L52=997,Multipliers!C$6,IF($L52=998,Multipliers!C$7,"NONE")))</f>
        <v>1.34</v>
      </c>
      <c r="S52" s="46">
        <f t="shared" si="12"/>
        <v>576770.33050000016</v>
      </c>
      <c r="T52" s="46">
        <f t="shared" si="13"/>
        <v>595942.1664000001</v>
      </c>
      <c r="U52" s="46">
        <f t="shared" si="22"/>
        <v>589982.74473600008</v>
      </c>
      <c r="V52" s="46">
        <f>((S52+U52)/2*1.15)</f>
        <v>670883.01826070005</v>
      </c>
      <c r="W52" s="47">
        <f t="shared" si="21"/>
        <v>670883.01826070005</v>
      </c>
      <c r="X52" s="47"/>
      <c r="Y52" s="48">
        <f>IF(N52="Standard",(((($Z$3*Q52)+($AD$3*R52*$T$5))/2)*$O$7*1.15),IF(N52="Severe",(((($AA$3*Q52)+($AE$3*R52*$T$5))/2)*$O$7*1.15),IF(N52="Hostile",(((($AB$3*Q52)+($AF$3*R52*$T$5))/2)*$O$7*1.15))))</f>
        <v>537627.23286300001</v>
      </c>
      <c r="Z52" s="48">
        <f>IF(N52="Standard",(((($Z$4*Q52)+($AD$4*R52*$T$5))/2)*$O$7*1.15),IF(N52="Severe",(((($AA$4*Q52)+($AE$4*R52*$T$5))/2)*$O$7*1.15),IF(N52="Hostile",(((($AB$4*Q52)+($AF$4*R52*$T$5))/2)*$O$7*1.15))))</f>
        <v>593892.8539060998</v>
      </c>
      <c r="AA52" s="48">
        <f>IF(N52="Standard",(((($Z$5*Q52)+($AD$5*R52*$T$5))/2)*$O$7*1.15),IF(N52="Severe",(((($AA$5*Q52)+($AE$5*R52*$T$5))/2)*$O$7*1.15),IF(N52="Hostile",(((($AB$5*Q52)+($AF$5*R52*$T$5))/2)*$O$7*1.15))))</f>
        <v>670883.01826070005</v>
      </c>
      <c r="AB52" s="48">
        <f>IF(N52="Standard",(((($Z$6*Q52)+($AD$6*R52*$T$5))/2)*$O$7*1.15),IF(N52="Severe",(((($AA$6*Q52)+($AE$6*R52*$T$5))/2)*$O$7*1.15),IF(N52="Hostile",(((($AB$6*Q52)+($AF$6*R52*$T$5))/2)*$O$7*1.15))))</f>
        <v>727154.03193440009</v>
      </c>
      <c r="AC52" s="48">
        <f>IF(N52="Standard",(((($Z$7*Q52)+($AD$7*R52*$T$5))/2)*$O$7*1.15),IF(N52="Severe",(((($AA$7*Q52)+($AE$7*R52*$T$5))/2)*$O$7*1.15),IF(N52="Hostile",(((($AB$7*Q52)+($AF$7*R52*$T$5))/2)*$O$7*1.15))))</f>
        <v>784795.42359260004</v>
      </c>
      <c r="AD52" s="1"/>
      <c r="AE52" s="1"/>
      <c r="AF52" s="1"/>
      <c r="AI52" s="9"/>
      <c r="AJ52" s="1"/>
      <c r="AK52" s="1"/>
      <c r="AL52" s="1"/>
      <c r="AM52" s="1"/>
      <c r="AN52" s="1"/>
      <c r="AO52" s="1"/>
      <c r="AP52" s="9"/>
      <c r="AQ52" s="3"/>
      <c r="AR52" s="4"/>
      <c r="AS52" s="1"/>
      <c r="AT52" s="1"/>
      <c r="AU52" s="1"/>
      <c r="AV52" s="1"/>
      <c r="AW52" s="1"/>
      <c r="AX52" s="3"/>
      <c r="AY52" s="3"/>
      <c r="AZ52" s="5"/>
      <c r="BA52" s="5"/>
      <c r="BB52" s="5"/>
      <c r="BC52" s="5"/>
      <c r="BD52" s="6"/>
      <c r="BE52" s="6"/>
      <c r="BF52" s="12"/>
      <c r="BG52" s="12"/>
      <c r="BH52" s="12"/>
      <c r="BI52" s="12"/>
      <c r="BJ52" s="12"/>
    </row>
    <row r="53" spans="2:62" x14ac:dyDescent="0.25">
      <c r="B53" s="1" t="s">
        <v>1180</v>
      </c>
      <c r="C53" s="1" t="s">
        <v>1331</v>
      </c>
      <c r="D53" s="1" t="s">
        <v>1190</v>
      </c>
      <c r="E53" s="1" t="s">
        <v>1329</v>
      </c>
      <c r="F53" s="1" t="s">
        <v>1332</v>
      </c>
      <c r="G53" s="1" t="s">
        <v>1223</v>
      </c>
      <c r="H53" s="1" t="s">
        <v>1224</v>
      </c>
      <c r="I53" s="7" t="s">
        <v>1187</v>
      </c>
      <c r="J53" s="44">
        <v>1</v>
      </c>
      <c r="K53" s="45">
        <v>1</v>
      </c>
      <c r="L53" s="1">
        <v>997</v>
      </c>
      <c r="M53" s="1" t="s">
        <v>1188</v>
      </c>
      <c r="N53" s="1" t="s">
        <v>1141</v>
      </c>
      <c r="O53" s="1" t="s">
        <v>1189</v>
      </c>
      <c r="P53" s="7" t="s">
        <v>1073</v>
      </c>
      <c r="Q53" s="44">
        <f>IF($L53=996,Multipliers!C$174,IF($L53=997,Multipliers!C$175,IF($L53=998,Multipliers!C$176,"NONE")))</f>
        <v>1.3</v>
      </c>
      <c r="R53" s="44">
        <f>IF($L53=996,Multipliers!C$5,IF($L53=997,Multipliers!C$6,IF($L53=998,Multipliers!C$7,"NONE")))</f>
        <v>1.34</v>
      </c>
      <c r="S53" s="46">
        <f t="shared" si="12"/>
        <v>576770.33050000016</v>
      </c>
      <c r="T53" s="46">
        <f t="shared" si="13"/>
        <v>595942.1664000001</v>
      </c>
      <c r="U53" s="46">
        <f t="shared" si="22"/>
        <v>589982.74473600008</v>
      </c>
      <c r="V53" s="46">
        <f>((S53+U53)/2*1.15)</f>
        <v>670883.01826070005</v>
      </c>
      <c r="W53" s="47">
        <f t="shared" si="21"/>
        <v>670883.01826070005</v>
      </c>
      <c r="X53" s="47"/>
      <c r="Y53" s="48">
        <f>IF(N53="Standard",(((($Z$3*Q53)+($AD$3*R53*$T$5))/2)*$O$7*1.15),IF(N53="Severe",(((($AA$3*Q53)+($AE$3*R53*$T$5))/2)*$O$7*1.15),IF(N53="Hostile",(((($AB$3*Q53)+($AF$3*R53*$T$5))/2)*$O$7*1.15))))</f>
        <v>537627.23286300001</v>
      </c>
      <c r="Z53" s="48">
        <f>IF(N53="Standard",(((($Z$4*Q53)+($AD$4*R53*$T$5))/2)*$O$7*1.15),IF(N53="Severe",(((($AA$4*Q53)+($AE$4*R53*$T$5))/2)*$O$7*1.15),IF(N53="Hostile",(((($AB$4*Q53)+($AF$4*R53*$T$5))/2)*$O$7*1.15))))</f>
        <v>593892.8539060998</v>
      </c>
      <c r="AA53" s="48">
        <f>IF(N53="Standard",(((($Z$5*Q53)+($AD$5*R53*$T$5))/2)*$O$7*1.15),IF(N53="Severe",(((($AA$5*Q53)+($AE$5*R53*$T$5))/2)*$O$7*1.15),IF(N53="Hostile",(((($AB$5*Q53)+($AF$5*R53*$T$5))/2)*$O$7*1.15))))</f>
        <v>670883.01826070005</v>
      </c>
      <c r="AB53" s="48">
        <f>IF(N53="Standard",(((($Z$6*Q53)+($AD$6*R53*$T$5))/2)*$O$7*1.15),IF(N53="Severe",(((($AA$6*Q53)+($AE$6*R53*$T$5))/2)*$O$7*1.15),IF(N53="Hostile",(((($AB$6*Q53)+($AF$6*R53*$T$5))/2)*$O$7*1.15))))</f>
        <v>727154.03193440009</v>
      </c>
      <c r="AC53" s="48">
        <f>IF(N53="Standard",(((($Z$7*Q53)+($AD$7*R53*$T$5))/2)*$O$7*1.15),IF(N53="Severe",(((($AA$7*Q53)+($AE$7*R53*$T$5))/2)*$O$7*1.15),IF(N53="Hostile",(((($AB$7*Q53)+($AF$7*R53*$T$5))/2)*$O$7*1.15))))</f>
        <v>784795.42359260004</v>
      </c>
      <c r="AD53" s="1"/>
      <c r="AE53" s="1"/>
      <c r="AF53" s="1"/>
      <c r="AI53" s="9"/>
      <c r="AJ53" s="1"/>
      <c r="AK53" s="1"/>
      <c r="AL53" s="1"/>
      <c r="AM53" s="1"/>
      <c r="AN53" s="1"/>
      <c r="AO53" s="1"/>
      <c r="AP53" s="9"/>
      <c r="AQ53" s="3"/>
      <c r="AR53" s="4"/>
      <c r="AS53" s="1"/>
      <c r="AT53" s="1"/>
      <c r="AU53" s="1"/>
      <c r="AV53" s="1"/>
      <c r="AW53" s="1"/>
      <c r="AX53" s="3"/>
      <c r="AY53" s="3"/>
      <c r="AZ53" s="5"/>
      <c r="BA53" s="5"/>
      <c r="BB53" s="5"/>
      <c r="BC53" s="5"/>
      <c r="BD53" s="6"/>
      <c r="BE53" s="6"/>
      <c r="BF53" s="12"/>
      <c r="BG53" s="12"/>
      <c r="BH53" s="12"/>
      <c r="BI53" s="12"/>
      <c r="BJ53" s="12"/>
    </row>
    <row r="54" spans="2:62" x14ac:dyDescent="0.25">
      <c r="B54" s="1" t="s">
        <v>1180</v>
      </c>
      <c r="C54" s="1" t="s">
        <v>1333</v>
      </c>
      <c r="D54" s="1" t="s">
        <v>1190</v>
      </c>
      <c r="E54" s="1" t="s">
        <v>1334</v>
      </c>
      <c r="F54" s="1" t="s">
        <v>1335</v>
      </c>
      <c r="G54" s="1" t="s">
        <v>1249</v>
      </c>
      <c r="H54" s="1" t="s">
        <v>1250</v>
      </c>
      <c r="I54" s="7" t="s">
        <v>1187</v>
      </c>
      <c r="J54" s="44">
        <v>1</v>
      </c>
      <c r="K54" s="45">
        <v>1</v>
      </c>
      <c r="L54" s="1">
        <v>996</v>
      </c>
      <c r="M54" s="1" t="s">
        <v>1188</v>
      </c>
      <c r="N54" s="1" t="s">
        <v>1141</v>
      </c>
      <c r="O54" s="1" t="s">
        <v>1189</v>
      </c>
      <c r="P54" s="1" t="s">
        <v>1190</v>
      </c>
      <c r="Q54" s="44">
        <f>IF($L54=996,Multipliers!C$174,IF($L54=997,Multipliers!C$175,IF($L54=998,Multipliers!C$176,"NONE")))</f>
        <v>1.29</v>
      </c>
      <c r="R54" s="44">
        <f>IF($L54=996,Multipliers!C$5,IF($L54=997,Multipliers!C$6,IF($L54=998,Multipliers!C$7,"NONE")))</f>
        <v>1.34</v>
      </c>
      <c r="S54" s="46">
        <f t="shared" si="12"/>
        <v>572333.63565000007</v>
      </c>
      <c r="T54" s="46">
        <f t="shared" si="13"/>
        <v>595942.1664000001</v>
      </c>
      <c r="U54" s="46">
        <f t="shared" si="22"/>
        <v>589982.74473600008</v>
      </c>
      <c r="V54" s="46">
        <f>(S54+U54)/2</f>
        <v>581158.19019300002</v>
      </c>
      <c r="W54" s="47">
        <f t="shared" si="21"/>
        <v>581158.19019300002</v>
      </c>
      <c r="X54" s="47"/>
      <c r="Y54" s="48">
        <f>IF(N54="Standard",(((($Z$3*Q54)+($AD$3*R54*$T$5))/2)*$O$7),IF(N54="Severe",(((($AA$3*Q54)+($AE$3*R54*$T$5))/2)*$O$7),IF(N54="Hostile",(((($AB$3*Q54)+($AF$3*R54*$T$5))/2)*$O$7))))</f>
        <v>465666.31849500001</v>
      </c>
      <c r="Z54" s="48">
        <f>IF(N54="Standard",(((($Z$4*Q54)+($AD$4*R54*$T$5))/2)*$O$7),IF(N54="Severe",(((($AA$4*Q54)+($AE$4*R54*$T$5))/2)*$O$7),IF(N54="Hostile",(((($AB$4*Q54)+($AF$4*R54*$T$5))/2)*$O$7))))</f>
        <v>514428.62433899997</v>
      </c>
      <c r="AA54" s="48">
        <f>IF(N54="Standard",((($Z$5*Q54)+($AD$5*R54*$T$5))/2)*$O$7,IF(N54="Severe",((($AA$5*Q54)+($AE$5*R54*$T$5))/2)*$O$7,IF(N54="Hostile",((($AB$5*Q54)+($AF$5*R54*$T$5))/2)*$O$7)))</f>
        <v>581158.19019300013</v>
      </c>
      <c r="AB54" s="48">
        <f>IF(N54="Standard",((($Z$6*Q54)+($AD$6*R54*$T$5))/2)*$O$7,IF(N54="Severe",((($AA$6*Q54)+($AE$6*R54*$T$5))/2)*$O$7,IF(N54="Hostile",((($AB$6*Q54)+($AF$6*R54*$T$5))/2)*$O$7)))</f>
        <v>629926.37213100016</v>
      </c>
      <c r="AC54" s="48">
        <f>IF(N54="Standard",((($Z$7*Q54)+($AD$7*R54*$T$5))/2)*$O$7,IF(N54="Severe",((($AA$7*Q54)+($AE$7*R54*$T$5))/2)*$O$7,IF(N54="Hostile",((($AB$7*Q54)+($AF$7*R54*$T$5))/2)*$O$7)))</f>
        <v>679867.06659900001</v>
      </c>
      <c r="AD54" s="1"/>
      <c r="AE54" s="1"/>
      <c r="AF54" s="1"/>
      <c r="AI54" s="9"/>
      <c r="AJ54" s="1"/>
      <c r="AK54" s="1"/>
      <c r="AL54" s="1"/>
      <c r="AM54" s="1"/>
      <c r="AN54" s="1"/>
      <c r="AO54" s="1"/>
      <c r="AP54" s="9"/>
      <c r="AQ54" s="3"/>
      <c r="AR54" s="4"/>
      <c r="AS54" s="1"/>
      <c r="AT54" s="1"/>
      <c r="AU54" s="1"/>
      <c r="AV54" s="1"/>
      <c r="AW54" s="1"/>
      <c r="AX54" s="3"/>
      <c r="AY54" s="3"/>
      <c r="AZ54" s="5"/>
      <c r="BA54" s="5"/>
      <c r="BB54" s="5"/>
      <c r="BC54" s="5"/>
      <c r="BD54" s="6"/>
      <c r="BE54" s="6"/>
      <c r="BF54" s="12"/>
      <c r="BG54" s="12"/>
      <c r="BH54" s="12"/>
      <c r="BI54" s="12"/>
      <c r="BJ54" s="12"/>
    </row>
    <row r="55" spans="2:62" x14ac:dyDescent="0.25">
      <c r="B55" s="1" t="s">
        <v>1180</v>
      </c>
      <c r="C55" s="1" t="s">
        <v>1336</v>
      </c>
      <c r="D55" s="1" t="s">
        <v>1190</v>
      </c>
      <c r="E55" s="1" t="s">
        <v>1337</v>
      </c>
      <c r="F55" s="1" t="s">
        <v>1338</v>
      </c>
      <c r="G55" s="1" t="s">
        <v>1249</v>
      </c>
      <c r="H55" s="1" t="s">
        <v>1250</v>
      </c>
      <c r="I55" s="7" t="s">
        <v>1187</v>
      </c>
      <c r="J55" s="44">
        <v>1</v>
      </c>
      <c r="K55" s="45">
        <v>1</v>
      </c>
      <c r="L55" s="1">
        <v>996</v>
      </c>
      <c r="M55" s="1" t="s">
        <v>1188</v>
      </c>
      <c r="N55" s="1" t="s">
        <v>1141</v>
      </c>
      <c r="O55" s="1" t="s">
        <v>1189</v>
      </c>
      <c r="P55" s="1" t="s">
        <v>1190</v>
      </c>
      <c r="Q55" s="44">
        <f>IF($L55=996,Multipliers!C$174,IF($L55=997,Multipliers!C$175,IF($L55=998,Multipliers!C$176,"NONE")))</f>
        <v>1.29</v>
      </c>
      <c r="R55" s="44">
        <f>IF($L55=996,Multipliers!C$5,IF($L55=997,Multipliers!C$6,IF($L55=998,Multipliers!C$7,"NONE")))</f>
        <v>1.34</v>
      </c>
      <c r="S55" s="46">
        <f t="shared" si="12"/>
        <v>572333.63565000007</v>
      </c>
      <c r="T55" s="46">
        <f t="shared" si="13"/>
        <v>595942.1664000001</v>
      </c>
      <c r="U55" s="46">
        <f t="shared" si="22"/>
        <v>589982.74473600008</v>
      </c>
      <c r="V55" s="46">
        <f>(S55+U55)/2</f>
        <v>581158.19019300002</v>
      </c>
      <c r="W55" s="47">
        <f t="shared" si="21"/>
        <v>581158.19019300002</v>
      </c>
      <c r="X55" s="47"/>
      <c r="Y55" s="48">
        <f>IF(N55="Standard",(((($Z$3*Q55)+($AD$3*R55*$T$5))/2)*$O$7),IF(N55="Severe",(((($AA$3*Q55)+($AE$3*R55*$T$5))/2)*$O$7),IF(N55="Hostile",(((($AB$3*Q55)+($AF$3*R55*$T$5))/2)*$O$7))))</f>
        <v>465666.31849500001</v>
      </c>
      <c r="Z55" s="48">
        <f>IF(N55="Standard",(((($Z$4*Q55)+($AD$4*R55*$T$5))/2)*$O$7),IF(N55="Severe",(((($AA$4*Q55)+($AE$4*R55*$T$5))/2)*$O$7),IF(N55="Hostile",(((($AB$4*Q55)+($AF$4*R55*$T$5))/2)*$O$7))))</f>
        <v>514428.62433899997</v>
      </c>
      <c r="AA55" s="48">
        <f>IF(N55="Standard",((($Z$5*Q55)+($AD$5*R55*$T$5))/2)*$O$7,IF(N55="Severe",((($AA$5*Q55)+($AE$5*R55*$T$5))/2)*$O$7,IF(N55="Hostile",((($AB$5*Q55)+($AF$5*R55*$T$5))/2)*$O$7)))</f>
        <v>581158.19019300013</v>
      </c>
      <c r="AB55" s="48">
        <f>IF(N55="Standard",((($Z$6*Q55)+($AD$6*R55*$T$5))/2)*$O$7,IF(N55="Severe",((($AA$6*Q55)+($AE$6*R55*$T$5))/2)*$O$7,IF(N55="Hostile",((($AB$6*Q55)+($AF$6*R55*$T$5))/2)*$O$7)))</f>
        <v>629926.37213100016</v>
      </c>
      <c r="AC55" s="48">
        <f>IF(N55="Standard",((($Z$7*Q55)+($AD$7*R55*$T$5))/2)*$O$7,IF(N55="Severe",((($AA$7*Q55)+($AE$7*R55*$T$5))/2)*$O$7,IF(N55="Hostile",((($AB$7*Q55)+($AF$7*R55*$T$5))/2)*$O$7)))</f>
        <v>679867.06659900001</v>
      </c>
      <c r="AD55" s="1"/>
      <c r="AE55" s="1"/>
      <c r="AF55" s="1"/>
      <c r="AI55" s="9"/>
      <c r="AJ55" s="1"/>
      <c r="AK55" s="1"/>
      <c r="AL55" s="1"/>
      <c r="AM55" s="1"/>
      <c r="AN55" s="1"/>
      <c r="AO55" s="1"/>
      <c r="AP55" s="9"/>
      <c r="AQ55" s="3"/>
      <c r="AR55" s="4"/>
      <c r="AS55" s="1"/>
      <c r="AT55" s="1"/>
      <c r="AU55" s="1"/>
      <c r="AV55" s="1"/>
      <c r="AW55" s="1"/>
      <c r="AX55" s="3"/>
      <c r="AY55" s="3"/>
      <c r="AZ55" s="5"/>
      <c r="BA55" s="5"/>
      <c r="BB55" s="5"/>
      <c r="BC55" s="5"/>
      <c r="BD55" s="6"/>
      <c r="BE55" s="6"/>
      <c r="BF55" s="12"/>
      <c r="BG55" s="12"/>
      <c r="BH55" s="12"/>
      <c r="BI55" s="12"/>
      <c r="BJ55" s="12"/>
    </row>
    <row r="56" spans="2:62" x14ac:dyDescent="0.25">
      <c r="B56" s="1" t="s">
        <v>1180</v>
      </c>
      <c r="C56" s="1" t="s">
        <v>1339</v>
      </c>
      <c r="D56" s="1" t="s">
        <v>1190</v>
      </c>
      <c r="E56" s="1" t="s">
        <v>1340</v>
      </c>
      <c r="F56" s="1" t="s">
        <v>1341</v>
      </c>
      <c r="G56" s="1" t="s">
        <v>1194</v>
      </c>
      <c r="H56" s="1" t="s">
        <v>1195</v>
      </c>
      <c r="I56" s="7" t="s">
        <v>1187</v>
      </c>
      <c r="J56" s="44">
        <v>1</v>
      </c>
      <c r="K56" s="45">
        <v>1</v>
      </c>
      <c r="L56" s="1">
        <v>997</v>
      </c>
      <c r="M56" s="1" t="s">
        <v>1188</v>
      </c>
      <c r="N56" s="1" t="s">
        <v>1141</v>
      </c>
      <c r="O56" s="1" t="s">
        <v>1189</v>
      </c>
      <c r="P56" s="7" t="s">
        <v>1073</v>
      </c>
      <c r="Q56" s="44">
        <f>IF($L56=996,Multipliers!C$174,IF($L56=997,Multipliers!C$175,IF($L56=998,Multipliers!C$176,"NONE")))</f>
        <v>1.3</v>
      </c>
      <c r="R56" s="44">
        <f>IF($L56=996,Multipliers!C$5,IF($L56=997,Multipliers!C$6,IF($L56=998,Multipliers!C$7,"NONE")))</f>
        <v>1.34</v>
      </c>
      <c r="S56" s="46">
        <f t="shared" si="12"/>
        <v>576770.33050000016</v>
      </c>
      <c r="T56" s="46">
        <f t="shared" si="13"/>
        <v>595942.1664000001</v>
      </c>
      <c r="U56" s="46">
        <f t="shared" si="22"/>
        <v>589982.74473600008</v>
      </c>
      <c r="V56" s="46">
        <f>((S56+U56)/2*1.15)</f>
        <v>670883.01826070005</v>
      </c>
      <c r="W56" s="47">
        <f t="shared" si="21"/>
        <v>670883.01826070005</v>
      </c>
      <c r="X56" s="47"/>
      <c r="Y56" s="48">
        <f>IF(N56="Standard",(((($Z$3*Q56)+($AD$3*R56*$T$5))/2)*$O$7*1.15),IF(N56="Severe",(((($AA$3*Q56)+($AE$3*R56*$T$5))/2)*$O$7*1.15),IF(N56="Hostile",(((($AB$3*Q56)+($AF$3*R56*$T$5))/2)*$O$7*1.15))))</f>
        <v>537627.23286300001</v>
      </c>
      <c r="Z56" s="48">
        <f>IF(N56="Standard",(((($Z$4*Q56)+($AD$4*R56*$T$5))/2)*$O$7*1.15),IF(N56="Severe",(((($AA$4*Q56)+($AE$4*R56*$T$5))/2)*$O$7*1.15),IF(N56="Hostile",(((($AB$4*Q56)+($AF$4*R56*$T$5))/2)*$O$7*1.15))))</f>
        <v>593892.8539060998</v>
      </c>
      <c r="AA56" s="48">
        <f>IF(N56="Standard",(((($Z$5*Q56)+($AD$5*R56*$T$5))/2)*$O$7*1.15),IF(N56="Severe",(((($AA$5*Q56)+($AE$5*R56*$T$5))/2)*$O$7*1.15),IF(N56="Hostile",(((($AB$5*Q56)+($AF$5*R56*$T$5))/2)*$O$7*1.15))))</f>
        <v>670883.01826070005</v>
      </c>
      <c r="AB56" s="48">
        <f>IF(N56="Standard",(((($Z$6*Q56)+($AD$6*R56*$T$5))/2)*$O$7*1.15),IF(N56="Severe",(((($AA$6*Q56)+($AE$6*R56*$T$5))/2)*$O$7*1.15),IF(N56="Hostile",(((($AB$6*Q56)+($AF$6*R56*$T$5))/2)*$O$7*1.15))))</f>
        <v>727154.03193440009</v>
      </c>
      <c r="AC56" s="48">
        <f>IF(N56="Standard",(((($Z$7*Q56)+($AD$7*R56*$T$5))/2)*$O$7*1.15),IF(N56="Severe",(((($AA$7*Q56)+($AE$7*R56*$T$5))/2)*$O$7*1.15),IF(N56="Hostile",(((($AB$7*Q56)+($AF$7*R56*$T$5))/2)*$O$7*1.15))))</f>
        <v>784795.42359260004</v>
      </c>
      <c r="AD56" s="1"/>
      <c r="AE56" s="1"/>
      <c r="AF56" s="1"/>
      <c r="AI56" s="9"/>
      <c r="AJ56" s="1"/>
      <c r="AK56" s="1"/>
      <c r="AL56" s="1"/>
      <c r="AM56" s="1"/>
      <c r="AN56" s="1"/>
      <c r="AO56" s="1"/>
      <c r="AP56" s="9"/>
      <c r="AQ56" s="3"/>
      <c r="AR56" s="4"/>
      <c r="AS56" s="1"/>
      <c r="AT56" s="1"/>
      <c r="AU56" s="1"/>
      <c r="AV56" s="1"/>
      <c r="AW56" s="1"/>
      <c r="AX56" s="3"/>
      <c r="AY56" s="3"/>
      <c r="AZ56" s="5"/>
      <c r="BA56" s="5"/>
      <c r="BB56" s="5"/>
      <c r="BC56" s="5"/>
      <c r="BD56" s="6"/>
      <c r="BE56" s="6"/>
      <c r="BF56" s="12"/>
      <c r="BG56" s="12"/>
      <c r="BH56" s="12"/>
      <c r="BI56" s="12"/>
      <c r="BJ56" s="12"/>
    </row>
    <row r="57" spans="2:62" x14ac:dyDescent="0.25">
      <c r="B57" s="1" t="s">
        <v>1180</v>
      </c>
      <c r="C57" s="1" t="s">
        <v>1342</v>
      </c>
      <c r="D57" s="1" t="s">
        <v>1190</v>
      </c>
      <c r="E57" s="1" t="s">
        <v>1343</v>
      </c>
      <c r="F57" s="1" t="s">
        <v>1344</v>
      </c>
      <c r="G57" s="1" t="s">
        <v>1194</v>
      </c>
      <c r="H57" s="1" t="s">
        <v>1195</v>
      </c>
      <c r="I57" s="7" t="s">
        <v>1187</v>
      </c>
      <c r="J57" s="44">
        <v>1</v>
      </c>
      <c r="K57" s="45">
        <v>1</v>
      </c>
      <c r="L57" s="1">
        <v>997</v>
      </c>
      <c r="M57" s="1" t="s">
        <v>1188</v>
      </c>
      <c r="N57" s="1" t="s">
        <v>1141</v>
      </c>
      <c r="O57" s="1" t="s">
        <v>1189</v>
      </c>
      <c r="P57" s="7" t="s">
        <v>1073</v>
      </c>
      <c r="Q57" s="44">
        <f>IF($L57=996,Multipliers!C$174,IF($L57=997,Multipliers!C$175,IF($L57=998,Multipliers!C$176,"NONE")))</f>
        <v>1.3</v>
      </c>
      <c r="R57" s="44">
        <f>IF($L57=996,Multipliers!C$5,IF($L57=997,Multipliers!C$6,IF($L57=998,Multipliers!C$7,"NONE")))</f>
        <v>1.34</v>
      </c>
      <c r="S57" s="46">
        <f t="shared" si="12"/>
        <v>576770.33050000016</v>
      </c>
      <c r="T57" s="46">
        <f t="shared" si="13"/>
        <v>595942.1664000001</v>
      </c>
      <c r="U57" s="46">
        <f t="shared" si="22"/>
        <v>589982.74473600008</v>
      </c>
      <c r="V57" s="46">
        <f>((S57+U57)/2*1.15)</f>
        <v>670883.01826070005</v>
      </c>
      <c r="W57" s="47">
        <f t="shared" si="21"/>
        <v>670883.01826070005</v>
      </c>
      <c r="X57" s="47"/>
      <c r="Y57" s="48">
        <f>IF(N57="Standard",(((($Z$3*Q57)+($AD$3*R57*$T$5))/2)*$O$7*1.15),IF(N57="Severe",(((($AA$3*Q57)+($AE$3*R57*$T$5))/2)*$O$7*1.15),IF(N57="Hostile",(((($AB$3*Q57)+($AF$3*R57*$T$5))/2)*$O$7*1.15))))</f>
        <v>537627.23286300001</v>
      </c>
      <c r="Z57" s="48">
        <f>IF(N57="Standard",(((($Z$4*Q57)+($AD$4*R57*$T$5))/2)*$O$7*1.15),IF(N57="Severe",(((($AA$4*Q57)+($AE$4*R57*$T$5))/2)*$O$7*1.15),IF(N57="Hostile",(((($AB$4*Q57)+($AF$4*R57*$T$5))/2)*$O$7*1.15))))</f>
        <v>593892.8539060998</v>
      </c>
      <c r="AA57" s="48">
        <f>IF(N57="Standard",(((($Z$5*Q57)+($AD$5*R57*$T$5))/2)*$O$7*1.15),IF(N57="Severe",(((($AA$5*Q57)+($AE$5*R57*$T$5))/2)*$O$7*1.15),IF(N57="Hostile",(((($AB$5*Q57)+($AF$5*R57*$T$5))/2)*$O$7*1.15))))</f>
        <v>670883.01826070005</v>
      </c>
      <c r="AB57" s="48">
        <f>IF(N57="Standard",(((($Z$6*Q57)+($AD$6*R57*$T$5))/2)*$O$7*1.15),IF(N57="Severe",(((($AA$6*Q57)+($AE$6*R57*$T$5))/2)*$O$7*1.15),IF(N57="Hostile",(((($AB$6*Q57)+($AF$6*R57*$T$5))/2)*$O$7*1.15))))</f>
        <v>727154.03193440009</v>
      </c>
      <c r="AC57" s="48">
        <f>IF(N57="Standard",(((($Z$7*Q57)+($AD$7*R57*$T$5))/2)*$O$7*1.15),IF(N57="Severe",(((($AA$7*Q57)+($AE$7*R57*$T$5))/2)*$O$7*1.15),IF(N57="Hostile",(((($AB$7*Q57)+($AF$7*R57*$T$5))/2)*$O$7*1.15))))</f>
        <v>784795.42359260004</v>
      </c>
      <c r="AD57" s="1"/>
      <c r="AE57" s="1"/>
      <c r="AF57" s="1"/>
      <c r="AI57" s="9"/>
      <c r="AJ57" s="1"/>
      <c r="AK57" s="1"/>
      <c r="AL57" s="1"/>
      <c r="AM57" s="1"/>
      <c r="AN57" s="1"/>
      <c r="AO57" s="1"/>
      <c r="AP57" s="9"/>
      <c r="AQ57" s="3"/>
      <c r="AR57" s="4"/>
      <c r="AS57" s="1"/>
      <c r="AT57" s="1"/>
      <c r="AU57" s="1"/>
      <c r="AV57" s="1"/>
      <c r="AW57" s="1"/>
      <c r="AX57" s="3"/>
      <c r="AY57" s="3"/>
      <c r="AZ57" s="5"/>
      <c r="BA57" s="5"/>
      <c r="BB57" s="5"/>
      <c r="BC57" s="5"/>
      <c r="BD57" s="6"/>
      <c r="BE57" s="6"/>
      <c r="BF57" s="12"/>
      <c r="BG57" s="12"/>
      <c r="BH57" s="12"/>
      <c r="BI57" s="12"/>
      <c r="BJ57" s="12"/>
    </row>
    <row r="58" spans="2:62" x14ac:dyDescent="0.25">
      <c r="B58" s="1" t="s">
        <v>1180</v>
      </c>
      <c r="C58" s="1" t="s">
        <v>1345</v>
      </c>
      <c r="D58" s="1" t="s">
        <v>1190</v>
      </c>
      <c r="E58" s="1" t="s">
        <v>1346</v>
      </c>
      <c r="F58" s="84" t="s">
        <v>2661</v>
      </c>
      <c r="G58" s="1" t="s">
        <v>1202</v>
      </c>
      <c r="H58" s="1" t="s">
        <v>1203</v>
      </c>
      <c r="I58" s="7" t="s">
        <v>1187</v>
      </c>
      <c r="J58" s="44">
        <v>1</v>
      </c>
      <c r="K58" s="45">
        <v>1</v>
      </c>
      <c r="L58" s="1">
        <v>997</v>
      </c>
      <c r="M58" s="1" t="s">
        <v>1188</v>
      </c>
      <c r="N58" s="1" t="s">
        <v>1141</v>
      </c>
      <c r="O58" s="1" t="s">
        <v>1189</v>
      </c>
      <c r="P58" s="7" t="s">
        <v>1073</v>
      </c>
      <c r="Q58" s="44">
        <f>IF($L58=996,Multipliers!C$174,IF($L58=997,Multipliers!C$175,IF($L58=998,Multipliers!C$176,"NONE")))</f>
        <v>1.3</v>
      </c>
      <c r="R58" s="44">
        <f>IF($L58=996,Multipliers!C$5,IF($L58=997,Multipliers!C$6,IF($L58=998,Multipliers!C$7,"NONE")))</f>
        <v>1.34</v>
      </c>
      <c r="S58" s="46">
        <f t="shared" si="12"/>
        <v>576770.33050000016</v>
      </c>
      <c r="T58" s="46">
        <f t="shared" si="13"/>
        <v>595942.1664000001</v>
      </c>
      <c r="U58" s="46">
        <f t="shared" si="22"/>
        <v>589982.74473600008</v>
      </c>
      <c r="V58" s="46">
        <f>((S58+U58)/2*1.15)</f>
        <v>670883.01826070005</v>
      </c>
      <c r="W58" s="47">
        <f t="shared" si="21"/>
        <v>670883.01826070005</v>
      </c>
      <c r="X58" s="47"/>
      <c r="Y58" s="48">
        <f>IF(N58="Standard",(((($Z$3*Q58)+($AD$3*R58*$T$5))/2)*$O$7*1.15),IF(N58="Severe",(((($AA$3*Q58)+($AE$3*R58*$T$5))/2)*$O$7*1.15),IF(N58="Hostile",(((($AB$3*Q58)+($AF$3*R58*$T$5))/2)*$O$7*1.15))))</f>
        <v>537627.23286300001</v>
      </c>
      <c r="Z58" s="48">
        <f>IF(N58="Standard",(((($Z$4*Q58)+($AD$4*R58*$T$5))/2)*$O$7*1.15),IF(N58="Severe",(((($AA$4*Q58)+($AE$4*R58*$T$5))/2)*$O$7*1.15),IF(N58="Hostile",(((($AB$4*Q58)+($AF$4*R58*$T$5))/2)*$O$7*1.15))))</f>
        <v>593892.8539060998</v>
      </c>
      <c r="AA58" s="48">
        <f>IF(N58="Standard",(((($Z$5*Q58)+($AD$5*R58*$T$5))/2)*$O$7*1.15),IF(N58="Severe",(((($AA$5*Q58)+($AE$5*R58*$T$5))/2)*$O$7*1.15),IF(N58="Hostile",(((($AB$5*Q58)+($AF$5*R58*$T$5))/2)*$O$7*1.15))))</f>
        <v>670883.01826070005</v>
      </c>
      <c r="AB58" s="48">
        <f>IF(N58="Standard",(((($Z$6*Q58)+($AD$6*R58*$T$5))/2)*$O$7*1.15),IF(N58="Severe",(((($AA$6*Q58)+($AE$6*R58*$T$5))/2)*$O$7*1.15),IF(N58="Hostile",(((($AB$6*Q58)+($AF$6*R58*$T$5))/2)*$O$7*1.15))))</f>
        <v>727154.03193440009</v>
      </c>
      <c r="AC58" s="48">
        <f>IF(N58="Standard",(((($Z$7*Q58)+($AD$7*R58*$T$5))/2)*$O$7*1.15),IF(N58="Severe",(((($AA$7*Q58)+($AE$7*R58*$T$5))/2)*$O$7*1.15),IF(N58="Hostile",(((($AB$7*Q58)+($AF$7*R58*$T$5))/2)*$O$7*1.15))))</f>
        <v>784795.42359260004</v>
      </c>
      <c r="AD58" s="1"/>
      <c r="AE58" s="1"/>
      <c r="AF58" s="1"/>
      <c r="AI58" s="9"/>
      <c r="AJ58" s="1"/>
      <c r="AK58" s="1"/>
      <c r="AL58" s="1"/>
      <c r="AM58" s="1"/>
      <c r="AN58" s="1"/>
      <c r="AO58" s="1"/>
      <c r="AP58" s="9"/>
      <c r="AQ58" s="3"/>
      <c r="AR58" s="4"/>
      <c r="AS58" s="1"/>
      <c r="AT58" s="1"/>
      <c r="AU58" s="1"/>
      <c r="AV58" s="1"/>
      <c r="AW58" s="1"/>
      <c r="AX58" s="3"/>
      <c r="AY58" s="3"/>
      <c r="AZ58" s="5"/>
      <c r="BA58" s="5"/>
      <c r="BB58" s="5"/>
      <c r="BC58" s="5"/>
      <c r="BD58" s="6"/>
      <c r="BE58" s="6"/>
      <c r="BF58" s="12"/>
      <c r="BG58" s="12"/>
      <c r="BH58" s="12"/>
      <c r="BI58" s="12"/>
      <c r="BJ58" s="12"/>
    </row>
    <row r="59" spans="2:62" x14ac:dyDescent="0.25">
      <c r="B59" s="1" t="s">
        <v>1180</v>
      </c>
      <c r="C59" s="1" t="s">
        <v>1181</v>
      </c>
      <c r="D59" s="1" t="s">
        <v>1347</v>
      </c>
      <c r="E59" s="1" t="s">
        <v>1192</v>
      </c>
      <c r="F59" s="1" t="s">
        <v>1348</v>
      </c>
      <c r="G59" s="1" t="s">
        <v>1312</v>
      </c>
      <c r="H59" s="1" t="s">
        <v>1313</v>
      </c>
      <c r="I59" s="7" t="s">
        <v>1187</v>
      </c>
      <c r="J59" s="44">
        <v>1</v>
      </c>
      <c r="K59" s="45">
        <v>4</v>
      </c>
      <c r="L59" s="1">
        <v>996</v>
      </c>
      <c r="M59" s="1" t="s">
        <v>1188</v>
      </c>
      <c r="N59" s="1" t="s">
        <v>1141</v>
      </c>
      <c r="O59" s="1" t="s">
        <v>1189</v>
      </c>
      <c r="P59" s="1" t="s">
        <v>1190</v>
      </c>
      <c r="Q59" s="44">
        <f>IF($L59=996,Multipliers!C$174,IF($L59=997,Multipliers!C$175,IF($L59=998,Multipliers!C$176,"NONE")))</f>
        <v>1.29</v>
      </c>
      <c r="R59" s="44">
        <f>IF($L59=996,Multipliers!C$5,IF($L59=997,Multipliers!C$6,IF($L59=998,Multipliers!C$7,"NONE")))</f>
        <v>1.34</v>
      </c>
      <c r="S59" s="46">
        <f t="shared" si="12"/>
        <v>572333.63565000007</v>
      </c>
      <c r="T59" s="46">
        <f t="shared" si="13"/>
        <v>595942.1664000001</v>
      </c>
      <c r="U59" s="46">
        <f t="shared" si="22"/>
        <v>589982.74473600008</v>
      </c>
      <c r="V59" s="46">
        <f>(S59+U59)/2</f>
        <v>581158.19019300002</v>
      </c>
      <c r="W59" s="47">
        <f t="shared" si="21"/>
        <v>581158.19019300002</v>
      </c>
      <c r="X59" s="47"/>
      <c r="Y59" s="48">
        <f>IF(N59="Standard",(((($Z$3*Q59)+($AD$3*R59*$T$5))/2)*$O$7),IF(N59="Severe",(((($AA$3*Q59)+($AE$3*R59*$T$5))/2)*$O$7),IF(N59="Hostile",(((($AB$3*Q59)+($AF$3*R59*$T$5))/2)*$O$7))))</f>
        <v>465666.31849500001</v>
      </c>
      <c r="Z59" s="48">
        <f>IF(N59="Standard",(((($Z$4*Q59)+($AD$4*R59*$T$5))/2)*$O$7),IF(N59="Severe",(((($AA$4*Q59)+($AE$4*R59*$T$5))/2)*$O$7),IF(N59="Hostile",(((($AB$4*Q59)+($AF$4*R59*$T$5))/2)*$O$7))))</f>
        <v>514428.62433899997</v>
      </c>
      <c r="AA59" s="48">
        <f>IF(N59="Standard",((($Z$5*Q59)+($AD$5*R59*$T$5))/2)*$O$7,IF(N59="Severe",((($AA$5*Q59)+($AE$5*R59*$T$5))/2)*$O$7,IF(N59="Hostile",((($AB$5*Q59)+($AF$5*R59*$T$5))/2)*$O$7)))</f>
        <v>581158.19019300013</v>
      </c>
      <c r="AB59" s="48">
        <f>IF(N59="Standard",((($Z$6*Q59)+($AD$6*R59*$T$5))/2)*$O$7,IF(N59="Severe",((($AA$6*Q59)+($AE$6*R59*$T$5))/2)*$O$7,IF(N59="Hostile",((($AB$6*Q59)+($AF$6*R59*$T$5))/2)*$O$7)))</f>
        <v>629926.37213100016</v>
      </c>
      <c r="AC59" s="48">
        <f>IF(N59="Standard",((($Z$7*Q59)+($AD$7*R59*$T$5))/2)*$O$7,IF(N59="Severe",((($AA$7*Q59)+($AE$7*R59*$T$5))/2)*$O$7,IF(N59="Hostile",((($AB$7*Q59)+($AF$7*R59*$T$5))/2)*$O$7)))</f>
        <v>679867.06659900001</v>
      </c>
      <c r="AD59" s="1"/>
      <c r="AE59" s="1"/>
      <c r="AF59" s="1"/>
      <c r="AI59" s="9"/>
      <c r="AJ59" s="1"/>
      <c r="AK59" s="1"/>
      <c r="AL59" s="1"/>
      <c r="AM59" s="1"/>
      <c r="AN59" s="1"/>
      <c r="AO59" s="1"/>
      <c r="AP59" s="9"/>
      <c r="AQ59" s="3"/>
      <c r="AR59" s="4"/>
      <c r="AS59" s="1"/>
      <c r="AT59" s="1"/>
      <c r="AU59" s="1"/>
      <c r="AV59" s="1"/>
      <c r="AW59" s="1"/>
      <c r="AX59" s="3"/>
      <c r="AY59" s="3"/>
      <c r="AZ59" s="5"/>
      <c r="BA59" s="5"/>
      <c r="BB59" s="5"/>
      <c r="BC59" s="5"/>
      <c r="BD59" s="6"/>
      <c r="BE59" s="6"/>
      <c r="BF59" s="12"/>
      <c r="BG59" s="12"/>
      <c r="BH59" s="12"/>
      <c r="BI59" s="12"/>
      <c r="BJ59" s="12"/>
    </row>
    <row r="60" spans="2:62" x14ac:dyDescent="0.25">
      <c r="B60" s="1" t="s">
        <v>1180</v>
      </c>
      <c r="C60" s="1" t="s">
        <v>1349</v>
      </c>
      <c r="D60" s="1" t="s">
        <v>1190</v>
      </c>
      <c r="E60" s="1" t="s">
        <v>1350</v>
      </c>
      <c r="F60" s="1" t="s">
        <v>1351</v>
      </c>
      <c r="G60" s="1" t="s">
        <v>1202</v>
      </c>
      <c r="H60" s="1" t="s">
        <v>1203</v>
      </c>
      <c r="I60" s="7" t="s">
        <v>1187</v>
      </c>
      <c r="J60" s="44">
        <v>1</v>
      </c>
      <c r="K60" s="45">
        <v>1</v>
      </c>
      <c r="L60" s="1">
        <v>997</v>
      </c>
      <c r="M60" s="1" t="s">
        <v>1188</v>
      </c>
      <c r="N60" s="1" t="s">
        <v>1141</v>
      </c>
      <c r="O60" s="1" t="s">
        <v>1189</v>
      </c>
      <c r="P60" s="7" t="s">
        <v>1073</v>
      </c>
      <c r="Q60" s="44">
        <f>IF($L60=996,Multipliers!C$174,IF($L60=997,Multipliers!C$175,IF($L60=998,Multipliers!C$176,"NONE")))</f>
        <v>1.3</v>
      </c>
      <c r="R60" s="44">
        <f>IF($L60=996,Multipliers!C$5,IF($L60=997,Multipliers!C$6,IF($L60=998,Multipliers!C$7,"NONE")))</f>
        <v>1.34</v>
      </c>
      <c r="S60" s="46">
        <f t="shared" si="12"/>
        <v>576770.33050000016</v>
      </c>
      <c r="T60" s="46">
        <f t="shared" si="13"/>
        <v>595942.1664000001</v>
      </c>
      <c r="U60" s="46">
        <f t="shared" si="22"/>
        <v>589982.74473600008</v>
      </c>
      <c r="V60" s="46">
        <f>((S60+U60)/2*1.15)</f>
        <v>670883.01826070005</v>
      </c>
      <c r="W60" s="47">
        <f t="shared" si="21"/>
        <v>670883.01826070005</v>
      </c>
      <c r="X60" s="47"/>
      <c r="Y60" s="48">
        <f>IF(N60="Standard",(((($Z$3*Q60)+($AD$3*R60*$T$5))/2)*$O$7*1.15),IF(N60="Severe",(((($AA$3*Q60)+($AE$3*R60*$T$5))/2)*$O$7*1.15),IF(N60="Hostile",(((($AB$3*Q60)+($AF$3*R60*$T$5))/2)*$O$7*1.15))))</f>
        <v>537627.23286300001</v>
      </c>
      <c r="Z60" s="48">
        <f>IF(N60="Standard",(((($Z$4*Q60)+($AD$4*R60*$T$5))/2)*$O$7*1.15),IF(N60="Severe",(((($AA$4*Q60)+($AE$4*R60*$T$5))/2)*$O$7*1.15),IF(N60="Hostile",(((($AB$4*Q60)+($AF$4*R60*$T$5))/2)*$O$7*1.15))))</f>
        <v>593892.8539060998</v>
      </c>
      <c r="AA60" s="48">
        <f>IF(N60="Standard",(((($Z$5*Q60)+($AD$5*R60*$T$5))/2)*$O$7*1.15),IF(N60="Severe",(((($AA$5*Q60)+($AE$5*R60*$T$5))/2)*$O$7*1.15),IF(N60="Hostile",(((($AB$5*Q60)+($AF$5*R60*$T$5))/2)*$O$7*1.15))))</f>
        <v>670883.01826070005</v>
      </c>
      <c r="AB60" s="48">
        <f>IF(N60="Standard",(((($Z$6*Q60)+($AD$6*R60*$T$5))/2)*$O$7*1.15),IF(N60="Severe",(((($AA$6*Q60)+($AE$6*R60*$T$5))/2)*$O$7*1.15),IF(N60="Hostile",(((($AB$6*Q60)+($AF$6*R60*$T$5))/2)*$O$7*1.15))))</f>
        <v>727154.03193440009</v>
      </c>
      <c r="AC60" s="48">
        <f>IF(N60="Standard",(((($Z$7*Q60)+($AD$7*R60*$T$5))/2)*$O$7*1.15),IF(N60="Severe",(((($AA$7*Q60)+($AE$7*R60*$T$5))/2)*$O$7*1.15),IF(N60="Hostile",(((($AB$7*Q60)+($AF$7*R60*$T$5))/2)*$O$7*1.15))))</f>
        <v>784795.42359260004</v>
      </c>
      <c r="AD60" s="1"/>
      <c r="AE60" s="1"/>
      <c r="AF60" s="1"/>
      <c r="AI60" s="9"/>
      <c r="AJ60" s="1"/>
      <c r="AK60" s="1"/>
      <c r="AL60" s="1"/>
      <c r="AM60" s="1"/>
      <c r="AN60" s="1"/>
      <c r="AO60" s="1"/>
      <c r="AP60" s="9"/>
      <c r="AQ60" s="3"/>
      <c r="AR60" s="4"/>
      <c r="AS60" s="1"/>
      <c r="AT60" s="1"/>
      <c r="AU60" s="1"/>
      <c r="AV60" s="1"/>
      <c r="AW60" s="1"/>
      <c r="AX60" s="3"/>
      <c r="AY60" s="3"/>
      <c r="AZ60" s="5"/>
      <c r="BA60" s="5"/>
      <c r="BB60" s="5"/>
      <c r="BC60" s="5"/>
      <c r="BD60" s="6"/>
      <c r="BE60" s="6"/>
      <c r="BF60" s="12"/>
      <c r="BG60" s="12"/>
      <c r="BH60" s="12"/>
      <c r="BI60" s="12"/>
      <c r="BJ60" s="12"/>
    </row>
    <row r="61" spans="2:62" x14ac:dyDescent="0.25">
      <c r="B61" s="1" t="s">
        <v>1180</v>
      </c>
      <c r="C61" s="1" t="s">
        <v>1352</v>
      </c>
      <c r="D61" s="1" t="s">
        <v>1190</v>
      </c>
      <c r="E61" s="1" t="s">
        <v>1353</v>
      </c>
      <c r="F61" s="1" t="s">
        <v>1354</v>
      </c>
      <c r="G61" s="1" t="s">
        <v>1218</v>
      </c>
      <c r="H61" s="1" t="s">
        <v>1219</v>
      </c>
      <c r="I61" s="7" t="s">
        <v>1187</v>
      </c>
      <c r="J61" s="44">
        <v>1</v>
      </c>
      <c r="K61" s="45">
        <v>1</v>
      </c>
      <c r="L61" s="1">
        <v>997</v>
      </c>
      <c r="M61" s="1" t="s">
        <v>1188</v>
      </c>
      <c r="N61" s="1" t="s">
        <v>1141</v>
      </c>
      <c r="O61" s="1" t="s">
        <v>1189</v>
      </c>
      <c r="P61" s="7" t="s">
        <v>1073</v>
      </c>
      <c r="Q61" s="44">
        <f>IF($L61=996,Multipliers!C$174,IF($L61=997,Multipliers!C$175,IF($L61=998,Multipliers!C$176,"NONE")))</f>
        <v>1.3</v>
      </c>
      <c r="R61" s="44">
        <f>IF($L61=996,Multipliers!C$5,IF($L61=997,Multipliers!C$6,IF($L61=998,Multipliers!C$7,"NONE")))</f>
        <v>1.34</v>
      </c>
      <c r="S61" s="46">
        <f t="shared" si="12"/>
        <v>576770.33050000016</v>
      </c>
      <c r="T61" s="46">
        <f t="shared" si="13"/>
        <v>595942.1664000001</v>
      </c>
      <c r="U61" s="46">
        <f t="shared" si="22"/>
        <v>589982.74473600008</v>
      </c>
      <c r="V61" s="46">
        <f>((S61+U61)/2*1.15)</f>
        <v>670883.01826070005</v>
      </c>
      <c r="W61" s="47">
        <f t="shared" si="21"/>
        <v>670883.01826070005</v>
      </c>
      <c r="X61" s="47"/>
      <c r="Y61" s="48">
        <f>IF(N61="Standard",(((($Z$3*Q61)+($AD$3*R61*$T$5))/2)*$O$7*1.15),IF(N61="Severe",(((($AA$3*Q61)+($AE$3*R61*$T$5))/2)*$O$7*1.15),IF(N61="Hostile",(((($AB$3*Q61)+($AF$3*R61*$T$5))/2)*$O$7*1.15))))</f>
        <v>537627.23286300001</v>
      </c>
      <c r="Z61" s="48">
        <f>IF(N61="Standard",(((($Z$4*Q61)+($AD$4*R61*$T$5))/2)*$O$7*1.15),IF(N61="Severe",(((($AA$4*Q61)+($AE$4*R61*$T$5))/2)*$O$7*1.15),IF(N61="Hostile",(((($AB$4*Q61)+($AF$4*R61*$T$5))/2)*$O$7*1.15))))</f>
        <v>593892.8539060998</v>
      </c>
      <c r="AA61" s="48">
        <f>IF(N61="Standard",(((($Z$5*Q61)+($AD$5*R61*$T$5))/2)*$O$7*1.15),IF(N61="Severe",(((($AA$5*Q61)+($AE$5*R61*$T$5))/2)*$O$7*1.15),IF(N61="Hostile",(((($AB$5*Q61)+($AF$5*R61*$T$5))/2)*$O$7*1.15))))</f>
        <v>670883.01826070005</v>
      </c>
      <c r="AB61" s="48">
        <f>IF(N61="Standard",(((($Z$6*Q61)+($AD$6*R61*$T$5))/2)*$O$7*1.15),IF(N61="Severe",(((($AA$6*Q61)+($AE$6*R61*$T$5))/2)*$O$7*1.15),IF(N61="Hostile",(((($AB$6*Q61)+($AF$6*R61*$T$5))/2)*$O$7*1.15))))</f>
        <v>727154.03193440009</v>
      </c>
      <c r="AC61" s="48">
        <f>IF(N61="Standard",(((($Z$7*Q61)+($AD$7*R61*$T$5))/2)*$O$7*1.15),IF(N61="Severe",(((($AA$7*Q61)+($AE$7*R61*$T$5))/2)*$O$7*1.15),IF(N61="Hostile",(((($AB$7*Q61)+($AF$7*R61*$T$5))/2)*$O$7*1.15))))</f>
        <v>784795.42359260004</v>
      </c>
      <c r="AD61" s="1"/>
      <c r="AE61" s="1"/>
      <c r="AF61" s="1"/>
      <c r="AI61" s="9"/>
      <c r="AJ61" s="1"/>
      <c r="AK61" s="1"/>
      <c r="AL61" s="1"/>
      <c r="AM61" s="1"/>
      <c r="AN61" s="1"/>
      <c r="AO61" s="1"/>
      <c r="AP61" s="9"/>
      <c r="AQ61" s="3"/>
      <c r="AR61" s="4"/>
      <c r="AS61" s="1"/>
      <c r="AT61" s="1"/>
      <c r="AU61" s="1"/>
      <c r="AV61" s="1"/>
      <c r="AW61" s="1"/>
      <c r="AX61" s="3"/>
      <c r="AY61" s="3"/>
      <c r="AZ61" s="5"/>
      <c r="BA61" s="5"/>
      <c r="BB61" s="5"/>
      <c r="BC61" s="5"/>
      <c r="BD61" s="6"/>
      <c r="BE61" s="6"/>
      <c r="BF61" s="12"/>
      <c r="BG61" s="12"/>
      <c r="BH61" s="12"/>
      <c r="BI61" s="12"/>
      <c r="BJ61" s="12"/>
    </row>
    <row r="62" spans="2:62" x14ac:dyDescent="0.25">
      <c r="B62" s="1" t="s">
        <v>1180</v>
      </c>
      <c r="C62" s="1" t="s">
        <v>1355</v>
      </c>
      <c r="D62" s="1" t="s">
        <v>1190</v>
      </c>
      <c r="E62" s="1" t="s">
        <v>1356</v>
      </c>
      <c r="F62" s="1" t="s">
        <v>1357</v>
      </c>
      <c r="G62" s="1" t="s">
        <v>1223</v>
      </c>
      <c r="H62" s="1" t="s">
        <v>1224</v>
      </c>
      <c r="I62" s="7" t="s">
        <v>1187</v>
      </c>
      <c r="J62" s="44">
        <v>1</v>
      </c>
      <c r="K62" s="45">
        <v>1</v>
      </c>
      <c r="L62" s="1">
        <v>997</v>
      </c>
      <c r="M62" s="1" t="s">
        <v>1188</v>
      </c>
      <c r="N62" s="1" t="s">
        <v>1141</v>
      </c>
      <c r="O62" s="1" t="s">
        <v>1189</v>
      </c>
      <c r="P62" s="7" t="s">
        <v>1073</v>
      </c>
      <c r="Q62" s="44">
        <f>IF($L62=996,Multipliers!C$174,IF($L62=997,Multipliers!C$175,IF($L62=998,Multipliers!C$176,"NONE")))</f>
        <v>1.3</v>
      </c>
      <c r="R62" s="44">
        <f>IF($L62=996,Multipliers!C$5,IF($L62=997,Multipliers!C$6,IF($L62=998,Multipliers!C$7,"NONE")))</f>
        <v>1.34</v>
      </c>
      <c r="S62" s="46">
        <f t="shared" si="12"/>
        <v>576770.33050000016</v>
      </c>
      <c r="T62" s="46">
        <f t="shared" si="13"/>
        <v>595942.1664000001</v>
      </c>
      <c r="U62" s="46">
        <f t="shared" ref="U62:U77" si="23">IF(O62="E",$T$3*T62,IF(O62="C",$T$4*T62,IF(O62="W",$T$5*T62,1)))</f>
        <v>589982.74473600008</v>
      </c>
      <c r="V62" s="46">
        <f>((S62+U62)/2*1.15)</f>
        <v>670883.01826070005</v>
      </c>
      <c r="W62" s="47">
        <f t="shared" si="21"/>
        <v>670883.01826070005</v>
      </c>
      <c r="X62" s="47"/>
      <c r="Y62" s="48">
        <f>IF(N62="Standard",(((($Z$3*Q62)+($AD$3*R62*$T$5))/2)*$O$7*1.15),IF(N62="Severe",(((($AA$3*Q62)+($AE$3*R62*$T$5))/2)*$O$7*1.15),IF(N62="Hostile",(((($AB$3*Q62)+($AF$3*R62*$T$5))/2)*$O$7*1.15))))</f>
        <v>537627.23286300001</v>
      </c>
      <c r="Z62" s="48">
        <f>IF(N62="Standard",(((($Z$4*Q62)+($AD$4*R62*$T$5))/2)*$O$7*1.15),IF(N62="Severe",(((($AA$4*Q62)+($AE$4*R62*$T$5))/2)*$O$7*1.15),IF(N62="Hostile",(((($AB$4*Q62)+($AF$4*R62*$T$5))/2)*$O$7*1.15))))</f>
        <v>593892.8539060998</v>
      </c>
      <c r="AA62" s="48">
        <f>IF(N62="Standard",(((($Z$5*Q62)+($AD$5*R62*$T$5))/2)*$O$7*1.15),IF(N62="Severe",(((($AA$5*Q62)+($AE$5*R62*$T$5))/2)*$O$7*1.15),IF(N62="Hostile",(((($AB$5*Q62)+($AF$5*R62*$T$5))/2)*$O$7*1.15))))</f>
        <v>670883.01826070005</v>
      </c>
      <c r="AB62" s="48">
        <f>IF(N62="Standard",(((($Z$6*Q62)+($AD$6*R62*$T$5))/2)*$O$7*1.15),IF(N62="Severe",(((($AA$6*Q62)+($AE$6*R62*$T$5))/2)*$O$7*1.15),IF(N62="Hostile",(((($AB$6*Q62)+($AF$6*R62*$T$5))/2)*$O$7*1.15))))</f>
        <v>727154.03193440009</v>
      </c>
      <c r="AC62" s="48">
        <f>IF(N62="Standard",(((($Z$7*Q62)+($AD$7*R62*$T$5))/2)*$O$7*1.15),IF(N62="Severe",(((($AA$7*Q62)+($AE$7*R62*$T$5))/2)*$O$7*1.15),IF(N62="Hostile",(((($AB$7*Q62)+($AF$7*R62*$T$5))/2)*$O$7*1.15))))</f>
        <v>784795.42359260004</v>
      </c>
      <c r="AD62" s="1"/>
      <c r="AE62" s="1"/>
      <c r="AF62" s="1"/>
      <c r="AI62" s="9"/>
      <c r="AJ62" s="1"/>
      <c r="AK62" s="1"/>
      <c r="AL62" s="1"/>
      <c r="AM62" s="1"/>
      <c r="AN62" s="1"/>
      <c r="AO62" s="1"/>
      <c r="AP62" s="9"/>
      <c r="AQ62" s="3"/>
      <c r="AR62" s="4"/>
      <c r="AS62" s="1"/>
      <c r="AT62" s="1"/>
      <c r="AU62" s="1"/>
      <c r="AV62" s="1"/>
      <c r="AW62" s="1"/>
      <c r="AX62" s="3"/>
      <c r="AY62" s="3"/>
      <c r="AZ62" s="5"/>
      <c r="BA62" s="5"/>
      <c r="BB62" s="5"/>
      <c r="BC62" s="5"/>
      <c r="BD62" s="6"/>
      <c r="BE62" s="6"/>
      <c r="BF62" s="12"/>
      <c r="BG62" s="12"/>
      <c r="BH62" s="12"/>
      <c r="BI62" s="12"/>
      <c r="BJ62" s="12"/>
    </row>
    <row r="63" spans="2:62" x14ac:dyDescent="0.25">
      <c r="B63" s="1" t="s">
        <v>1180</v>
      </c>
      <c r="C63" s="1" t="s">
        <v>1181</v>
      </c>
      <c r="D63" s="1" t="s">
        <v>1358</v>
      </c>
      <c r="E63" s="1" t="s">
        <v>1192</v>
      </c>
      <c r="F63" s="1" t="s">
        <v>1359</v>
      </c>
      <c r="G63" s="1" t="s">
        <v>1323</v>
      </c>
      <c r="H63" s="1" t="s">
        <v>1324</v>
      </c>
      <c r="I63" s="7" t="s">
        <v>1187</v>
      </c>
      <c r="J63" s="44">
        <v>1</v>
      </c>
      <c r="K63" s="45">
        <v>4</v>
      </c>
      <c r="L63" s="1">
        <v>996</v>
      </c>
      <c r="M63" s="1" t="s">
        <v>1188</v>
      </c>
      <c r="N63" s="1" t="s">
        <v>1141</v>
      </c>
      <c r="O63" s="1" t="s">
        <v>1189</v>
      </c>
      <c r="P63" s="1" t="s">
        <v>1190</v>
      </c>
      <c r="Q63" s="44">
        <f>IF($L63=996,Multipliers!C$174,IF($L63=997,Multipliers!C$175,IF($L63=998,Multipliers!C$176,"NONE")))</f>
        <v>1.29</v>
      </c>
      <c r="R63" s="44">
        <f>IF($L63=996,Multipliers!C$5,IF($L63=997,Multipliers!C$6,IF($L63=998,Multipliers!C$7,"NONE")))</f>
        <v>1.34</v>
      </c>
      <c r="S63" s="46">
        <f t="shared" si="12"/>
        <v>572333.63565000007</v>
      </c>
      <c r="T63" s="46">
        <f t="shared" si="13"/>
        <v>595942.1664000001</v>
      </c>
      <c r="U63" s="46">
        <f t="shared" si="23"/>
        <v>589982.74473600008</v>
      </c>
      <c r="V63" s="46">
        <f>(S63+U63)/2</f>
        <v>581158.19019300002</v>
      </c>
      <c r="W63" s="47">
        <f t="shared" si="21"/>
        <v>581158.19019300002</v>
      </c>
      <c r="X63" s="47"/>
      <c r="Y63" s="48">
        <f>IF(N63="Standard",(((($Z$3*Q63)+($AD$3*R63*$T$5))/2)*$O$7),IF(N63="Severe",(((($AA$3*Q63)+($AE$3*R63*$T$5))/2)*$O$7),IF(N63="Hostile",(((($AB$3*Q63)+($AF$3*R63*$T$5))/2)*$O$7))))</f>
        <v>465666.31849500001</v>
      </c>
      <c r="Z63" s="48">
        <f>IF(N63="Standard",(((($Z$4*Q63)+($AD$4*R63*$T$5))/2)*$O$7),IF(N63="Severe",(((($AA$4*Q63)+($AE$4*R63*$T$5))/2)*$O$7),IF(N63="Hostile",(((($AB$4*Q63)+($AF$4*R63*$T$5))/2)*$O$7))))</f>
        <v>514428.62433899997</v>
      </c>
      <c r="AA63" s="48">
        <f>IF(N63="Standard",((($Z$5*Q63)+($AD$5*R63*$T$5))/2)*$O$7,IF(N63="Severe",((($AA$5*Q63)+($AE$5*R63*$T$5))/2)*$O$7,IF(N63="Hostile",((($AB$5*Q63)+($AF$5*R63*$T$5))/2)*$O$7)))</f>
        <v>581158.19019300013</v>
      </c>
      <c r="AB63" s="48">
        <f>IF(N63="Standard",((($Z$6*Q63)+($AD$6*R63*$T$5))/2)*$O$7,IF(N63="Severe",((($AA$6*Q63)+($AE$6*R63*$T$5))/2)*$O$7,IF(N63="Hostile",((($AB$6*Q63)+($AF$6*R63*$T$5))/2)*$O$7)))</f>
        <v>629926.37213100016</v>
      </c>
      <c r="AC63" s="48">
        <f>IF(N63="Standard",((($Z$7*Q63)+($AD$7*R63*$T$5))/2)*$O$7,IF(N63="Severe",((($AA$7*Q63)+($AE$7*R63*$T$5))/2)*$O$7,IF(N63="Hostile",((($AB$7*Q63)+($AF$7*R63*$T$5))/2)*$O$7)))</f>
        <v>679867.06659900001</v>
      </c>
      <c r="AD63" s="1"/>
      <c r="AE63" s="1"/>
      <c r="AF63" s="1"/>
      <c r="AI63" s="9"/>
      <c r="AJ63" s="1"/>
      <c r="AK63" s="1"/>
      <c r="AL63" s="1"/>
      <c r="AM63" s="1"/>
      <c r="AN63" s="1"/>
      <c r="AO63" s="1"/>
      <c r="AP63" s="9"/>
      <c r="AQ63" s="3"/>
      <c r="AR63" s="4"/>
      <c r="AS63" s="1"/>
      <c r="AT63" s="1"/>
      <c r="AU63" s="1"/>
      <c r="AV63" s="1"/>
      <c r="AW63" s="1"/>
      <c r="AX63" s="3"/>
      <c r="AY63" s="3"/>
      <c r="AZ63" s="5"/>
      <c r="BA63" s="5"/>
      <c r="BB63" s="5"/>
      <c r="BC63" s="5"/>
      <c r="BD63" s="6"/>
      <c r="BE63" s="6"/>
      <c r="BF63" s="12"/>
      <c r="BG63" s="12"/>
      <c r="BH63" s="12"/>
      <c r="BI63" s="12"/>
      <c r="BJ63" s="12"/>
    </row>
    <row r="64" spans="2:62" x14ac:dyDescent="0.25">
      <c r="B64" s="1" t="s">
        <v>1180</v>
      </c>
      <c r="C64" s="1" t="s">
        <v>1360</v>
      </c>
      <c r="D64" s="1" t="s">
        <v>1190</v>
      </c>
      <c r="E64" s="1" t="s">
        <v>1361</v>
      </c>
      <c r="F64" s="1" t="s">
        <v>1362</v>
      </c>
      <c r="G64" s="1" t="s">
        <v>1294</v>
      </c>
      <c r="H64" s="1" t="s">
        <v>1295</v>
      </c>
      <c r="I64" s="7" t="s">
        <v>1187</v>
      </c>
      <c r="J64" s="44">
        <v>1</v>
      </c>
      <c r="K64" s="45">
        <v>1</v>
      </c>
      <c r="L64" s="1">
        <v>997</v>
      </c>
      <c r="M64" s="1" t="s">
        <v>1188</v>
      </c>
      <c r="N64" s="1" t="s">
        <v>1141</v>
      </c>
      <c r="O64" s="1" t="s">
        <v>1189</v>
      </c>
      <c r="P64" s="7" t="s">
        <v>1073</v>
      </c>
      <c r="Q64" s="44">
        <f>IF($L64=996,Multipliers!C$174,IF($L64=997,Multipliers!C$175,IF($L64=998,Multipliers!C$176,"NONE")))</f>
        <v>1.3</v>
      </c>
      <c r="R64" s="44">
        <f>IF($L64=996,Multipliers!C$5,IF($L64=997,Multipliers!C$6,IF($L64=998,Multipliers!C$7,"NONE")))</f>
        <v>1.34</v>
      </c>
      <c r="S64" s="46">
        <f t="shared" si="12"/>
        <v>576770.33050000016</v>
      </c>
      <c r="T64" s="46">
        <f t="shared" si="13"/>
        <v>595942.1664000001</v>
      </c>
      <c r="U64" s="46">
        <f t="shared" si="23"/>
        <v>589982.74473600008</v>
      </c>
      <c r="V64" s="46">
        <f>((S64+U64)/2*1.15)</f>
        <v>670883.01826070005</v>
      </c>
      <c r="W64" s="47">
        <f t="shared" si="21"/>
        <v>670883.01826070005</v>
      </c>
      <c r="X64" s="47"/>
      <c r="Y64" s="48">
        <f>IF(N64="Standard",(((($Z$3*Q64)+($AD$3*R64*$T$5))/2)*$O$7*1.15),IF(N64="Severe",(((($AA$3*Q64)+($AE$3*R64*$T$5))/2)*$O$7*1.15),IF(N64="Hostile",(((($AB$3*Q64)+($AF$3*R64*$T$5))/2)*$O$7*1.15))))</f>
        <v>537627.23286300001</v>
      </c>
      <c r="Z64" s="48">
        <f>IF(N64="Standard",(((($Z$4*Q64)+($AD$4*R64*$T$5))/2)*$O$7*1.15),IF(N64="Severe",(((($AA$4*Q64)+($AE$4*R64*$T$5))/2)*$O$7*1.15),IF(N64="Hostile",(((($AB$4*Q64)+($AF$4*R64*$T$5))/2)*$O$7*1.15))))</f>
        <v>593892.8539060998</v>
      </c>
      <c r="AA64" s="48">
        <f>IF(N64="Standard",(((($Z$5*Q64)+($AD$5*R64*$T$5))/2)*$O$7*1.15),IF(N64="Severe",(((($AA$5*Q64)+($AE$5*R64*$T$5))/2)*$O$7*1.15),IF(N64="Hostile",(((($AB$5*Q64)+($AF$5*R64*$T$5))/2)*$O$7*1.15))))</f>
        <v>670883.01826070005</v>
      </c>
      <c r="AB64" s="48">
        <f>IF(N64="Standard",(((($Z$6*Q64)+($AD$6*R64*$T$5))/2)*$O$7*1.15),IF(N64="Severe",(((($AA$6*Q64)+($AE$6*R64*$T$5))/2)*$O$7*1.15),IF(N64="Hostile",(((($AB$6*Q64)+($AF$6*R64*$T$5))/2)*$O$7*1.15))))</f>
        <v>727154.03193440009</v>
      </c>
      <c r="AC64" s="48">
        <f>IF(N64="Standard",(((($Z$7*Q64)+($AD$7*R64*$T$5))/2)*$O$7*1.15),IF(N64="Severe",(((($AA$7*Q64)+($AE$7*R64*$T$5))/2)*$O$7*1.15),IF(N64="Hostile",(((($AB$7*Q64)+($AF$7*R64*$T$5))/2)*$O$7*1.15))))</f>
        <v>784795.42359260004</v>
      </c>
      <c r="AD64" s="1"/>
      <c r="AE64" s="1"/>
      <c r="AF64" s="1"/>
      <c r="AI64" s="9"/>
      <c r="AJ64" s="1"/>
      <c r="AK64" s="1"/>
      <c r="AL64" s="1"/>
      <c r="AM64" s="1"/>
      <c r="AN64" s="1"/>
      <c r="AO64" s="1"/>
      <c r="AP64" s="9"/>
      <c r="AQ64" s="3"/>
      <c r="AR64" s="4"/>
      <c r="AS64" s="1"/>
      <c r="AT64" s="1"/>
      <c r="AU64" s="1"/>
      <c r="AV64" s="1"/>
      <c r="AW64" s="1"/>
      <c r="AX64" s="3"/>
      <c r="AY64" s="3"/>
      <c r="AZ64" s="5"/>
      <c r="BA64" s="5"/>
      <c r="BB64" s="5"/>
      <c r="BC64" s="5"/>
      <c r="BD64" s="6"/>
      <c r="BE64" s="6"/>
      <c r="BF64" s="12"/>
      <c r="BG64" s="12"/>
      <c r="BH64" s="12"/>
      <c r="BI64" s="12"/>
      <c r="BJ64" s="12"/>
    </row>
    <row r="65" spans="2:62" x14ac:dyDescent="0.25">
      <c r="B65" s="1" t="s">
        <v>1180</v>
      </c>
      <c r="C65" s="1" t="s">
        <v>1363</v>
      </c>
      <c r="D65" s="1" t="s">
        <v>1190</v>
      </c>
      <c r="E65" s="1" t="s">
        <v>1364</v>
      </c>
      <c r="F65" s="1" t="s">
        <v>1365</v>
      </c>
      <c r="G65" s="1" t="s">
        <v>1249</v>
      </c>
      <c r="H65" s="1" t="s">
        <v>1250</v>
      </c>
      <c r="I65" s="7" t="s">
        <v>1187</v>
      </c>
      <c r="J65" s="44">
        <v>1</v>
      </c>
      <c r="K65" s="45">
        <v>1</v>
      </c>
      <c r="L65" s="1">
        <v>996</v>
      </c>
      <c r="M65" s="1" t="s">
        <v>1188</v>
      </c>
      <c r="N65" s="1" t="s">
        <v>1141</v>
      </c>
      <c r="O65" s="1" t="s">
        <v>1189</v>
      </c>
      <c r="P65" s="1" t="s">
        <v>1190</v>
      </c>
      <c r="Q65" s="44">
        <f>IF($L65=996,Multipliers!C$174,IF($L65=997,Multipliers!C$175,IF($L65=998,Multipliers!C$176,"NONE")))</f>
        <v>1.29</v>
      </c>
      <c r="R65" s="44">
        <f>IF($L65=996,Multipliers!C$5,IF($L65=997,Multipliers!C$6,IF($L65=998,Multipliers!C$7,"NONE")))</f>
        <v>1.34</v>
      </c>
      <c r="S65" s="46">
        <f t="shared" si="12"/>
        <v>572333.63565000007</v>
      </c>
      <c r="T65" s="46">
        <f t="shared" si="13"/>
        <v>595942.1664000001</v>
      </c>
      <c r="U65" s="46">
        <f t="shared" si="23"/>
        <v>589982.74473600008</v>
      </c>
      <c r="V65" s="46">
        <f>(S65+U65)/2</f>
        <v>581158.19019300002</v>
      </c>
      <c r="W65" s="47">
        <f t="shared" si="21"/>
        <v>581158.19019300002</v>
      </c>
      <c r="X65" s="47"/>
      <c r="Y65" s="48">
        <f>IF(N65="Standard",(((($Z$3*Q65)+($AD$3*R65*$T$5))/2)*$O$7),IF(N65="Severe",(((($AA$3*Q65)+($AE$3*R65*$T$5))/2)*$O$7),IF(N65="Hostile",(((($AB$3*Q65)+($AF$3*R65*$T$5))/2)*$O$7))))</f>
        <v>465666.31849500001</v>
      </c>
      <c r="Z65" s="48">
        <f>IF(N65="Standard",(((($Z$4*Q65)+($AD$4*R65*$T$5))/2)*$O$7),IF(N65="Severe",(((($AA$4*Q65)+($AE$4*R65*$T$5))/2)*$O$7),IF(N65="Hostile",(((($AB$4*Q65)+($AF$4*R65*$T$5))/2)*$O$7))))</f>
        <v>514428.62433899997</v>
      </c>
      <c r="AA65" s="48">
        <f>IF(N65="Standard",((($Z$5*Q65)+($AD$5*R65*$T$5))/2)*$O$7,IF(N65="Severe",((($AA$5*Q65)+($AE$5*R65*$T$5))/2)*$O$7,IF(N65="Hostile",((($AB$5*Q65)+($AF$5*R65*$T$5))/2)*$O$7)))</f>
        <v>581158.19019300013</v>
      </c>
      <c r="AB65" s="48">
        <f>IF(N65="Standard",((($Z$6*Q65)+($AD$6*R65*$T$5))/2)*$O$7,IF(N65="Severe",((($AA$6*Q65)+($AE$6*R65*$T$5))/2)*$O$7,IF(N65="Hostile",((($AB$6*Q65)+($AF$6*R65*$T$5))/2)*$O$7)))</f>
        <v>629926.37213100016</v>
      </c>
      <c r="AC65" s="48">
        <f>IF(N65="Standard",((($Z$7*Q65)+($AD$7*R65*$T$5))/2)*$O$7,IF(N65="Severe",((($AA$7*Q65)+($AE$7*R65*$T$5))/2)*$O$7,IF(N65="Hostile",((($AB$7*Q65)+($AF$7*R65*$T$5))/2)*$O$7)))</f>
        <v>679867.06659900001</v>
      </c>
      <c r="AD65" s="1"/>
      <c r="AE65" s="1"/>
      <c r="AF65" s="1"/>
      <c r="AI65" s="9"/>
      <c r="AJ65" s="1"/>
      <c r="AK65" s="1"/>
      <c r="AL65" s="1"/>
      <c r="AM65" s="1"/>
      <c r="AN65" s="1"/>
      <c r="AO65" s="1"/>
      <c r="AP65" s="9"/>
      <c r="AQ65" s="3"/>
      <c r="AR65" s="4"/>
      <c r="AS65" s="1"/>
      <c r="AT65" s="1"/>
      <c r="AU65" s="1"/>
      <c r="AV65" s="1"/>
      <c r="AW65" s="1"/>
      <c r="AX65" s="3"/>
      <c r="AY65" s="3"/>
      <c r="AZ65" s="5"/>
      <c r="BA65" s="5"/>
      <c r="BB65" s="5"/>
      <c r="BC65" s="5"/>
      <c r="BD65" s="6"/>
      <c r="BE65" s="6"/>
      <c r="BF65" s="12"/>
      <c r="BG65" s="12"/>
      <c r="BH65" s="12"/>
      <c r="BI65" s="12"/>
      <c r="BJ65" s="12"/>
    </row>
    <row r="66" spans="2:62" x14ac:dyDescent="0.25">
      <c r="B66" s="1" t="s">
        <v>1180</v>
      </c>
      <c r="C66" s="1" t="s">
        <v>1366</v>
      </c>
      <c r="D66" s="1" t="s">
        <v>1190</v>
      </c>
      <c r="E66" s="1" t="s">
        <v>1367</v>
      </c>
      <c r="F66" s="1" t="s">
        <v>1368</v>
      </c>
      <c r="G66" s="1" t="s">
        <v>1202</v>
      </c>
      <c r="H66" s="1" t="s">
        <v>1203</v>
      </c>
      <c r="I66" s="7" t="s">
        <v>1187</v>
      </c>
      <c r="J66" s="44">
        <v>1</v>
      </c>
      <c r="K66" s="45">
        <v>1</v>
      </c>
      <c r="L66" s="1">
        <v>997</v>
      </c>
      <c r="M66" s="1" t="s">
        <v>1188</v>
      </c>
      <c r="N66" s="1" t="s">
        <v>1141</v>
      </c>
      <c r="O66" s="1" t="s">
        <v>1189</v>
      </c>
      <c r="P66" s="7" t="s">
        <v>1073</v>
      </c>
      <c r="Q66" s="44">
        <f>IF($L66=996,Multipliers!C$174,IF($L66=997,Multipliers!C$175,IF($L66=998,Multipliers!C$176,"NONE")))</f>
        <v>1.3</v>
      </c>
      <c r="R66" s="44">
        <f>IF($L66=996,Multipliers!C$5,IF($L66=997,Multipliers!C$6,IF($L66=998,Multipliers!C$7,"NONE")))</f>
        <v>1.34</v>
      </c>
      <c r="S66" s="46">
        <f t="shared" si="12"/>
        <v>576770.33050000016</v>
      </c>
      <c r="T66" s="46">
        <f t="shared" si="13"/>
        <v>595942.1664000001</v>
      </c>
      <c r="U66" s="46">
        <f t="shared" si="23"/>
        <v>589982.74473600008</v>
      </c>
      <c r="V66" s="46">
        <f>((S66+U66)/2*1.15)</f>
        <v>670883.01826070005</v>
      </c>
      <c r="W66" s="47">
        <f t="shared" si="21"/>
        <v>670883.01826070005</v>
      </c>
      <c r="X66" s="47"/>
      <c r="Y66" s="48">
        <f>IF(N66="Standard",(((($Z$3*Q66)+($AD$3*R66*$T$5))/2)*$O$7*1.15),IF(N66="Severe",(((($AA$3*Q66)+($AE$3*R66*$T$5))/2)*$O$7*1.15),IF(N66="Hostile",(((($AB$3*Q66)+($AF$3*R66*$T$5))/2)*$O$7*1.15))))</f>
        <v>537627.23286300001</v>
      </c>
      <c r="Z66" s="48">
        <f>IF(N66="Standard",(((($Z$4*Q66)+($AD$4*R66*$T$5))/2)*$O$7*1.15),IF(N66="Severe",(((($AA$4*Q66)+($AE$4*R66*$T$5))/2)*$O$7*1.15),IF(N66="Hostile",(((($AB$4*Q66)+($AF$4*R66*$T$5))/2)*$O$7*1.15))))</f>
        <v>593892.8539060998</v>
      </c>
      <c r="AA66" s="48">
        <f>IF(N66="Standard",(((($Z$5*Q66)+($AD$5*R66*$T$5))/2)*$O$7*1.15),IF(N66="Severe",(((($AA$5*Q66)+($AE$5*R66*$T$5))/2)*$O$7*1.15),IF(N66="Hostile",(((($AB$5*Q66)+($AF$5*R66*$T$5))/2)*$O$7*1.15))))</f>
        <v>670883.01826070005</v>
      </c>
      <c r="AB66" s="48">
        <f>IF(N66="Standard",(((($Z$6*Q66)+($AD$6*R66*$T$5))/2)*$O$7*1.15),IF(N66="Severe",(((($AA$6*Q66)+($AE$6*R66*$T$5))/2)*$O$7*1.15),IF(N66="Hostile",(((($AB$6*Q66)+($AF$6*R66*$T$5))/2)*$O$7*1.15))))</f>
        <v>727154.03193440009</v>
      </c>
      <c r="AC66" s="48">
        <f>IF(N66="Standard",(((($Z$7*Q66)+($AD$7*R66*$T$5))/2)*$O$7*1.15),IF(N66="Severe",(((($AA$7*Q66)+($AE$7*R66*$T$5))/2)*$O$7*1.15),IF(N66="Hostile",(((($AB$7*Q66)+($AF$7*R66*$T$5))/2)*$O$7*1.15))))</f>
        <v>784795.42359260004</v>
      </c>
      <c r="AD66" s="1"/>
      <c r="AE66" s="1"/>
      <c r="AF66" s="1"/>
      <c r="AI66" s="9"/>
      <c r="AJ66" s="1"/>
      <c r="AK66" s="1"/>
      <c r="AL66" s="1"/>
      <c r="AM66" s="1"/>
      <c r="AN66" s="1"/>
      <c r="AO66" s="1"/>
      <c r="AP66" s="9"/>
      <c r="AQ66" s="3"/>
      <c r="AR66" s="4"/>
      <c r="AS66" s="1"/>
      <c r="AT66" s="1"/>
      <c r="AU66" s="1"/>
      <c r="AV66" s="1"/>
      <c r="AW66" s="1"/>
      <c r="AX66" s="3"/>
      <c r="AY66" s="3"/>
      <c r="AZ66" s="5"/>
      <c r="BA66" s="5"/>
      <c r="BB66" s="5"/>
      <c r="BC66" s="5"/>
      <c r="BD66" s="6"/>
      <c r="BE66" s="6"/>
      <c r="BF66" s="12"/>
      <c r="BG66" s="12"/>
      <c r="BH66" s="12"/>
      <c r="BI66" s="12"/>
      <c r="BJ66" s="12"/>
    </row>
    <row r="67" spans="2:62" x14ac:dyDescent="0.25">
      <c r="B67" s="1" t="s">
        <v>1180</v>
      </c>
      <c r="C67" s="1" t="s">
        <v>1369</v>
      </c>
      <c r="D67" s="1" t="s">
        <v>1190</v>
      </c>
      <c r="E67" s="1" t="s">
        <v>1370</v>
      </c>
      <c r="F67" s="7" t="s">
        <v>1371</v>
      </c>
      <c r="G67" s="1" t="s">
        <v>1223</v>
      </c>
      <c r="H67" s="1" t="s">
        <v>1224</v>
      </c>
      <c r="I67" s="7" t="s">
        <v>1187</v>
      </c>
      <c r="J67" s="44">
        <v>1</v>
      </c>
      <c r="K67" s="45">
        <v>1</v>
      </c>
      <c r="L67" s="1">
        <v>997</v>
      </c>
      <c r="M67" s="1" t="s">
        <v>1188</v>
      </c>
      <c r="N67" s="1" t="s">
        <v>1141</v>
      </c>
      <c r="O67" s="1" t="s">
        <v>1189</v>
      </c>
      <c r="P67" s="7" t="s">
        <v>1073</v>
      </c>
      <c r="Q67" s="44">
        <f>IF($L67=996,Multipliers!C$174,IF($L67=997,Multipliers!C$175,IF($L67=998,Multipliers!C$176,"NONE")))</f>
        <v>1.3</v>
      </c>
      <c r="R67" s="44">
        <f>IF($L67=996,Multipliers!C$5,IF($L67=997,Multipliers!C$6,IF($L67=998,Multipliers!C$7,"NONE")))</f>
        <v>1.34</v>
      </c>
      <c r="S67" s="46">
        <f>IF(N67="Standard",$O$5*Q67*$O$7,IF(N67="Severe",$O$4*Q67*$O$7,IF(N67="Hostile",$O$3*Q67*$O$7)))</f>
        <v>576770.33050000016</v>
      </c>
      <c r="T67" s="46">
        <f>IF(N67="Standard",$P$5*R67*$O$7,IF(N67="Severe",$P$4*R67*$O$7,IF(N67="Hostile",$P$3*R67*$O$7)))</f>
        <v>595942.1664000001</v>
      </c>
      <c r="U67" s="46">
        <f>IF(O67="E",$T$3*T67,IF(O67="C",$T$4*T67,IF(O67="W",$T$5*T67,1)))</f>
        <v>589982.74473600008</v>
      </c>
      <c r="V67" s="46">
        <f>((S67+U67)/2*1.15)</f>
        <v>670883.01826070005</v>
      </c>
      <c r="W67" s="47">
        <f>IF(F67=F68,(V67+V68)/2,IF(F67=F66,(V67+V66)/2,IF(F67&lt;&gt;F66,V67)))</f>
        <v>670883.01826070005</v>
      </c>
      <c r="X67" s="47"/>
      <c r="Y67" s="48">
        <f>IF(N67="Standard",(((($Z$3*Q67)+($AD$3*R67*$T$5))/2)*$O$7*1.15),IF(N67="Severe",(((($AA$3*Q67)+($AE$3*R67*$T$5))/2)*$O$7*1.15),IF(N67="Hostile",(((($AB$3*Q67)+($AF$3*R67*$T$5))/2)*$O$7*1.15))))</f>
        <v>537627.23286300001</v>
      </c>
      <c r="Z67" s="48">
        <f>IF(N67="Standard",(((($Z$4*Q67)+($AD$4*R67*$T$5))/2)*$O$7*1.15),IF(N67="Severe",(((($AA$4*Q67)+($AE$4*R67*$T$5))/2)*$O$7*1.15),IF(N67="Hostile",(((($AB$4*Q67)+($AF$4*R67*$T$5))/2)*$O$7*1.15))))</f>
        <v>593892.8539060998</v>
      </c>
      <c r="AA67" s="48">
        <f>IF(N67="Standard",(((($Z$5*Q67)+($AD$5*R67*$T$5))/2)*$O$7*1.15),IF(N67="Severe",(((($AA$5*Q67)+($AE$5*R67*$T$5))/2)*$O$7*1.15),IF(N67="Hostile",(((($AB$5*Q67)+($AF$5*R67*$T$5))/2)*$O$7*1.15))))</f>
        <v>670883.01826070005</v>
      </c>
      <c r="AB67" s="48">
        <f>IF(N67="Standard",(((($Z$6*Q67)+($AD$6*R67*$T$5))/2)*$O$7*1.15),IF(N67="Severe",(((($AA$6*Q67)+($AE$6*R67*$T$5))/2)*$O$7*1.15),IF(N67="Hostile",(((($AB$6*Q67)+($AF$6*R67*$T$5))/2)*$O$7*1.15))))</f>
        <v>727154.03193440009</v>
      </c>
      <c r="AC67" s="48">
        <f>IF(N67="Standard",(((($Z$7*Q67)+($AD$7*R67*$T$5))/2)*$O$7*1.15),IF(N67="Severe",(((($AA$7*Q67)+($AE$7*R67*$T$5))/2)*$O$7*1.15),IF(N67="Hostile",(((($AB$7*Q67)+($AF$7*R67*$T$5))/2)*$O$7*1.15))))</f>
        <v>784795.42359260004</v>
      </c>
      <c r="AD67" s="1"/>
      <c r="AE67" s="1"/>
      <c r="AF67" s="1"/>
      <c r="AI67" s="9"/>
      <c r="AJ67" s="1"/>
      <c r="AK67" s="1"/>
      <c r="AL67" s="1"/>
      <c r="AM67" s="1"/>
      <c r="AN67" s="1"/>
      <c r="AO67" s="1"/>
      <c r="AP67" s="9"/>
      <c r="AQ67" s="3"/>
      <c r="AR67" s="4"/>
      <c r="AS67" s="1"/>
      <c r="AT67" s="1"/>
      <c r="AU67" s="1"/>
      <c r="AV67" s="1"/>
      <c r="AW67" s="1"/>
      <c r="AX67" s="3"/>
      <c r="AY67" s="3"/>
      <c r="AZ67" s="5"/>
      <c r="BA67" s="5"/>
      <c r="BB67" s="5"/>
      <c r="BC67" s="5"/>
      <c r="BD67" s="6"/>
      <c r="BE67" s="6"/>
      <c r="BF67" s="12"/>
      <c r="BG67" s="12"/>
      <c r="BH67" s="12"/>
      <c r="BI67" s="12"/>
      <c r="BJ67" s="12"/>
    </row>
    <row r="68" spans="2:62" x14ac:dyDescent="0.25">
      <c r="B68" s="1" t="s">
        <v>1180</v>
      </c>
      <c r="C68" s="1" t="s">
        <v>1372</v>
      </c>
      <c r="D68" s="1" t="s">
        <v>1190</v>
      </c>
      <c r="E68" s="1" t="s">
        <v>1373</v>
      </c>
      <c r="F68" s="1" t="s">
        <v>1374</v>
      </c>
      <c r="G68" s="1" t="s">
        <v>1236</v>
      </c>
      <c r="H68" s="1" t="s">
        <v>1237</v>
      </c>
      <c r="I68" s="7" t="s">
        <v>1187</v>
      </c>
      <c r="J68" s="44">
        <v>1</v>
      </c>
      <c r="K68" s="45">
        <v>1</v>
      </c>
      <c r="L68" s="1">
        <v>997</v>
      </c>
      <c r="M68" s="1" t="s">
        <v>1188</v>
      </c>
      <c r="N68" s="1" t="s">
        <v>1141</v>
      </c>
      <c r="O68" s="1" t="s">
        <v>1189</v>
      </c>
      <c r="P68" s="7" t="s">
        <v>1073</v>
      </c>
      <c r="Q68" s="44">
        <f>IF($L68=996,Multipliers!C$174,IF($L68=997,Multipliers!C$175,IF($L68=998,Multipliers!C$176,"NONE")))</f>
        <v>1.3</v>
      </c>
      <c r="R68" s="44">
        <f>IF($L68=996,Multipliers!C$5,IF($L68=997,Multipliers!C$6,IF($L68=998,Multipliers!C$7,"NONE")))</f>
        <v>1.34</v>
      </c>
      <c r="S68" s="46">
        <f t="shared" si="12"/>
        <v>576770.33050000016</v>
      </c>
      <c r="T68" s="46">
        <f t="shared" si="13"/>
        <v>595942.1664000001</v>
      </c>
      <c r="U68" s="46">
        <f t="shared" si="23"/>
        <v>589982.74473600008</v>
      </c>
      <c r="V68" s="46">
        <f>((S68+U68)/2*1.15)</f>
        <v>670883.01826070005</v>
      </c>
      <c r="W68" s="47">
        <f>IF(F68=F69,(V68+V69)/2,IF(F68=F67,(V68+V67)/2,IF(F68&lt;&gt;F67,V68)))</f>
        <v>670883.01826070005</v>
      </c>
      <c r="X68" s="47"/>
      <c r="Y68" s="48">
        <f>IF(N68="Standard",(((($Z$3*Q68)+($AD$3*R68*$T$5))/2)*$O$7*1.15),IF(N68="Severe",(((($AA$3*Q68)+($AE$3*R68*$T$5))/2)*$O$7*1.15),IF(N68="Hostile",(((($AB$3*Q68)+($AF$3*R68*$T$5))/2)*$O$7*1.15))))</f>
        <v>537627.23286300001</v>
      </c>
      <c r="Z68" s="48">
        <f>IF(N68="Standard",(((($Z$4*Q68)+($AD$4*R68*$T$5))/2)*$O$7*1.15),IF(N68="Severe",(((($AA$4*Q68)+($AE$4*R68*$T$5))/2)*$O$7*1.15),IF(N68="Hostile",(((($AB$4*Q68)+($AF$4*R68*$T$5))/2)*$O$7*1.15))))</f>
        <v>593892.8539060998</v>
      </c>
      <c r="AA68" s="48">
        <f>IF(N68="Standard",(((($Z$5*Q68)+($AD$5*R68*$T$5))/2)*$O$7*1.15),IF(N68="Severe",(((($AA$5*Q68)+($AE$5*R68*$T$5))/2)*$O$7*1.15),IF(N68="Hostile",(((($AB$5*Q68)+($AF$5*R68*$T$5))/2)*$O$7*1.15))))</f>
        <v>670883.01826070005</v>
      </c>
      <c r="AB68" s="48">
        <f>IF(N68="Standard",(((($Z$6*Q68)+($AD$6*R68*$T$5))/2)*$O$7*1.15),IF(N68="Severe",(((($AA$6*Q68)+($AE$6*R68*$T$5))/2)*$O$7*1.15),IF(N68="Hostile",(((($AB$6*Q68)+($AF$6*R68*$T$5))/2)*$O$7*1.15))))</f>
        <v>727154.03193440009</v>
      </c>
      <c r="AC68" s="48">
        <f>IF(N68="Standard",(((($Z$7*Q68)+($AD$7*R68*$T$5))/2)*$O$7*1.15),IF(N68="Severe",(((($AA$7*Q68)+($AE$7*R68*$T$5))/2)*$O$7*1.15),IF(N68="Hostile",(((($AB$7*Q68)+($AF$7*R68*$T$5))/2)*$O$7*1.15))))</f>
        <v>784795.42359260004</v>
      </c>
      <c r="AD68" s="1"/>
      <c r="AE68" s="1"/>
      <c r="AF68" s="1"/>
      <c r="AI68" s="9"/>
      <c r="AJ68" s="1"/>
      <c r="AK68" s="1"/>
      <c r="AL68" s="1"/>
      <c r="AM68" s="1"/>
      <c r="AN68" s="1"/>
      <c r="AO68" s="1"/>
      <c r="AP68" s="9"/>
      <c r="AQ68" s="3"/>
      <c r="AR68" s="4"/>
      <c r="AS68" s="1"/>
      <c r="AT68" s="1"/>
      <c r="AU68" s="1"/>
      <c r="AV68" s="1"/>
      <c r="AW68" s="1"/>
      <c r="AX68" s="3"/>
      <c r="AY68" s="3"/>
      <c r="AZ68" s="5"/>
      <c r="BA68" s="5"/>
      <c r="BB68" s="5"/>
      <c r="BC68" s="5"/>
      <c r="BD68" s="6"/>
      <c r="BE68" s="6"/>
      <c r="BF68" s="12"/>
      <c r="BG68" s="12"/>
      <c r="BH68" s="12"/>
      <c r="BI68" s="12"/>
      <c r="BJ68" s="12"/>
    </row>
    <row r="69" spans="2:62" x14ac:dyDescent="0.25">
      <c r="B69" s="1" t="s">
        <v>1180</v>
      </c>
      <c r="C69" s="1" t="s">
        <v>1375</v>
      </c>
      <c r="D69" s="1" t="s">
        <v>1190</v>
      </c>
      <c r="E69" s="1" t="s">
        <v>1376</v>
      </c>
      <c r="F69" s="1" t="s">
        <v>1377</v>
      </c>
      <c r="G69" s="1" t="s">
        <v>1218</v>
      </c>
      <c r="H69" s="1" t="s">
        <v>1219</v>
      </c>
      <c r="I69" s="7" t="s">
        <v>1187</v>
      </c>
      <c r="J69" s="44">
        <v>1</v>
      </c>
      <c r="K69" s="45">
        <v>1</v>
      </c>
      <c r="L69" s="1">
        <v>997</v>
      </c>
      <c r="M69" s="1" t="s">
        <v>1188</v>
      </c>
      <c r="N69" s="1" t="s">
        <v>1141</v>
      </c>
      <c r="O69" s="1" t="s">
        <v>1189</v>
      </c>
      <c r="P69" s="7" t="s">
        <v>1073</v>
      </c>
      <c r="Q69" s="44">
        <f>IF($L69=996,Multipliers!C$174,IF($L69=997,Multipliers!C$175,IF($L69=998,Multipliers!C$176,"NONE")))</f>
        <v>1.3</v>
      </c>
      <c r="R69" s="44">
        <f>IF($L69=996,Multipliers!C$5,IF($L69=997,Multipliers!C$6,IF($L69=998,Multipliers!C$7,"NONE")))</f>
        <v>1.34</v>
      </c>
      <c r="S69" s="46">
        <f t="shared" ref="S69:S88" si="24">IF(N69="Standard",$O$5*Q69*$O$7,IF(N69="Severe",$O$4*Q69*$O$7,IF(N69="Hostile",$O$3*Q69*$O$7)))</f>
        <v>576770.33050000016</v>
      </c>
      <c r="T69" s="46">
        <f t="shared" ref="T69:T88" si="25">IF(N69="Standard",$P$5*R69*$O$7,IF(N69="Severe",$P$4*R69*$O$7,IF(N69="Hostile",$P$3*R69*$O$7)))</f>
        <v>595942.1664000001</v>
      </c>
      <c r="U69" s="46">
        <f t="shared" si="23"/>
        <v>589982.74473600008</v>
      </c>
      <c r="V69" s="46">
        <f>((S69+U69)/2*1.15)</f>
        <v>670883.01826070005</v>
      </c>
      <c r="W69" s="47">
        <f>IF(F69=F70,(V69+V70)/2,IF(F69=F68,(V69+V68)/2,IF(F69&lt;&gt;F68,V69)))</f>
        <v>670883.01826070005</v>
      </c>
      <c r="X69" s="47"/>
      <c r="Y69" s="48">
        <f>IF(N69="Standard",(((($Z$3*Q69)+($AD$3*R69*$T$5))/2)*$O$7*1.15),IF(N69="Severe",(((($AA$3*Q69)+($AE$3*R69*$T$5))/2)*$O$7*1.15),IF(N69="Hostile",(((($AB$3*Q69)+($AF$3*R69*$T$5))/2)*$O$7*1.15))))</f>
        <v>537627.23286300001</v>
      </c>
      <c r="Z69" s="48">
        <f>IF(N69="Standard",(((($Z$4*Q69)+($AD$4*R69*$T$5))/2)*$O$7*1.15),IF(N69="Severe",(((($AA$4*Q69)+($AE$4*R69*$T$5))/2)*$O$7*1.15),IF(N69="Hostile",(((($AB$4*Q69)+($AF$4*R69*$T$5))/2)*$O$7*1.15))))</f>
        <v>593892.8539060998</v>
      </c>
      <c r="AA69" s="48">
        <f>IF(N69="Standard",(((($Z$5*Q69)+($AD$5*R69*$T$5))/2)*$O$7*1.15),IF(N69="Severe",(((($AA$5*Q69)+($AE$5*R69*$T$5))/2)*$O$7*1.15),IF(N69="Hostile",(((($AB$5*Q69)+($AF$5*R69*$T$5))/2)*$O$7*1.15))))</f>
        <v>670883.01826070005</v>
      </c>
      <c r="AB69" s="48">
        <f>IF(N69="Standard",(((($Z$6*Q69)+($AD$6*R69*$T$5))/2)*$O$7*1.15),IF(N69="Severe",(((($AA$6*Q69)+($AE$6*R69*$T$5))/2)*$O$7*1.15),IF(N69="Hostile",(((($AB$6*Q69)+($AF$6*R69*$T$5))/2)*$O$7*1.15))))</f>
        <v>727154.03193440009</v>
      </c>
      <c r="AC69" s="48">
        <f>IF(N69="Standard",(((($Z$7*Q69)+($AD$7*R69*$T$5))/2)*$O$7*1.15),IF(N69="Severe",(((($AA$7*Q69)+($AE$7*R69*$T$5))/2)*$O$7*1.15),IF(N69="Hostile",(((($AB$7*Q69)+($AF$7*R69*$T$5))/2)*$O$7*1.15))))</f>
        <v>784795.42359260004</v>
      </c>
      <c r="AD69" s="1"/>
      <c r="AE69" s="1"/>
      <c r="AF69" s="1"/>
      <c r="AI69" s="9"/>
      <c r="AJ69" s="1"/>
      <c r="AK69" s="1"/>
      <c r="AL69" s="1"/>
      <c r="AM69" s="1"/>
      <c r="AN69" s="1"/>
      <c r="AO69" s="1"/>
      <c r="AP69" s="9"/>
      <c r="AQ69" s="3"/>
      <c r="AR69" s="4"/>
      <c r="AS69" s="1"/>
      <c r="AT69" s="1"/>
      <c r="AU69" s="1"/>
      <c r="AV69" s="1"/>
      <c r="AW69" s="1"/>
      <c r="AX69" s="3"/>
      <c r="AY69" s="3"/>
      <c r="AZ69" s="5"/>
      <c r="BA69" s="5"/>
      <c r="BB69" s="5"/>
      <c r="BC69" s="5"/>
      <c r="BD69" s="6"/>
      <c r="BE69" s="6"/>
      <c r="BF69" s="12"/>
      <c r="BG69" s="12"/>
      <c r="BH69" s="12"/>
      <c r="BI69" s="12"/>
      <c r="BJ69" s="12"/>
    </row>
    <row r="70" spans="2:62" x14ac:dyDescent="0.25">
      <c r="B70" s="1" t="s">
        <v>1180</v>
      </c>
      <c r="C70" s="1" t="s">
        <v>1181</v>
      </c>
      <c r="D70" s="1" t="s">
        <v>1378</v>
      </c>
      <c r="E70" s="1" t="s">
        <v>1379</v>
      </c>
      <c r="F70" s="1" t="s">
        <v>1380</v>
      </c>
      <c r="G70" s="1" t="s">
        <v>1249</v>
      </c>
      <c r="H70" s="1" t="s">
        <v>1250</v>
      </c>
      <c r="I70" s="7" t="s">
        <v>1187</v>
      </c>
      <c r="J70" s="44">
        <v>1</v>
      </c>
      <c r="K70" s="45">
        <v>1</v>
      </c>
      <c r="L70" s="1">
        <v>996</v>
      </c>
      <c r="M70" s="1" t="s">
        <v>1188</v>
      </c>
      <c r="N70" s="1" t="s">
        <v>1141</v>
      </c>
      <c r="O70" s="1" t="s">
        <v>1189</v>
      </c>
      <c r="P70" s="1" t="s">
        <v>1190</v>
      </c>
      <c r="Q70" s="44">
        <f>IF($L70=996,Multipliers!C$174,IF($L70=997,Multipliers!C$175,IF($L70=998,Multipliers!C$176,"NONE")))</f>
        <v>1.29</v>
      </c>
      <c r="R70" s="44">
        <f>IF($L70=996,Multipliers!C$5,IF($L70=997,Multipliers!C$6,IF($L70=998,Multipliers!C$7,"NONE")))</f>
        <v>1.34</v>
      </c>
      <c r="S70" s="46">
        <f t="shared" si="24"/>
        <v>572333.63565000007</v>
      </c>
      <c r="T70" s="46">
        <f t="shared" si="25"/>
        <v>595942.1664000001</v>
      </c>
      <c r="U70" s="46">
        <f t="shared" si="23"/>
        <v>589982.74473600008</v>
      </c>
      <c r="V70" s="46">
        <f>(S70+U70)/2</f>
        <v>581158.19019300002</v>
      </c>
      <c r="W70" s="47">
        <f t="shared" ref="W70:W90" si="26">IF(F70=F71,(V70+V71)/2,IF(F70=F69,(V70+V69)/2,IF(F70&lt;&gt;F69,V70)))</f>
        <v>581158.19019300002</v>
      </c>
      <c r="X70" s="47"/>
      <c r="Y70" s="48">
        <f>IF(N70="Standard",(((($Z$3*Q70)+($AD$3*R70*$T$5))/2)*$O$7),IF(N70="Severe",(((($AA$3*Q70)+($AE$3*R70*$T$5))/2)*$O$7),IF(N70="Hostile",(((($AB$3*Q70)+($AF$3*R70*$T$5))/2)*$O$7))))</f>
        <v>465666.31849500001</v>
      </c>
      <c r="Z70" s="48">
        <f>IF(N70="Standard",(((($Z$4*Q70)+($AD$4*R70*$T$5))/2)*$O$7),IF(N70="Severe",(((($AA$4*Q70)+($AE$4*R70*$T$5))/2)*$O$7),IF(N70="Hostile",(((($AB$4*Q70)+($AF$4*R70*$T$5))/2)*$O$7))))</f>
        <v>514428.62433899997</v>
      </c>
      <c r="AA70" s="48">
        <f>IF(N70="Standard",((($Z$5*Q70)+($AD$5*R70*$T$5))/2)*$O$7,IF(N70="Severe",((($AA$5*Q70)+($AE$5*R70*$T$5))/2)*$O$7,IF(N70="Hostile",((($AB$5*Q70)+($AF$5*R70*$T$5))/2)*$O$7)))</f>
        <v>581158.19019300013</v>
      </c>
      <c r="AB70" s="48">
        <f>IF(N70="Standard",((($Z$6*Q70)+($AD$6*R70*$T$5))/2)*$O$7,IF(N70="Severe",((($AA$6*Q70)+($AE$6*R70*$T$5))/2)*$O$7,IF(N70="Hostile",((($AB$6*Q70)+($AF$6*R70*$T$5))/2)*$O$7)))</f>
        <v>629926.37213100016</v>
      </c>
      <c r="AC70" s="48">
        <f>IF(N70="Standard",((($Z$7*Q70)+($AD$7*R70*$T$5))/2)*$O$7,IF(N70="Severe",((($AA$7*Q70)+($AE$7*R70*$T$5))/2)*$O$7,IF(N70="Hostile",((($AB$7*Q70)+($AF$7*R70*$T$5))/2)*$O$7)))</f>
        <v>679867.06659900001</v>
      </c>
      <c r="AD70" s="1"/>
      <c r="AE70" s="1"/>
      <c r="AF70" s="1"/>
      <c r="AI70" s="9"/>
      <c r="AJ70" s="1"/>
      <c r="AK70" s="1"/>
      <c r="AL70" s="1"/>
      <c r="AM70" s="1"/>
      <c r="AN70" s="1"/>
      <c r="AO70" s="1"/>
      <c r="AP70" s="9"/>
      <c r="AQ70" s="3"/>
      <c r="AR70" s="4"/>
      <c r="AS70" s="1"/>
      <c r="AT70" s="1"/>
      <c r="AU70" s="1"/>
      <c r="AV70" s="1"/>
      <c r="AW70" s="1"/>
      <c r="AX70" s="3"/>
      <c r="AY70" s="3"/>
      <c r="AZ70" s="5"/>
      <c r="BA70" s="5"/>
      <c r="BB70" s="5"/>
      <c r="BC70" s="5"/>
      <c r="BD70" s="6"/>
      <c r="BE70" s="6"/>
      <c r="BF70" s="12"/>
      <c r="BG70" s="12"/>
      <c r="BH70" s="12"/>
      <c r="BI70" s="12"/>
      <c r="BJ70" s="12"/>
    </row>
    <row r="71" spans="2:62" x14ac:dyDescent="0.25">
      <c r="B71" s="1" t="s">
        <v>1180</v>
      </c>
      <c r="C71" s="1" t="s">
        <v>1181</v>
      </c>
      <c r="D71" s="1" t="s">
        <v>1381</v>
      </c>
      <c r="E71" s="1" t="s">
        <v>1192</v>
      </c>
      <c r="F71" s="1" t="s">
        <v>1382</v>
      </c>
      <c r="G71" s="1" t="s">
        <v>1218</v>
      </c>
      <c r="H71" s="1" t="s">
        <v>1219</v>
      </c>
      <c r="I71" s="7" t="s">
        <v>1187</v>
      </c>
      <c r="J71" s="44">
        <v>1</v>
      </c>
      <c r="K71" s="45">
        <v>4</v>
      </c>
      <c r="L71" s="1">
        <v>997</v>
      </c>
      <c r="M71" s="1" t="s">
        <v>1188</v>
      </c>
      <c r="N71" s="1" t="s">
        <v>1141</v>
      </c>
      <c r="O71" s="1" t="s">
        <v>1189</v>
      </c>
      <c r="P71" s="7" t="s">
        <v>1073</v>
      </c>
      <c r="Q71" s="44">
        <f>IF($L71=996,Multipliers!C$174,IF($L71=997,Multipliers!C$175,IF($L71=998,Multipliers!C$176,"NONE")))</f>
        <v>1.3</v>
      </c>
      <c r="R71" s="44">
        <f>IF($L71=996,Multipliers!C$5,IF($L71=997,Multipliers!C$6,IF($L71=998,Multipliers!C$7,"NONE")))</f>
        <v>1.34</v>
      </c>
      <c r="S71" s="46">
        <f t="shared" si="24"/>
        <v>576770.33050000016</v>
      </c>
      <c r="T71" s="46">
        <f t="shared" si="25"/>
        <v>595942.1664000001</v>
      </c>
      <c r="U71" s="46">
        <f t="shared" si="23"/>
        <v>589982.74473600008</v>
      </c>
      <c r="V71" s="46">
        <f>((S71+U71)/2*1.15)</f>
        <v>670883.01826070005</v>
      </c>
      <c r="W71" s="47">
        <f t="shared" si="26"/>
        <v>670883.01826070005</v>
      </c>
      <c r="X71" s="47"/>
      <c r="Y71" s="48">
        <f>IF(N71="Standard",(((($Z$3*Q71)+($AD$3*R71*$T$5))/2)*$O$7*1.15),IF(N71="Severe",(((($AA$3*Q71)+($AE$3*R71*$T$5))/2)*$O$7*1.15),IF(N71="Hostile",(((($AB$3*Q71)+($AF$3*R71*$T$5))/2)*$O$7*1.15))))</f>
        <v>537627.23286300001</v>
      </c>
      <c r="Z71" s="48">
        <f>IF(N71="Standard",(((($Z$4*Q71)+($AD$4*R71*$T$5))/2)*$O$7*1.15),IF(N71="Severe",(((($AA$4*Q71)+($AE$4*R71*$T$5))/2)*$O$7*1.15),IF(N71="Hostile",(((($AB$4*Q71)+($AF$4*R71*$T$5))/2)*$O$7*1.15))))</f>
        <v>593892.8539060998</v>
      </c>
      <c r="AA71" s="48">
        <f>IF(N71="Standard",(((($Z$5*Q71)+($AD$5*R71*$T$5))/2)*$O$7*1.15),IF(N71="Severe",(((($AA$5*Q71)+($AE$5*R71*$T$5))/2)*$O$7*1.15),IF(N71="Hostile",(((($AB$5*Q71)+($AF$5*R71*$T$5))/2)*$O$7*1.15))))</f>
        <v>670883.01826070005</v>
      </c>
      <c r="AB71" s="48">
        <f>IF(N71="Standard",(((($Z$6*Q71)+($AD$6*R71*$T$5))/2)*$O$7*1.15),IF(N71="Severe",(((($AA$6*Q71)+($AE$6*R71*$T$5))/2)*$O$7*1.15),IF(N71="Hostile",(((($AB$6*Q71)+($AF$6*R71*$T$5))/2)*$O$7*1.15))))</f>
        <v>727154.03193440009</v>
      </c>
      <c r="AC71" s="48">
        <f>IF(N71="Standard",(((($Z$7*Q71)+($AD$7*R71*$T$5))/2)*$O$7*1.15),IF(N71="Severe",(((($AA$7*Q71)+($AE$7*R71*$T$5))/2)*$O$7*1.15),IF(N71="Hostile",(((($AB$7*Q71)+($AF$7*R71*$T$5))/2)*$O$7*1.15))))</f>
        <v>784795.42359260004</v>
      </c>
      <c r="AD71" s="1"/>
      <c r="AE71" s="1"/>
      <c r="AF71" s="1"/>
      <c r="AI71" s="9"/>
      <c r="AJ71" s="1"/>
      <c r="AK71" s="1"/>
      <c r="AL71" s="1"/>
      <c r="AM71" s="1"/>
      <c r="AN71" s="1"/>
      <c r="AO71" s="1"/>
      <c r="AP71" s="9"/>
      <c r="AQ71" s="3"/>
      <c r="AR71" s="4"/>
      <c r="AS71" s="1"/>
      <c r="AT71" s="1"/>
      <c r="AU71" s="1"/>
      <c r="AV71" s="1"/>
      <c r="AW71" s="1"/>
      <c r="AX71" s="3"/>
      <c r="AY71" s="3"/>
      <c r="AZ71" s="5"/>
      <c r="BA71" s="5"/>
      <c r="BB71" s="5"/>
      <c r="BC71" s="5"/>
      <c r="BD71" s="6"/>
      <c r="BE71" s="6"/>
      <c r="BF71" s="12"/>
      <c r="BG71" s="12"/>
      <c r="BH71" s="12"/>
      <c r="BI71" s="12"/>
      <c r="BJ71" s="12"/>
    </row>
    <row r="72" spans="2:62" x14ac:dyDescent="0.25">
      <c r="B72" s="1" t="s">
        <v>1180</v>
      </c>
      <c r="C72" s="1" t="s">
        <v>1383</v>
      </c>
      <c r="D72" s="1" t="s">
        <v>1190</v>
      </c>
      <c r="E72" s="1" t="s">
        <v>1384</v>
      </c>
      <c r="F72" s="1" t="s">
        <v>1385</v>
      </c>
      <c r="G72" s="1" t="s">
        <v>1218</v>
      </c>
      <c r="H72" s="1" t="s">
        <v>1219</v>
      </c>
      <c r="I72" s="7" t="s">
        <v>1187</v>
      </c>
      <c r="J72" s="44">
        <v>1</v>
      </c>
      <c r="K72" s="45">
        <v>1</v>
      </c>
      <c r="L72" s="1">
        <v>997</v>
      </c>
      <c r="M72" s="1" t="s">
        <v>1188</v>
      </c>
      <c r="N72" s="1" t="s">
        <v>1141</v>
      </c>
      <c r="O72" s="1" t="s">
        <v>1189</v>
      </c>
      <c r="P72" s="7" t="s">
        <v>1073</v>
      </c>
      <c r="Q72" s="44">
        <f>IF($L72=996,Multipliers!C$174,IF($L72=997,Multipliers!C$175,IF($L72=998,Multipliers!C$176,"NONE")))</f>
        <v>1.3</v>
      </c>
      <c r="R72" s="44">
        <f>IF($L72=996,Multipliers!C$5,IF($L72=997,Multipliers!C$6,IF($L72=998,Multipliers!C$7,"NONE")))</f>
        <v>1.34</v>
      </c>
      <c r="S72" s="46">
        <f t="shared" si="24"/>
        <v>576770.33050000016</v>
      </c>
      <c r="T72" s="46">
        <f t="shared" si="25"/>
        <v>595942.1664000001</v>
      </c>
      <c r="U72" s="46">
        <f t="shared" si="23"/>
        <v>589982.74473600008</v>
      </c>
      <c r="V72" s="46">
        <f>((S72+U72)/2*1.15)</f>
        <v>670883.01826070005</v>
      </c>
      <c r="W72" s="47">
        <f>IF(F72=F73,(V72+V73)/2,IF(F72=F71,(V72+V71)/2,IF(F72&lt;&gt;F71,V72)))</f>
        <v>670883.01826070005</v>
      </c>
      <c r="X72" s="47"/>
      <c r="Y72" s="48">
        <f>IF(N72="Standard",(((($Z$3*Q72)+($AD$3*R72*$T$5))/2)*$O$7*1.15),IF(N72="Severe",(((($AA$3*Q72)+($AE$3*R72*$T$5))/2)*$O$7*1.15),IF(N72="Hostile",(((($AB$3*Q72)+($AF$3*R72*$T$5))/2)*$O$7*1.15))))</f>
        <v>537627.23286300001</v>
      </c>
      <c r="Z72" s="48">
        <f>IF(N72="Standard",(((($Z$4*Q72)+($AD$4*R72*$T$5))/2)*$O$7*1.15),IF(N72="Severe",(((($AA$4*Q72)+($AE$4*R72*$T$5))/2)*$O$7*1.15),IF(N72="Hostile",(((($AB$4*Q72)+($AF$4*R72*$T$5))/2)*$O$7*1.15))))</f>
        <v>593892.8539060998</v>
      </c>
      <c r="AA72" s="48">
        <f>IF(N72="Standard",(((($Z$5*Q72)+($AD$5*R72*$T$5))/2)*$O$7*1.15),IF(N72="Severe",(((($AA$5*Q72)+($AE$5*R72*$T$5))/2)*$O$7*1.15),IF(N72="Hostile",(((($AB$5*Q72)+($AF$5*R72*$T$5))/2)*$O$7*1.15))))</f>
        <v>670883.01826070005</v>
      </c>
      <c r="AB72" s="48">
        <f>IF(N72="Standard",(((($Z$6*Q72)+($AD$6*R72*$T$5))/2)*$O$7*1.15),IF(N72="Severe",(((($AA$6*Q72)+($AE$6*R72*$T$5))/2)*$O$7*1.15),IF(N72="Hostile",(((($AB$6*Q72)+($AF$6*R72*$T$5))/2)*$O$7*1.15))))</f>
        <v>727154.03193440009</v>
      </c>
      <c r="AC72" s="48">
        <f>IF(N72="Standard",(((($Z$7*Q72)+($AD$7*R72*$T$5))/2)*$O$7*1.15),IF(N72="Severe",(((($AA$7*Q72)+($AE$7*R72*$T$5))/2)*$O$7*1.15),IF(N72="Hostile",(((($AB$7*Q72)+($AF$7*R72*$T$5))/2)*$O$7*1.15))))</f>
        <v>784795.42359260004</v>
      </c>
      <c r="AD72" s="1"/>
      <c r="AE72" s="1"/>
      <c r="AF72" s="1"/>
      <c r="AI72" s="9"/>
      <c r="AJ72" s="1"/>
      <c r="AK72" s="1"/>
      <c r="AL72" s="1"/>
      <c r="AM72" s="1"/>
      <c r="AN72" s="1"/>
      <c r="AO72" s="1"/>
      <c r="AP72" s="9"/>
      <c r="AQ72" s="3"/>
      <c r="AR72" s="4"/>
      <c r="AS72" s="1"/>
      <c r="AT72" s="1"/>
      <c r="AU72" s="1"/>
      <c r="AV72" s="1"/>
      <c r="AW72" s="1"/>
      <c r="AX72" s="3"/>
      <c r="AY72" s="3"/>
      <c r="AZ72" s="5"/>
      <c r="BA72" s="5"/>
      <c r="BB72" s="5"/>
      <c r="BC72" s="5"/>
      <c r="BD72" s="6"/>
      <c r="BE72" s="6"/>
      <c r="BF72" s="12"/>
      <c r="BG72" s="12"/>
      <c r="BH72" s="12"/>
      <c r="BI72" s="12"/>
      <c r="BJ72" s="12"/>
    </row>
    <row r="73" spans="2:62" x14ac:dyDescent="0.25">
      <c r="B73" s="1" t="s">
        <v>1180</v>
      </c>
      <c r="C73" s="1" t="s">
        <v>1386</v>
      </c>
      <c r="D73" s="1" t="s">
        <v>1190</v>
      </c>
      <c r="E73" s="1" t="s">
        <v>1387</v>
      </c>
      <c r="F73" s="1" t="s">
        <v>1388</v>
      </c>
      <c r="G73" s="1" t="s">
        <v>1202</v>
      </c>
      <c r="H73" s="1" t="s">
        <v>1203</v>
      </c>
      <c r="I73" s="7" t="s">
        <v>1187</v>
      </c>
      <c r="J73" s="44">
        <v>1</v>
      </c>
      <c r="K73" s="45">
        <v>1</v>
      </c>
      <c r="L73" s="1">
        <v>997</v>
      </c>
      <c r="M73" s="1" t="s">
        <v>1188</v>
      </c>
      <c r="N73" s="1" t="s">
        <v>1141</v>
      </c>
      <c r="O73" s="1" t="s">
        <v>1189</v>
      </c>
      <c r="P73" s="7" t="s">
        <v>1073</v>
      </c>
      <c r="Q73" s="44">
        <f>IF($L73=996,Multipliers!C$174,IF($L73=997,Multipliers!C$175,IF($L73=998,Multipliers!C$176,"NONE")))</f>
        <v>1.3</v>
      </c>
      <c r="R73" s="44">
        <f>IF($L73=996,Multipliers!C$5,IF($L73=997,Multipliers!C$6,IF($L73=998,Multipliers!C$7,"NONE")))</f>
        <v>1.34</v>
      </c>
      <c r="S73" s="46">
        <f t="shared" si="24"/>
        <v>576770.33050000016</v>
      </c>
      <c r="T73" s="46">
        <f t="shared" si="25"/>
        <v>595942.1664000001</v>
      </c>
      <c r="U73" s="46">
        <f t="shared" si="23"/>
        <v>589982.74473600008</v>
      </c>
      <c r="V73" s="46">
        <f>((S73+U73)/2*1.15)</f>
        <v>670883.01826070005</v>
      </c>
      <c r="W73" s="47">
        <f>IF(F73=F74,(V73+V74)/2,IF(F73=F72,(V73+V72)/2,IF(F73&lt;&gt;F72,V73)))</f>
        <v>670883.01826070005</v>
      </c>
      <c r="X73" s="47"/>
      <c r="Y73" s="48">
        <f>IF(N73="Standard",(((($Z$3*Q73)+($AD$3*R73*$T$5))/2)*$O$7*1.15),IF(N73="Severe",(((($AA$3*Q73)+($AE$3*R73*$T$5))/2)*$O$7*1.15),IF(N73="Hostile",(((($AB$3*Q73)+($AF$3*R73*$T$5))/2)*$O$7*1.15))))</f>
        <v>537627.23286300001</v>
      </c>
      <c r="Z73" s="48">
        <f>IF(N73="Standard",(((($Z$4*Q73)+($AD$4*R73*$T$5))/2)*$O$7*1.15),IF(N73="Severe",(((($AA$4*Q73)+($AE$4*R73*$T$5))/2)*$O$7*1.15),IF(N73="Hostile",(((($AB$4*Q73)+($AF$4*R73*$T$5))/2)*$O$7*1.15))))</f>
        <v>593892.8539060998</v>
      </c>
      <c r="AA73" s="48">
        <f>IF(N73="Standard",(((($Z$5*Q73)+($AD$5*R73*$T$5))/2)*$O$7*1.15),IF(N73="Severe",(((($AA$5*Q73)+($AE$5*R73*$T$5))/2)*$O$7*1.15),IF(N73="Hostile",(((($AB$5*Q73)+($AF$5*R73*$T$5))/2)*$O$7*1.15))))</f>
        <v>670883.01826070005</v>
      </c>
      <c r="AB73" s="48">
        <f>IF(N73="Standard",(((($Z$6*Q73)+($AD$6*R73*$T$5))/2)*$O$7*1.15),IF(N73="Severe",(((($AA$6*Q73)+($AE$6*R73*$T$5))/2)*$O$7*1.15),IF(N73="Hostile",(((($AB$6*Q73)+($AF$6*R73*$T$5))/2)*$O$7*1.15))))</f>
        <v>727154.03193440009</v>
      </c>
      <c r="AC73" s="48">
        <f>IF(N73="Standard",(((($Z$7*Q73)+($AD$7*R73*$T$5))/2)*$O$7*1.15),IF(N73="Severe",(((($AA$7*Q73)+($AE$7*R73*$T$5))/2)*$O$7*1.15),IF(N73="Hostile",(((($AB$7*Q73)+($AF$7*R73*$T$5))/2)*$O$7*1.15))))</f>
        <v>784795.42359260004</v>
      </c>
      <c r="AD73" s="1"/>
      <c r="AE73" s="1"/>
      <c r="AF73" s="1"/>
      <c r="AI73" s="9"/>
      <c r="AJ73" s="1"/>
      <c r="AK73" s="1"/>
      <c r="AL73" s="1"/>
      <c r="AM73" s="1"/>
      <c r="AN73" s="1"/>
      <c r="AO73" s="1"/>
      <c r="AP73" s="9"/>
      <c r="AQ73" s="3"/>
      <c r="AR73" s="4"/>
      <c r="AS73" s="1"/>
      <c r="AT73" s="1"/>
      <c r="AU73" s="1"/>
      <c r="AV73" s="1"/>
      <c r="AW73" s="1"/>
      <c r="AX73" s="3"/>
      <c r="AY73" s="3"/>
      <c r="AZ73" s="5"/>
      <c r="BA73" s="5"/>
      <c r="BB73" s="5"/>
      <c r="BC73" s="5"/>
      <c r="BD73" s="6"/>
      <c r="BE73" s="6"/>
      <c r="BF73" s="12"/>
      <c r="BG73" s="12"/>
      <c r="BH73" s="12"/>
      <c r="BI73" s="12"/>
      <c r="BJ73" s="12"/>
    </row>
    <row r="74" spans="2:62" x14ac:dyDescent="0.25">
      <c r="B74" s="1" t="s">
        <v>1180</v>
      </c>
      <c r="C74" s="1" t="s">
        <v>1389</v>
      </c>
      <c r="D74" s="1" t="s">
        <v>1190</v>
      </c>
      <c r="E74" s="1" t="s">
        <v>1390</v>
      </c>
      <c r="F74" s="1" t="s">
        <v>1391</v>
      </c>
      <c r="G74" s="1" t="s">
        <v>1223</v>
      </c>
      <c r="H74" s="1" t="s">
        <v>1224</v>
      </c>
      <c r="I74" s="7" t="s">
        <v>1187</v>
      </c>
      <c r="J74" s="44">
        <v>1</v>
      </c>
      <c r="K74" s="45">
        <v>1</v>
      </c>
      <c r="L74" s="1">
        <v>997</v>
      </c>
      <c r="M74" s="1" t="s">
        <v>1188</v>
      </c>
      <c r="N74" s="1" t="s">
        <v>1141</v>
      </c>
      <c r="O74" s="1" t="s">
        <v>1189</v>
      </c>
      <c r="P74" s="7" t="s">
        <v>1073</v>
      </c>
      <c r="Q74" s="44">
        <f>IF($L74=996,Multipliers!C$174,IF($L74=997,Multipliers!C$175,IF($L74=998,Multipliers!C$176,"NONE")))</f>
        <v>1.3</v>
      </c>
      <c r="R74" s="44">
        <f>IF($L74=996,Multipliers!C$5,IF($L74=997,Multipliers!C$6,IF($L74=998,Multipliers!C$7,"NONE")))</f>
        <v>1.34</v>
      </c>
      <c r="S74" s="46">
        <f t="shared" si="24"/>
        <v>576770.33050000016</v>
      </c>
      <c r="T74" s="46">
        <f t="shared" si="25"/>
        <v>595942.1664000001</v>
      </c>
      <c r="U74" s="46">
        <f t="shared" si="23"/>
        <v>589982.74473600008</v>
      </c>
      <c r="V74" s="46">
        <f>((S74+U74)/2*1.15)</f>
        <v>670883.01826070005</v>
      </c>
      <c r="W74" s="47">
        <f>IF(F74=F75,(V74+V75)/2,IF(F74=F73,(V74+V73)/2,IF(F74&lt;&gt;F73,V74)))</f>
        <v>670883.01826070005</v>
      </c>
      <c r="X74" s="47"/>
      <c r="Y74" s="48">
        <f>IF(N74="Standard",(((($Z$3*Q74)+($AD$3*R74*$T$5))/2)*$O$7*1.15),IF(N74="Severe",(((($AA$3*Q74)+($AE$3*R74*$T$5))/2)*$O$7*1.15),IF(N74="Hostile",(((($AB$3*Q74)+($AF$3*R74*$T$5))/2)*$O$7*1.15))))</f>
        <v>537627.23286300001</v>
      </c>
      <c r="Z74" s="48">
        <f>IF(N74="Standard",(((($Z$4*Q74)+($AD$4*R74*$T$5))/2)*$O$7*1.15),IF(N74="Severe",(((($AA$4*Q74)+($AE$4*R74*$T$5))/2)*$O$7*1.15),IF(N74="Hostile",(((($AB$4*Q74)+($AF$4*R74*$T$5))/2)*$O$7*1.15))))</f>
        <v>593892.8539060998</v>
      </c>
      <c r="AA74" s="48">
        <f>IF(N74="Standard",(((($Z$5*Q74)+($AD$5*R74*$T$5))/2)*$O$7*1.15),IF(N74="Severe",(((($AA$5*Q74)+($AE$5*R74*$T$5))/2)*$O$7*1.15),IF(N74="Hostile",(((($AB$5*Q74)+($AF$5*R74*$T$5))/2)*$O$7*1.15))))</f>
        <v>670883.01826070005</v>
      </c>
      <c r="AB74" s="48">
        <f>IF(N74="Standard",(((($Z$6*Q74)+($AD$6*R74*$T$5))/2)*$O$7*1.15),IF(N74="Severe",(((($AA$6*Q74)+($AE$6*R74*$T$5))/2)*$O$7*1.15),IF(N74="Hostile",(((($AB$6*Q74)+($AF$6*R74*$T$5))/2)*$O$7*1.15))))</f>
        <v>727154.03193440009</v>
      </c>
      <c r="AC74" s="48">
        <f>IF(N74="Standard",(((($Z$7*Q74)+($AD$7*R74*$T$5))/2)*$O$7*1.15),IF(N74="Severe",(((($AA$7*Q74)+($AE$7*R74*$T$5))/2)*$O$7*1.15),IF(N74="Hostile",(((($AB$7*Q74)+($AF$7*R74*$T$5))/2)*$O$7*1.15))))</f>
        <v>784795.42359260004</v>
      </c>
      <c r="AD74" s="1"/>
      <c r="AE74" s="1"/>
      <c r="AF74" s="1"/>
      <c r="AI74" s="9"/>
      <c r="AJ74" s="1"/>
      <c r="AK74" s="1"/>
      <c r="AL74" s="1"/>
      <c r="AM74" s="1"/>
      <c r="AN74" s="1"/>
      <c r="AO74" s="1"/>
      <c r="AP74" s="9"/>
      <c r="AQ74" s="3"/>
      <c r="AR74" s="4"/>
      <c r="AS74" s="1"/>
      <c r="AT74" s="1"/>
      <c r="AU74" s="1"/>
      <c r="AV74" s="1"/>
      <c r="AW74" s="1"/>
      <c r="AX74" s="3"/>
      <c r="AY74" s="3"/>
      <c r="AZ74" s="5"/>
      <c r="BA74" s="5"/>
      <c r="BB74" s="5"/>
      <c r="BC74" s="5"/>
      <c r="BD74" s="6"/>
      <c r="BE74" s="6"/>
      <c r="BF74" s="12"/>
      <c r="BG74" s="12"/>
      <c r="BH74" s="12"/>
      <c r="BI74" s="12"/>
      <c r="BJ74" s="12"/>
    </row>
    <row r="75" spans="2:62" x14ac:dyDescent="0.25">
      <c r="B75" s="1" t="s">
        <v>1180</v>
      </c>
      <c r="C75" s="1" t="s">
        <v>1392</v>
      </c>
      <c r="D75" s="1" t="s">
        <v>1190</v>
      </c>
      <c r="E75" s="1" t="s">
        <v>1393</v>
      </c>
      <c r="F75" s="1" t="s">
        <v>1394</v>
      </c>
      <c r="G75" s="1" t="s">
        <v>1323</v>
      </c>
      <c r="H75" s="1" t="s">
        <v>1324</v>
      </c>
      <c r="I75" s="7" t="s">
        <v>1187</v>
      </c>
      <c r="J75" s="44">
        <v>1</v>
      </c>
      <c r="K75" s="45">
        <v>1</v>
      </c>
      <c r="L75" s="1">
        <v>996</v>
      </c>
      <c r="M75" s="1" t="s">
        <v>1188</v>
      </c>
      <c r="N75" s="1" t="s">
        <v>1141</v>
      </c>
      <c r="O75" s="1" t="s">
        <v>1189</v>
      </c>
      <c r="P75" s="1" t="s">
        <v>1190</v>
      </c>
      <c r="Q75" s="44">
        <f>IF($L75=996,Multipliers!C$174,IF($L75=997,Multipliers!C$175,IF($L75=998,Multipliers!C$176,"NONE")))</f>
        <v>1.29</v>
      </c>
      <c r="R75" s="44">
        <f>IF($L75=996,Multipliers!C$5,IF($L75=997,Multipliers!C$6,IF($L75=998,Multipliers!C$7,"NONE")))</f>
        <v>1.34</v>
      </c>
      <c r="S75" s="46">
        <f t="shared" si="24"/>
        <v>572333.63565000007</v>
      </c>
      <c r="T75" s="46">
        <f t="shared" si="25"/>
        <v>595942.1664000001</v>
      </c>
      <c r="U75" s="46">
        <f t="shared" si="23"/>
        <v>589982.74473600008</v>
      </c>
      <c r="V75" s="46">
        <f>(S75+U75)/2</f>
        <v>581158.19019300002</v>
      </c>
      <c r="W75" s="47">
        <f t="shared" si="26"/>
        <v>581158.19019300002</v>
      </c>
      <c r="X75" s="47"/>
      <c r="Y75" s="48">
        <f>IF(N75="Standard",(((($Z$3*Q75)+($AD$3*R75*$T$5))/2)*$O$7),IF(N75="Severe",(((($AA$3*Q75)+($AE$3*R75*$T$5))/2)*$O$7),IF(N75="Hostile",(((($AB$3*Q75)+($AF$3*R75*$T$5))/2)*$O$7))))</f>
        <v>465666.31849500001</v>
      </c>
      <c r="Z75" s="48">
        <f>IF(N75="Standard",(((($Z$4*Q75)+($AD$4*R75*$T$5))/2)*$O$7),IF(N75="Severe",(((($AA$4*Q75)+($AE$4*R75*$T$5))/2)*$O$7),IF(N75="Hostile",(((($AB$4*Q75)+($AF$4*R75*$T$5))/2)*$O$7))))</f>
        <v>514428.62433899997</v>
      </c>
      <c r="AA75" s="48">
        <f>IF(N75="Standard",((($Z$5*Q75)+($AD$5*R75*$T$5))/2)*$O$7,IF(N75="Severe",((($AA$5*Q75)+($AE$5*R75*$T$5))/2)*$O$7,IF(N75="Hostile",((($AB$5*Q75)+($AF$5*R75*$T$5))/2)*$O$7)))</f>
        <v>581158.19019300013</v>
      </c>
      <c r="AB75" s="48">
        <f>IF(N75="Standard",((($Z$6*Q75)+($AD$6*R75*$T$5))/2)*$O$7,IF(N75="Severe",((($AA$6*Q75)+($AE$6*R75*$T$5))/2)*$O$7,IF(N75="Hostile",((($AB$6*Q75)+($AF$6*R75*$T$5))/2)*$O$7)))</f>
        <v>629926.37213100016</v>
      </c>
      <c r="AC75" s="48">
        <f>IF(N75="Standard",((($Z$7*Q75)+($AD$7*R75*$T$5))/2)*$O$7,IF(N75="Severe",((($AA$7*Q75)+($AE$7*R75*$T$5))/2)*$O$7,IF(N75="Hostile",((($AB$7*Q75)+($AF$7*R75*$T$5))/2)*$O$7)))</f>
        <v>679867.06659900001</v>
      </c>
      <c r="AD75" s="1"/>
      <c r="AE75" s="1"/>
      <c r="AF75" s="1"/>
      <c r="AI75" s="9"/>
      <c r="AJ75" s="1"/>
      <c r="AK75" s="1"/>
      <c r="AL75" s="1"/>
      <c r="AM75" s="1"/>
      <c r="AN75" s="1"/>
      <c r="AO75" s="1"/>
      <c r="AP75" s="9"/>
      <c r="AQ75" s="3"/>
      <c r="AR75" s="4"/>
      <c r="AS75" s="1"/>
      <c r="AT75" s="1"/>
      <c r="AU75" s="1"/>
      <c r="AV75" s="1"/>
      <c r="AW75" s="1"/>
      <c r="AX75" s="3"/>
      <c r="AY75" s="3"/>
      <c r="AZ75" s="5"/>
      <c r="BA75" s="5"/>
      <c r="BB75" s="5"/>
      <c r="BC75" s="5"/>
      <c r="BD75" s="6"/>
      <c r="BE75" s="6"/>
      <c r="BF75" s="12"/>
      <c r="BG75" s="12"/>
      <c r="BH75" s="12"/>
      <c r="BI75" s="12"/>
      <c r="BJ75" s="12"/>
    </row>
    <row r="76" spans="2:62" x14ac:dyDescent="0.25">
      <c r="B76" s="1" t="s">
        <v>1180</v>
      </c>
      <c r="C76" s="1" t="s">
        <v>1395</v>
      </c>
      <c r="D76" s="1" t="s">
        <v>1190</v>
      </c>
      <c r="E76" s="1" t="s">
        <v>1396</v>
      </c>
      <c r="F76" s="1" t="s">
        <v>1397</v>
      </c>
      <c r="G76" s="1" t="s">
        <v>1223</v>
      </c>
      <c r="H76" s="1" t="s">
        <v>1224</v>
      </c>
      <c r="I76" s="7" t="s">
        <v>1187</v>
      </c>
      <c r="J76" s="44">
        <v>1</v>
      </c>
      <c r="K76" s="45">
        <v>1</v>
      </c>
      <c r="L76" s="1">
        <v>997</v>
      </c>
      <c r="M76" s="1" t="s">
        <v>1188</v>
      </c>
      <c r="N76" s="1" t="s">
        <v>1141</v>
      </c>
      <c r="O76" s="1" t="s">
        <v>1189</v>
      </c>
      <c r="P76" s="7" t="s">
        <v>1073</v>
      </c>
      <c r="Q76" s="44">
        <f>IF($L76=996,Multipliers!C$174,IF($L76=997,Multipliers!C$175,IF($L76=998,Multipliers!C$176,"NONE")))</f>
        <v>1.3</v>
      </c>
      <c r="R76" s="44">
        <f>IF($L76=996,Multipliers!C$5,IF($L76=997,Multipliers!C$6,IF($L76=998,Multipliers!C$7,"NONE")))</f>
        <v>1.34</v>
      </c>
      <c r="S76" s="46">
        <f t="shared" si="24"/>
        <v>576770.33050000016</v>
      </c>
      <c r="T76" s="46">
        <f t="shared" si="25"/>
        <v>595942.1664000001</v>
      </c>
      <c r="U76" s="46">
        <f t="shared" si="23"/>
        <v>589982.74473600008</v>
      </c>
      <c r="V76" s="46">
        <f>((S76+U76)/2*1.15)</f>
        <v>670883.01826070005</v>
      </c>
      <c r="W76" s="47">
        <f t="shared" si="26"/>
        <v>670883.01826070005</v>
      </c>
      <c r="X76" s="47"/>
      <c r="Y76" s="48">
        <f>IF(N76="Standard",(((($Z$3*Q76)+($AD$3*R76*$T$5))/2)*$O$7*1.15),IF(N76="Severe",(((($AA$3*Q76)+($AE$3*R76*$T$5))/2)*$O$7*1.15),IF(N76="Hostile",(((($AB$3*Q76)+($AF$3*R76*$T$5))/2)*$O$7*1.15))))</f>
        <v>537627.23286300001</v>
      </c>
      <c r="Z76" s="48">
        <f>IF(N76="Standard",(((($Z$4*Q76)+($AD$4*R76*$T$5))/2)*$O$7*1.15),IF(N76="Severe",(((($AA$4*Q76)+($AE$4*R76*$T$5))/2)*$O$7*1.15),IF(N76="Hostile",(((($AB$4*Q76)+($AF$4*R76*$T$5))/2)*$O$7*1.15))))</f>
        <v>593892.8539060998</v>
      </c>
      <c r="AA76" s="48">
        <f>IF(N76="Standard",(((($Z$5*Q76)+($AD$5*R76*$T$5))/2)*$O$7*1.15),IF(N76="Severe",(((($AA$5*Q76)+($AE$5*R76*$T$5))/2)*$O$7*1.15),IF(N76="Hostile",(((($AB$5*Q76)+($AF$5*R76*$T$5))/2)*$O$7*1.15))))</f>
        <v>670883.01826070005</v>
      </c>
      <c r="AB76" s="48">
        <f>IF(N76="Standard",(((($Z$6*Q76)+($AD$6*R76*$T$5))/2)*$O$7*1.15),IF(N76="Severe",(((($AA$6*Q76)+($AE$6*R76*$T$5))/2)*$O$7*1.15),IF(N76="Hostile",(((($AB$6*Q76)+($AF$6*R76*$T$5))/2)*$O$7*1.15))))</f>
        <v>727154.03193440009</v>
      </c>
      <c r="AC76" s="48">
        <f>IF(N76="Standard",(((($Z$7*Q76)+($AD$7*R76*$T$5))/2)*$O$7*1.15),IF(N76="Severe",(((($AA$7*Q76)+($AE$7*R76*$T$5))/2)*$O$7*1.15),IF(N76="Hostile",(((($AB$7*Q76)+($AF$7*R76*$T$5))/2)*$O$7*1.15))))</f>
        <v>784795.42359260004</v>
      </c>
      <c r="AD76" s="1"/>
      <c r="AE76" s="1"/>
      <c r="AF76" s="1"/>
      <c r="AI76" s="9"/>
      <c r="AJ76" s="1"/>
      <c r="AK76" s="1"/>
      <c r="AL76" s="1"/>
      <c r="AM76" s="1"/>
      <c r="AN76" s="1"/>
      <c r="AO76" s="1"/>
      <c r="AP76" s="9"/>
      <c r="AQ76" s="3"/>
      <c r="AR76" s="4"/>
      <c r="AS76" s="1"/>
      <c r="AT76" s="1"/>
      <c r="AU76" s="1"/>
      <c r="AV76" s="1"/>
      <c r="AW76" s="1"/>
      <c r="AX76" s="3"/>
      <c r="AY76" s="3"/>
      <c r="AZ76" s="5"/>
      <c r="BA76" s="5"/>
      <c r="BB76" s="5"/>
      <c r="BC76" s="5"/>
      <c r="BD76" s="6"/>
      <c r="BE76" s="6"/>
      <c r="BF76" s="12"/>
      <c r="BG76" s="12"/>
      <c r="BH76" s="12"/>
      <c r="BI76" s="12"/>
      <c r="BJ76" s="12"/>
    </row>
    <row r="77" spans="2:62" x14ac:dyDescent="0.25">
      <c r="B77" s="1" t="s">
        <v>1180</v>
      </c>
      <c r="C77" s="1" t="s">
        <v>1398</v>
      </c>
      <c r="D77" s="1" t="s">
        <v>1190</v>
      </c>
      <c r="E77" s="1" t="s">
        <v>1399</v>
      </c>
      <c r="F77" s="1" t="s">
        <v>1400</v>
      </c>
      <c r="G77" s="1" t="s">
        <v>1223</v>
      </c>
      <c r="H77" s="1" t="s">
        <v>1224</v>
      </c>
      <c r="I77" s="7" t="s">
        <v>1187</v>
      </c>
      <c r="J77" s="44">
        <v>1</v>
      </c>
      <c r="K77" s="45">
        <v>1</v>
      </c>
      <c r="L77" s="1">
        <v>997</v>
      </c>
      <c r="M77" s="1" t="s">
        <v>1188</v>
      </c>
      <c r="N77" s="1" t="s">
        <v>1141</v>
      </c>
      <c r="O77" s="1" t="s">
        <v>1189</v>
      </c>
      <c r="P77" s="7" t="s">
        <v>1073</v>
      </c>
      <c r="Q77" s="44">
        <f>IF($L77=996,Multipliers!C$174,IF($L77=997,Multipliers!C$175,IF($L77=998,Multipliers!C$176,"NONE")))</f>
        <v>1.3</v>
      </c>
      <c r="R77" s="44">
        <f>IF($L77=996,Multipliers!C$5,IF($L77=997,Multipliers!C$6,IF($L77=998,Multipliers!C$7,"NONE")))</f>
        <v>1.34</v>
      </c>
      <c r="S77" s="46">
        <f t="shared" si="24"/>
        <v>576770.33050000016</v>
      </c>
      <c r="T77" s="46">
        <f t="shared" si="25"/>
        <v>595942.1664000001</v>
      </c>
      <c r="U77" s="46">
        <f t="shared" si="23"/>
        <v>589982.74473600008</v>
      </c>
      <c r="V77" s="46">
        <f>((S77+U77)/2*1.15)</f>
        <v>670883.01826070005</v>
      </c>
      <c r="W77" s="47">
        <f>IF(F77=F78,(V77+V78)/2,IF(F77=F76,(V77+V76)/2,IF(F77&lt;&gt;F76,V77)))</f>
        <v>670883.01826070005</v>
      </c>
      <c r="X77" s="47"/>
      <c r="Y77" s="48">
        <f>IF(N77="Standard",(((($Z$3*Q77)+($AD$3*R77*$T$5))/2)*$O$7*1.15),IF(N77="Severe",(((($AA$3*Q77)+($AE$3*R77*$T$5))/2)*$O$7*1.15),IF(N77="Hostile",(((($AB$3*Q77)+($AF$3*R77*$T$5))/2)*$O$7*1.15))))</f>
        <v>537627.23286300001</v>
      </c>
      <c r="Z77" s="48">
        <f>IF(N77="Standard",(((($Z$4*Q77)+($AD$4*R77*$T$5))/2)*$O$7*1.15),IF(N77="Severe",(((($AA$4*Q77)+($AE$4*R77*$T$5))/2)*$O$7*1.15),IF(N77="Hostile",(((($AB$4*Q77)+($AF$4*R77*$T$5))/2)*$O$7*1.15))))</f>
        <v>593892.8539060998</v>
      </c>
      <c r="AA77" s="48">
        <f>IF(N77="Standard",(((($Z$5*Q77)+($AD$5*R77*$T$5))/2)*$O$7*1.15),IF(N77="Severe",(((($AA$5*Q77)+($AE$5*R77*$T$5))/2)*$O$7*1.15),IF(N77="Hostile",(((($AB$5*Q77)+($AF$5*R77*$T$5))/2)*$O$7*1.15))))</f>
        <v>670883.01826070005</v>
      </c>
      <c r="AB77" s="48">
        <f>IF(N77="Standard",(((($Z$6*Q77)+($AD$6*R77*$T$5))/2)*$O$7*1.15),IF(N77="Severe",(((($AA$6*Q77)+($AE$6*R77*$T$5))/2)*$O$7*1.15),IF(N77="Hostile",(((($AB$6*Q77)+($AF$6*R77*$T$5))/2)*$O$7*1.15))))</f>
        <v>727154.03193440009</v>
      </c>
      <c r="AC77" s="48">
        <f>IF(N77="Standard",(((($Z$7*Q77)+($AD$7*R77*$T$5))/2)*$O$7*1.15),IF(N77="Severe",(((($AA$7*Q77)+($AE$7*R77*$T$5))/2)*$O$7*1.15),IF(N77="Hostile",(((($AB$7*Q77)+($AF$7*R77*$T$5))/2)*$O$7*1.15))))</f>
        <v>784795.42359260004</v>
      </c>
      <c r="AD77" s="1"/>
      <c r="AE77" s="1"/>
      <c r="AF77" s="1"/>
      <c r="AI77" s="9"/>
      <c r="AJ77" s="1"/>
      <c r="AK77" s="1"/>
      <c r="AL77" s="1"/>
      <c r="AM77" s="1"/>
      <c r="AN77" s="1"/>
      <c r="AO77" s="1"/>
      <c r="AP77" s="9"/>
      <c r="AQ77" s="3"/>
      <c r="AR77" s="4"/>
      <c r="AS77" s="1"/>
      <c r="AT77" s="1"/>
      <c r="AU77" s="1"/>
      <c r="AV77" s="1"/>
      <c r="AW77" s="1"/>
      <c r="AX77" s="3"/>
      <c r="AY77" s="3"/>
      <c r="AZ77" s="5"/>
      <c r="BA77" s="5"/>
      <c r="BB77" s="5"/>
      <c r="BC77" s="5"/>
      <c r="BD77" s="6"/>
      <c r="BE77" s="6"/>
      <c r="BF77" s="12"/>
      <c r="BG77" s="12"/>
      <c r="BH77" s="12"/>
      <c r="BI77" s="12"/>
      <c r="BJ77" s="12"/>
    </row>
    <row r="78" spans="2:62" x14ac:dyDescent="0.25">
      <c r="B78" s="1" t="s">
        <v>1180</v>
      </c>
      <c r="C78" s="1" t="s">
        <v>1401</v>
      </c>
      <c r="D78" s="1" t="s">
        <v>1190</v>
      </c>
      <c r="E78" s="1" t="s">
        <v>1402</v>
      </c>
      <c r="F78" s="1" t="s">
        <v>1403</v>
      </c>
      <c r="G78" s="1" t="s">
        <v>1294</v>
      </c>
      <c r="H78" s="1" t="s">
        <v>1295</v>
      </c>
      <c r="I78" s="7" t="s">
        <v>1187</v>
      </c>
      <c r="J78" s="44">
        <v>1</v>
      </c>
      <c r="K78" s="45">
        <v>1</v>
      </c>
      <c r="L78" s="1">
        <v>997</v>
      </c>
      <c r="M78" s="1" t="s">
        <v>1188</v>
      </c>
      <c r="N78" s="1" t="s">
        <v>1141</v>
      </c>
      <c r="O78" s="1" t="s">
        <v>1189</v>
      </c>
      <c r="P78" s="7" t="s">
        <v>1073</v>
      </c>
      <c r="Q78" s="44">
        <f>IF($L78=996,Multipliers!C$174,IF($L78=997,Multipliers!C$175,IF($L78=998,Multipliers!C$176,"NONE")))</f>
        <v>1.3</v>
      </c>
      <c r="R78" s="44">
        <f>IF($L78=996,Multipliers!C$5,IF($L78=997,Multipliers!C$6,IF($L78=998,Multipliers!C$7,"NONE")))</f>
        <v>1.34</v>
      </c>
      <c r="S78" s="46">
        <f t="shared" si="24"/>
        <v>576770.33050000016</v>
      </c>
      <c r="T78" s="46">
        <f t="shared" si="25"/>
        <v>595942.1664000001</v>
      </c>
      <c r="U78" s="46">
        <f t="shared" ref="U78:U93" si="27">IF(O78="E",$T$3*T78,IF(O78="C",$T$4*T78,IF(O78="W",$T$5*T78,1)))</f>
        <v>589982.74473600008</v>
      </c>
      <c r="V78" s="46">
        <f>((S78+U78)/2*1.15)</f>
        <v>670883.01826070005</v>
      </c>
      <c r="W78" s="47">
        <f>IF(F78=F79,(V78+V79)/2,IF(F78=F77,(V78+V77)/2,IF(F78&lt;&gt;F77,V78)))</f>
        <v>670883.01826070005</v>
      </c>
      <c r="X78" s="47"/>
      <c r="Y78" s="48">
        <f>IF(N78="Standard",(((($Z$3*Q78)+($AD$3*R78*$T$5))/2)*$O$7*1.15),IF(N78="Severe",(((($AA$3*Q78)+($AE$3*R78*$T$5))/2)*$O$7*1.15),IF(N78="Hostile",(((($AB$3*Q78)+($AF$3*R78*$T$5))/2)*$O$7*1.15))))</f>
        <v>537627.23286300001</v>
      </c>
      <c r="Z78" s="48">
        <f>IF(N78="Standard",(((($Z$4*Q78)+($AD$4*R78*$T$5))/2)*$O$7*1.15),IF(N78="Severe",(((($AA$4*Q78)+($AE$4*R78*$T$5))/2)*$O$7*1.15),IF(N78="Hostile",(((($AB$4*Q78)+($AF$4*R78*$T$5))/2)*$O$7*1.15))))</f>
        <v>593892.8539060998</v>
      </c>
      <c r="AA78" s="48">
        <f>IF(N78="Standard",(((($Z$5*Q78)+($AD$5*R78*$T$5))/2)*$O$7*1.15),IF(N78="Severe",(((($AA$5*Q78)+($AE$5*R78*$T$5))/2)*$O$7*1.15),IF(N78="Hostile",(((($AB$5*Q78)+($AF$5*R78*$T$5))/2)*$O$7*1.15))))</f>
        <v>670883.01826070005</v>
      </c>
      <c r="AB78" s="48">
        <f>IF(N78="Standard",(((($Z$6*Q78)+($AD$6*R78*$T$5))/2)*$O$7*1.15),IF(N78="Severe",(((($AA$6*Q78)+($AE$6*R78*$T$5))/2)*$O$7*1.15),IF(N78="Hostile",(((($AB$6*Q78)+($AF$6*R78*$T$5))/2)*$O$7*1.15))))</f>
        <v>727154.03193440009</v>
      </c>
      <c r="AC78" s="48">
        <f>IF(N78="Standard",(((($Z$7*Q78)+($AD$7*R78*$T$5))/2)*$O$7*1.15),IF(N78="Severe",(((($AA$7*Q78)+($AE$7*R78*$T$5))/2)*$O$7*1.15),IF(N78="Hostile",(((($AB$7*Q78)+($AF$7*R78*$T$5))/2)*$O$7*1.15))))</f>
        <v>784795.42359260004</v>
      </c>
      <c r="AD78" s="1"/>
      <c r="AE78" s="1"/>
      <c r="AF78" s="1"/>
      <c r="AI78" s="9"/>
      <c r="AJ78" s="1"/>
      <c r="AK78" s="1"/>
      <c r="AL78" s="1"/>
      <c r="AM78" s="1"/>
      <c r="AN78" s="1"/>
      <c r="AO78" s="1"/>
      <c r="AP78" s="9"/>
      <c r="AQ78" s="3"/>
      <c r="AR78" s="4"/>
      <c r="AS78" s="1"/>
      <c r="AT78" s="1"/>
      <c r="AU78" s="1"/>
      <c r="AV78" s="1"/>
      <c r="AW78" s="1"/>
      <c r="AX78" s="3"/>
      <c r="AY78" s="3"/>
      <c r="AZ78" s="5"/>
      <c r="BA78" s="5"/>
      <c r="BB78" s="5"/>
      <c r="BC78" s="5"/>
      <c r="BD78" s="6"/>
      <c r="BE78" s="6"/>
      <c r="BF78" s="12"/>
      <c r="BG78" s="12"/>
      <c r="BH78" s="12"/>
      <c r="BI78" s="12"/>
      <c r="BJ78" s="12"/>
    </row>
    <row r="79" spans="2:62" x14ac:dyDescent="0.25">
      <c r="B79" s="1" t="s">
        <v>1180</v>
      </c>
      <c r="C79" s="1" t="s">
        <v>1404</v>
      </c>
      <c r="D79" s="1" t="s">
        <v>1190</v>
      </c>
      <c r="E79" s="1" t="s">
        <v>1405</v>
      </c>
      <c r="F79" s="1" t="s">
        <v>1406</v>
      </c>
      <c r="G79" s="1" t="s">
        <v>1202</v>
      </c>
      <c r="H79" s="1" t="s">
        <v>1203</v>
      </c>
      <c r="I79" s="7" t="s">
        <v>1187</v>
      </c>
      <c r="J79" s="44">
        <v>1</v>
      </c>
      <c r="K79" s="45">
        <v>1</v>
      </c>
      <c r="L79" s="1">
        <v>997</v>
      </c>
      <c r="M79" s="1" t="s">
        <v>1188</v>
      </c>
      <c r="N79" s="1" t="s">
        <v>1141</v>
      </c>
      <c r="O79" s="1" t="s">
        <v>1189</v>
      </c>
      <c r="P79" s="7" t="s">
        <v>1073</v>
      </c>
      <c r="Q79" s="44">
        <f>IF($L79=996,Multipliers!C$174,IF($L79=997,Multipliers!C$175,IF($L79=998,Multipliers!C$176,"NONE")))</f>
        <v>1.3</v>
      </c>
      <c r="R79" s="44">
        <f>IF($L79=996,Multipliers!C$5,IF($L79=997,Multipliers!C$6,IF($L79=998,Multipliers!C$7,"NONE")))</f>
        <v>1.34</v>
      </c>
      <c r="S79" s="46">
        <f t="shared" si="24"/>
        <v>576770.33050000016</v>
      </c>
      <c r="T79" s="46">
        <f t="shared" si="25"/>
        <v>595942.1664000001</v>
      </c>
      <c r="U79" s="46">
        <f t="shared" si="27"/>
        <v>589982.74473600008</v>
      </c>
      <c r="V79" s="46">
        <f>((S79+U79)/2*1.15)</f>
        <v>670883.01826070005</v>
      </c>
      <c r="W79" s="47">
        <f>IF(F79=F80,(V79+V80)/2,IF(F79=F78,(V79+V78)/2,IF(F79&lt;&gt;F78,V79)))</f>
        <v>670883.01826070005</v>
      </c>
      <c r="X79" s="47"/>
      <c r="Y79" s="48">
        <f>IF(N79="Standard",(((($Z$3*Q79)+($AD$3*R79*$T$5))/2)*$O$7*1.15),IF(N79="Severe",(((($AA$3*Q79)+($AE$3*R79*$T$5))/2)*$O$7*1.15),IF(N79="Hostile",(((($AB$3*Q79)+($AF$3*R79*$T$5))/2)*$O$7*1.15))))</f>
        <v>537627.23286300001</v>
      </c>
      <c r="Z79" s="48">
        <f>IF(N79="Standard",(((($Z$4*Q79)+($AD$4*R79*$T$5))/2)*$O$7*1.15),IF(N79="Severe",(((($AA$4*Q79)+($AE$4*R79*$T$5))/2)*$O$7*1.15),IF(N79="Hostile",(((($AB$4*Q79)+($AF$4*R79*$T$5))/2)*$O$7*1.15))))</f>
        <v>593892.8539060998</v>
      </c>
      <c r="AA79" s="48">
        <f>IF(N79="Standard",(((($Z$5*Q79)+($AD$5*R79*$T$5))/2)*$O$7*1.15),IF(N79="Severe",(((($AA$5*Q79)+($AE$5*R79*$T$5))/2)*$O$7*1.15),IF(N79="Hostile",(((($AB$5*Q79)+($AF$5*R79*$T$5))/2)*$O$7*1.15))))</f>
        <v>670883.01826070005</v>
      </c>
      <c r="AB79" s="48">
        <f>IF(N79="Standard",(((($Z$6*Q79)+($AD$6*R79*$T$5))/2)*$O$7*1.15),IF(N79="Severe",(((($AA$6*Q79)+($AE$6*R79*$T$5))/2)*$O$7*1.15),IF(N79="Hostile",(((($AB$6*Q79)+($AF$6*R79*$T$5))/2)*$O$7*1.15))))</f>
        <v>727154.03193440009</v>
      </c>
      <c r="AC79" s="48">
        <f>IF(N79="Standard",(((($Z$7*Q79)+($AD$7*R79*$T$5))/2)*$O$7*1.15),IF(N79="Severe",(((($AA$7*Q79)+($AE$7*R79*$T$5))/2)*$O$7*1.15),IF(N79="Hostile",(((($AB$7*Q79)+($AF$7*R79*$T$5))/2)*$O$7*1.15))))</f>
        <v>784795.42359260004</v>
      </c>
      <c r="AD79" s="1"/>
      <c r="AE79" s="1"/>
      <c r="AF79" s="1"/>
      <c r="AI79" s="9"/>
      <c r="AJ79" s="1"/>
      <c r="AK79" s="1"/>
      <c r="AL79" s="1"/>
      <c r="AM79" s="1"/>
      <c r="AN79" s="1"/>
      <c r="AO79" s="1"/>
      <c r="AP79" s="9"/>
      <c r="AQ79" s="3"/>
      <c r="AR79" s="4"/>
      <c r="AS79" s="1"/>
      <c r="AT79" s="1"/>
      <c r="AU79" s="1"/>
      <c r="AV79" s="1"/>
      <c r="AW79" s="1"/>
      <c r="AX79" s="3"/>
      <c r="AY79" s="3"/>
      <c r="AZ79" s="5"/>
      <c r="BA79" s="5"/>
      <c r="BB79" s="5"/>
      <c r="BC79" s="5"/>
      <c r="BD79" s="6"/>
      <c r="BE79" s="6"/>
      <c r="BF79" s="12"/>
      <c r="BG79" s="12"/>
      <c r="BH79" s="12"/>
      <c r="BI79" s="12"/>
      <c r="BJ79" s="12"/>
    </row>
    <row r="80" spans="2:62" x14ac:dyDescent="0.25">
      <c r="B80" s="1" t="s">
        <v>1180</v>
      </c>
      <c r="C80" s="1" t="s">
        <v>1407</v>
      </c>
      <c r="D80" s="1" t="s">
        <v>1190</v>
      </c>
      <c r="E80" s="1" t="s">
        <v>1408</v>
      </c>
      <c r="F80" s="1" t="s">
        <v>1409</v>
      </c>
      <c r="G80" s="1" t="s">
        <v>1218</v>
      </c>
      <c r="H80" s="1" t="s">
        <v>1219</v>
      </c>
      <c r="I80" s="7" t="s">
        <v>1187</v>
      </c>
      <c r="J80" s="44">
        <v>1</v>
      </c>
      <c r="K80" s="45">
        <v>1</v>
      </c>
      <c r="L80" s="1">
        <v>997</v>
      </c>
      <c r="M80" s="1" t="s">
        <v>1188</v>
      </c>
      <c r="N80" s="1" t="s">
        <v>1141</v>
      </c>
      <c r="O80" s="1" t="s">
        <v>1189</v>
      </c>
      <c r="P80" s="7" t="s">
        <v>1073</v>
      </c>
      <c r="Q80" s="44">
        <f>IF($L80=996,Multipliers!C$174,IF($L80=997,Multipliers!C$175,IF($L80=998,Multipliers!C$176,"NONE")))</f>
        <v>1.3</v>
      </c>
      <c r="R80" s="44">
        <f>IF($L80=996,Multipliers!C$5,IF($L80=997,Multipliers!C$6,IF($L80=998,Multipliers!C$7,"NONE")))</f>
        <v>1.34</v>
      </c>
      <c r="S80" s="46">
        <f t="shared" si="24"/>
        <v>576770.33050000016</v>
      </c>
      <c r="T80" s="46">
        <f t="shared" si="25"/>
        <v>595942.1664000001</v>
      </c>
      <c r="U80" s="46">
        <f t="shared" si="27"/>
        <v>589982.74473600008</v>
      </c>
      <c r="V80" s="46">
        <f>((S80+U80)/2*1.15)</f>
        <v>670883.01826070005</v>
      </c>
      <c r="W80" s="47">
        <f>IF(F80=F81,(V80+V81)/2,IF(F80=F79,(V80+V79)/2,IF(F80&lt;&gt;F79,V80)))</f>
        <v>670883.01826070005</v>
      </c>
      <c r="X80" s="47"/>
      <c r="Y80" s="48">
        <f>IF(N80="Standard",(((($Z$3*Q80)+($AD$3*R80*$T$5))/2)*$O$7*1.15),IF(N80="Severe",(((($AA$3*Q80)+($AE$3*R80*$T$5))/2)*$O$7*1.15),IF(N80="Hostile",(((($AB$3*Q80)+($AF$3*R80*$T$5))/2)*$O$7*1.15))))</f>
        <v>537627.23286300001</v>
      </c>
      <c r="Z80" s="48">
        <f>IF(N80="Standard",(((($Z$4*Q80)+($AD$4*R80*$T$5))/2)*$O$7*1.15),IF(N80="Severe",(((($AA$4*Q80)+($AE$4*R80*$T$5))/2)*$O$7*1.15),IF(N80="Hostile",(((($AB$4*Q80)+($AF$4*R80*$T$5))/2)*$O$7*1.15))))</f>
        <v>593892.8539060998</v>
      </c>
      <c r="AA80" s="48">
        <f>IF(N80="Standard",(((($Z$5*Q80)+($AD$5*R80*$T$5))/2)*$O$7*1.15),IF(N80="Severe",(((($AA$5*Q80)+($AE$5*R80*$T$5))/2)*$O$7*1.15),IF(N80="Hostile",(((($AB$5*Q80)+($AF$5*R80*$T$5))/2)*$O$7*1.15))))</f>
        <v>670883.01826070005</v>
      </c>
      <c r="AB80" s="48">
        <f>IF(N80="Standard",(((($Z$6*Q80)+($AD$6*R80*$T$5))/2)*$O$7*1.15),IF(N80="Severe",(((($AA$6*Q80)+($AE$6*R80*$T$5))/2)*$O$7*1.15),IF(N80="Hostile",(((($AB$6*Q80)+($AF$6*R80*$T$5))/2)*$O$7*1.15))))</f>
        <v>727154.03193440009</v>
      </c>
      <c r="AC80" s="48">
        <f>IF(N80="Standard",(((($Z$7*Q80)+($AD$7*R80*$T$5))/2)*$O$7*1.15),IF(N80="Severe",(((($AA$7*Q80)+($AE$7*R80*$T$5))/2)*$O$7*1.15),IF(N80="Hostile",(((($AB$7*Q80)+($AF$7*R80*$T$5))/2)*$O$7*1.15))))</f>
        <v>784795.42359260004</v>
      </c>
      <c r="AD80" s="1"/>
      <c r="AE80" s="1"/>
      <c r="AF80" s="1"/>
      <c r="AI80" s="9"/>
      <c r="AJ80" s="1"/>
      <c r="AK80" s="1"/>
      <c r="AL80" s="1"/>
      <c r="AM80" s="1"/>
      <c r="AN80" s="1"/>
      <c r="AO80" s="1"/>
      <c r="AP80" s="9"/>
      <c r="AQ80" s="3"/>
      <c r="AR80" s="4"/>
      <c r="AS80" s="1"/>
      <c r="AT80" s="1"/>
      <c r="AU80" s="1"/>
      <c r="AV80" s="1"/>
      <c r="AW80" s="1"/>
      <c r="AX80" s="3"/>
      <c r="AY80" s="3"/>
      <c r="AZ80" s="5"/>
      <c r="BA80" s="5"/>
      <c r="BB80" s="5"/>
      <c r="BC80" s="5"/>
      <c r="BD80" s="6"/>
      <c r="BE80" s="6"/>
      <c r="BF80" s="12"/>
      <c r="BG80" s="12"/>
      <c r="BH80" s="12"/>
      <c r="BI80" s="12"/>
      <c r="BJ80" s="12"/>
    </row>
    <row r="81" spans="2:62" x14ac:dyDescent="0.25">
      <c r="B81" s="1" t="s">
        <v>1180</v>
      </c>
      <c r="C81" s="1" t="s">
        <v>1410</v>
      </c>
      <c r="D81" s="1" t="s">
        <v>1190</v>
      </c>
      <c r="E81" s="1" t="s">
        <v>1411</v>
      </c>
      <c r="F81" s="1" t="s">
        <v>1412</v>
      </c>
      <c r="G81" s="1" t="s">
        <v>1312</v>
      </c>
      <c r="H81" s="1" t="s">
        <v>1313</v>
      </c>
      <c r="I81" s="7" t="s">
        <v>1187</v>
      </c>
      <c r="J81" s="44">
        <v>1</v>
      </c>
      <c r="K81" s="45">
        <v>1</v>
      </c>
      <c r="L81" s="1">
        <v>996</v>
      </c>
      <c r="M81" s="1" t="s">
        <v>1188</v>
      </c>
      <c r="N81" s="1" t="s">
        <v>1141</v>
      </c>
      <c r="O81" s="1" t="s">
        <v>1189</v>
      </c>
      <c r="P81" s="1" t="s">
        <v>1190</v>
      </c>
      <c r="Q81" s="44">
        <f>IF($L81=996,Multipliers!C$174,IF($L81=997,Multipliers!C$175,IF($L81=998,Multipliers!C$176,"NONE")))</f>
        <v>1.29</v>
      </c>
      <c r="R81" s="44">
        <f>IF($L81=996,Multipliers!C$5,IF($L81=997,Multipliers!C$6,IF($L81=998,Multipliers!C$7,"NONE")))</f>
        <v>1.34</v>
      </c>
      <c r="S81" s="46">
        <f t="shared" si="24"/>
        <v>572333.63565000007</v>
      </c>
      <c r="T81" s="46">
        <f t="shared" si="25"/>
        <v>595942.1664000001</v>
      </c>
      <c r="U81" s="46">
        <f t="shared" si="27"/>
        <v>589982.74473600008</v>
      </c>
      <c r="V81" s="46">
        <f>(S81+U81)/2</f>
        <v>581158.19019300002</v>
      </c>
      <c r="W81" s="47">
        <f t="shared" si="26"/>
        <v>581158.19019300002</v>
      </c>
      <c r="X81" s="47"/>
      <c r="Y81" s="48">
        <f>IF(N81="Standard",(((($Z$3*Q81)+($AD$3*R81*$T$5))/2)*$O$7),IF(N81="Severe",(((($AA$3*Q81)+($AE$3*R81*$T$5))/2)*$O$7),IF(N81="Hostile",(((($AB$3*Q81)+($AF$3*R81*$T$5))/2)*$O$7))))</f>
        <v>465666.31849500001</v>
      </c>
      <c r="Z81" s="48">
        <f>IF(N81="Standard",(((($Z$4*Q81)+($AD$4*R81*$T$5))/2)*$O$7),IF(N81="Severe",(((($AA$4*Q81)+($AE$4*R81*$T$5))/2)*$O$7),IF(N81="Hostile",(((($AB$4*Q81)+($AF$4*R81*$T$5))/2)*$O$7))))</f>
        <v>514428.62433899997</v>
      </c>
      <c r="AA81" s="48">
        <f>IF(N81="Standard",((($Z$5*Q81)+($AD$5*R81*$T$5))/2)*$O$7,IF(N81="Severe",((($AA$5*Q81)+($AE$5*R81*$T$5))/2)*$O$7,IF(N81="Hostile",((($AB$5*Q81)+($AF$5*R81*$T$5))/2)*$O$7)))</f>
        <v>581158.19019300013</v>
      </c>
      <c r="AB81" s="48">
        <f>IF(N81="Standard",((($Z$6*Q81)+($AD$6*R81*$T$5))/2)*$O$7,IF(N81="Severe",((($AA$6*Q81)+($AE$6*R81*$T$5))/2)*$O$7,IF(N81="Hostile",((($AB$6*Q81)+($AF$6*R81*$T$5))/2)*$O$7)))</f>
        <v>629926.37213100016</v>
      </c>
      <c r="AC81" s="48">
        <f>IF(N81="Standard",((($Z$7*Q81)+($AD$7*R81*$T$5))/2)*$O$7,IF(N81="Severe",((($AA$7*Q81)+($AE$7*R81*$T$5))/2)*$O$7,IF(N81="Hostile",((($AB$7*Q81)+($AF$7*R81*$T$5))/2)*$O$7)))</f>
        <v>679867.06659900001</v>
      </c>
      <c r="AD81" s="1"/>
      <c r="AE81" s="1"/>
      <c r="AF81" s="1"/>
      <c r="AI81" s="9"/>
      <c r="AJ81" s="1"/>
      <c r="AK81" s="1"/>
      <c r="AL81" s="1"/>
      <c r="AM81" s="1"/>
      <c r="AN81" s="1"/>
      <c r="AO81" s="1"/>
      <c r="AP81" s="9"/>
      <c r="AQ81" s="3"/>
      <c r="AR81" s="4"/>
      <c r="AS81" s="1"/>
      <c r="AT81" s="1"/>
      <c r="AU81" s="1"/>
      <c r="AV81" s="1"/>
      <c r="AW81" s="1"/>
      <c r="AX81" s="3"/>
      <c r="AY81" s="3"/>
      <c r="AZ81" s="5"/>
      <c r="BA81" s="5"/>
      <c r="BB81" s="5"/>
      <c r="BC81" s="5"/>
      <c r="BD81" s="6"/>
      <c r="BE81" s="6"/>
      <c r="BF81" s="12"/>
      <c r="BG81" s="12"/>
      <c r="BH81" s="12"/>
      <c r="BI81" s="12"/>
      <c r="BJ81" s="12"/>
    </row>
    <row r="82" spans="2:62" x14ac:dyDescent="0.25">
      <c r="B82" s="1" t="s">
        <v>1180</v>
      </c>
      <c r="C82" s="1" t="s">
        <v>1413</v>
      </c>
      <c r="D82" s="1" t="s">
        <v>1190</v>
      </c>
      <c r="E82" s="1" t="s">
        <v>1414</v>
      </c>
      <c r="F82" s="1" t="s">
        <v>1415</v>
      </c>
      <c r="G82" s="1" t="s">
        <v>1210</v>
      </c>
      <c r="H82" s="1" t="s">
        <v>1211</v>
      </c>
      <c r="I82" s="7" t="s">
        <v>1187</v>
      </c>
      <c r="J82" s="44">
        <v>1</v>
      </c>
      <c r="K82" s="45">
        <v>1</v>
      </c>
      <c r="L82" s="1">
        <v>997</v>
      </c>
      <c r="M82" s="1" t="s">
        <v>1188</v>
      </c>
      <c r="N82" s="1" t="s">
        <v>1141</v>
      </c>
      <c r="O82" s="1" t="s">
        <v>1189</v>
      </c>
      <c r="P82" s="7" t="s">
        <v>1073</v>
      </c>
      <c r="Q82" s="44">
        <f>IF($L82=996,Multipliers!C$174,IF($L82=997,Multipliers!C$175,IF($L82=998,Multipliers!C$176,"NONE")))</f>
        <v>1.3</v>
      </c>
      <c r="R82" s="44">
        <f>IF($L82=996,Multipliers!C$5,IF($L82=997,Multipliers!C$6,IF($L82=998,Multipliers!C$7,"NONE")))</f>
        <v>1.34</v>
      </c>
      <c r="S82" s="46">
        <f t="shared" si="24"/>
        <v>576770.33050000016</v>
      </c>
      <c r="T82" s="46">
        <f t="shared" si="25"/>
        <v>595942.1664000001</v>
      </c>
      <c r="U82" s="46">
        <f t="shared" si="27"/>
        <v>589982.74473600008</v>
      </c>
      <c r="V82" s="46">
        <f>((S82+U82)/2*1.15)</f>
        <v>670883.01826070005</v>
      </c>
      <c r="W82" s="47">
        <f t="shared" si="26"/>
        <v>670883.01826070005</v>
      </c>
      <c r="X82" s="47"/>
      <c r="Y82" s="48">
        <f>IF(N82="Standard",(((($Z$3*Q82)+($AD$3*R82*$T$5))/2)*$O$7*1.15),IF(N82="Severe",(((($AA$3*Q82)+($AE$3*R82*$T$5))/2)*$O$7*1.15),IF(N82="Hostile",(((($AB$3*Q82)+($AF$3*R82*$T$5))/2)*$O$7*1.15))))</f>
        <v>537627.23286300001</v>
      </c>
      <c r="Z82" s="48">
        <f>IF(N82="Standard",(((($Z$4*Q82)+($AD$4*R82*$T$5))/2)*$O$7*1.15),IF(N82="Severe",(((($AA$4*Q82)+($AE$4*R82*$T$5))/2)*$O$7*1.15),IF(N82="Hostile",(((($AB$4*Q82)+($AF$4*R82*$T$5))/2)*$O$7*1.15))))</f>
        <v>593892.8539060998</v>
      </c>
      <c r="AA82" s="48">
        <f>IF(N82="Standard",(((($Z$5*Q82)+($AD$5*R82*$T$5))/2)*$O$7*1.15),IF(N82="Severe",(((($AA$5*Q82)+($AE$5*R82*$T$5))/2)*$O$7*1.15),IF(N82="Hostile",(((($AB$5*Q82)+($AF$5*R82*$T$5))/2)*$O$7*1.15))))</f>
        <v>670883.01826070005</v>
      </c>
      <c r="AB82" s="48">
        <f>IF(N82="Standard",(((($Z$6*Q82)+($AD$6*R82*$T$5))/2)*$O$7*1.15),IF(N82="Severe",(((($AA$6*Q82)+($AE$6*R82*$T$5))/2)*$O$7*1.15),IF(N82="Hostile",(((($AB$6*Q82)+($AF$6*R82*$T$5))/2)*$O$7*1.15))))</f>
        <v>727154.03193440009</v>
      </c>
      <c r="AC82" s="48">
        <f>IF(N82="Standard",(((($Z$7*Q82)+($AD$7*R82*$T$5))/2)*$O$7*1.15),IF(N82="Severe",(((($AA$7*Q82)+($AE$7*R82*$T$5))/2)*$O$7*1.15),IF(N82="Hostile",(((($AB$7*Q82)+($AF$7*R82*$T$5))/2)*$O$7*1.15))))</f>
        <v>784795.42359260004</v>
      </c>
      <c r="AD82" s="1"/>
      <c r="AE82" s="1"/>
      <c r="AF82" s="1"/>
      <c r="AI82" s="9"/>
      <c r="AJ82" s="1"/>
      <c r="AK82" s="1"/>
      <c r="AL82" s="1"/>
      <c r="AM82" s="1"/>
      <c r="AN82" s="1"/>
      <c r="AO82" s="1"/>
      <c r="AP82" s="9"/>
      <c r="AQ82" s="3"/>
      <c r="AR82" s="4"/>
      <c r="AS82" s="1"/>
      <c r="AT82" s="1"/>
      <c r="AU82" s="1"/>
      <c r="AV82" s="1"/>
      <c r="AW82" s="1"/>
      <c r="AX82" s="3"/>
      <c r="AY82" s="3"/>
      <c r="AZ82" s="5"/>
      <c r="BA82" s="5"/>
      <c r="BB82" s="5"/>
      <c r="BC82" s="5"/>
      <c r="BD82" s="6"/>
      <c r="BE82" s="6"/>
      <c r="BF82" s="12"/>
      <c r="BG82" s="12"/>
      <c r="BH82" s="12"/>
      <c r="BI82" s="12"/>
      <c r="BJ82" s="12"/>
    </row>
    <row r="83" spans="2:62" x14ac:dyDescent="0.25">
      <c r="B83" s="1" t="s">
        <v>1180</v>
      </c>
      <c r="C83" s="1" t="s">
        <v>1416</v>
      </c>
      <c r="D83" s="1" t="s">
        <v>1190</v>
      </c>
      <c r="E83" s="1" t="s">
        <v>1417</v>
      </c>
      <c r="F83" s="1" t="s">
        <v>1418</v>
      </c>
      <c r="G83" s="1" t="s">
        <v>1218</v>
      </c>
      <c r="H83" s="1" t="s">
        <v>1219</v>
      </c>
      <c r="I83" s="7" t="s">
        <v>1187</v>
      </c>
      <c r="J83" s="44">
        <v>1</v>
      </c>
      <c r="K83" s="45">
        <v>1</v>
      </c>
      <c r="L83" s="1">
        <v>997</v>
      </c>
      <c r="M83" s="1" t="s">
        <v>1188</v>
      </c>
      <c r="N83" s="1" t="s">
        <v>1141</v>
      </c>
      <c r="O83" s="1" t="s">
        <v>1189</v>
      </c>
      <c r="P83" s="7" t="s">
        <v>1073</v>
      </c>
      <c r="Q83" s="44">
        <f>IF($L83=996,Multipliers!C$174,IF($L83=997,Multipliers!C$175,IF($L83=998,Multipliers!C$176,"NONE")))</f>
        <v>1.3</v>
      </c>
      <c r="R83" s="44">
        <f>IF($L83=996,Multipliers!C$5,IF($L83=997,Multipliers!C$6,IF($L83=998,Multipliers!C$7,"NONE")))</f>
        <v>1.34</v>
      </c>
      <c r="S83" s="46">
        <f t="shared" si="24"/>
        <v>576770.33050000016</v>
      </c>
      <c r="T83" s="46">
        <f t="shared" si="25"/>
        <v>595942.1664000001</v>
      </c>
      <c r="U83" s="46">
        <f t="shared" si="27"/>
        <v>589982.74473600008</v>
      </c>
      <c r="V83" s="46">
        <f>((S83+U83)/2*1.15)</f>
        <v>670883.01826070005</v>
      </c>
      <c r="W83" s="47">
        <f t="shared" si="26"/>
        <v>670883.01826070005</v>
      </c>
      <c r="X83" s="47"/>
      <c r="Y83" s="48">
        <f>IF(N83="Standard",(((($Z$3*Q83)+($AD$3*R83*$T$5))/2)*$O$7*1.15),IF(N83="Severe",(((($AA$3*Q83)+($AE$3*R83*$T$5))/2)*$O$7*1.15),IF(N83="Hostile",(((($AB$3*Q83)+($AF$3*R83*$T$5))/2)*$O$7*1.15))))</f>
        <v>537627.23286300001</v>
      </c>
      <c r="Z83" s="48">
        <f>IF(N83="Standard",(((($Z$4*Q83)+($AD$4*R83*$T$5))/2)*$O$7*1.15),IF(N83="Severe",(((($AA$4*Q83)+($AE$4*R83*$T$5))/2)*$O$7*1.15),IF(N83="Hostile",(((($AB$4*Q83)+($AF$4*R83*$T$5))/2)*$O$7*1.15))))</f>
        <v>593892.8539060998</v>
      </c>
      <c r="AA83" s="48">
        <f>IF(N83="Standard",(((($Z$5*Q83)+($AD$5*R83*$T$5))/2)*$O$7*1.15),IF(N83="Severe",(((($AA$5*Q83)+($AE$5*R83*$T$5))/2)*$O$7*1.15),IF(N83="Hostile",(((($AB$5*Q83)+($AF$5*R83*$T$5))/2)*$O$7*1.15))))</f>
        <v>670883.01826070005</v>
      </c>
      <c r="AB83" s="48">
        <f>IF(N83="Standard",(((($Z$6*Q83)+($AD$6*R83*$T$5))/2)*$O$7*1.15),IF(N83="Severe",(((($AA$6*Q83)+($AE$6*R83*$T$5))/2)*$O$7*1.15),IF(N83="Hostile",(((($AB$6*Q83)+($AF$6*R83*$T$5))/2)*$O$7*1.15))))</f>
        <v>727154.03193440009</v>
      </c>
      <c r="AC83" s="48">
        <f>IF(N83="Standard",(((($Z$7*Q83)+($AD$7*R83*$T$5))/2)*$O$7*1.15),IF(N83="Severe",(((($AA$7*Q83)+($AE$7*R83*$T$5))/2)*$O$7*1.15),IF(N83="Hostile",(((($AB$7*Q83)+($AF$7*R83*$T$5))/2)*$O$7*1.15))))</f>
        <v>784795.42359260004</v>
      </c>
      <c r="AD83" s="1"/>
      <c r="AE83" s="1"/>
      <c r="AF83" s="1"/>
      <c r="AI83" s="9"/>
      <c r="AJ83" s="1"/>
      <c r="AK83" s="1"/>
      <c r="AL83" s="1"/>
      <c r="AM83" s="1"/>
      <c r="AN83" s="1"/>
      <c r="AO83" s="1"/>
      <c r="AP83" s="9"/>
      <c r="AQ83" s="3"/>
      <c r="AR83" s="4"/>
      <c r="AS83" s="1"/>
      <c r="AT83" s="1"/>
      <c r="AU83" s="1"/>
      <c r="AV83" s="1"/>
      <c r="AW83" s="1"/>
      <c r="AX83" s="3"/>
      <c r="AY83" s="3"/>
      <c r="AZ83" s="5"/>
      <c r="BA83" s="5"/>
      <c r="BB83" s="5"/>
      <c r="BC83" s="5"/>
      <c r="BD83" s="6"/>
      <c r="BE83" s="6"/>
      <c r="BF83" s="12"/>
      <c r="BG83" s="12"/>
      <c r="BH83" s="12"/>
      <c r="BI83" s="12"/>
      <c r="BJ83" s="12"/>
    </row>
    <row r="84" spans="2:62" x14ac:dyDescent="0.25">
      <c r="B84" s="1" t="s">
        <v>1180</v>
      </c>
      <c r="C84" s="1" t="s">
        <v>1419</v>
      </c>
      <c r="D84" s="1" t="s">
        <v>1190</v>
      </c>
      <c r="E84" s="1" t="s">
        <v>1420</v>
      </c>
      <c r="F84" s="1" t="s">
        <v>1421</v>
      </c>
      <c r="G84" s="1" t="s">
        <v>1194</v>
      </c>
      <c r="H84" s="1" t="s">
        <v>1195</v>
      </c>
      <c r="I84" s="7" t="s">
        <v>1187</v>
      </c>
      <c r="J84" s="44">
        <v>1</v>
      </c>
      <c r="K84" s="45">
        <v>1</v>
      </c>
      <c r="L84" s="1">
        <v>996</v>
      </c>
      <c r="M84" s="1" t="s">
        <v>1188</v>
      </c>
      <c r="N84" s="1" t="s">
        <v>1141</v>
      </c>
      <c r="O84" s="1" t="s">
        <v>1189</v>
      </c>
      <c r="P84" s="1" t="s">
        <v>1190</v>
      </c>
      <c r="Q84" s="44">
        <f>IF($L84=996,Multipliers!C$174,IF($L84=997,Multipliers!C$175,IF($L84=998,Multipliers!C$176,"NONE")))</f>
        <v>1.29</v>
      </c>
      <c r="R84" s="44">
        <f>IF($L84=996,Multipliers!C$5,IF($L84=997,Multipliers!C$6,IF($L84=998,Multipliers!C$7,"NONE")))</f>
        <v>1.34</v>
      </c>
      <c r="S84" s="46">
        <f t="shared" si="24"/>
        <v>572333.63565000007</v>
      </c>
      <c r="T84" s="46">
        <f t="shared" si="25"/>
        <v>595942.1664000001</v>
      </c>
      <c r="U84" s="46">
        <f t="shared" si="27"/>
        <v>589982.74473600008</v>
      </c>
      <c r="V84" s="46">
        <f>(S84+U84)/2</f>
        <v>581158.19019300002</v>
      </c>
      <c r="W84" s="47">
        <f t="shared" si="26"/>
        <v>581158.19019300002</v>
      </c>
      <c r="X84" s="47"/>
      <c r="Y84" s="48">
        <f>IF(N84="Standard",(((($Z$3*Q84)+($AD$3*R84*$T$5))/2)*$O$7),IF(N84="Severe",(((($AA$3*Q84)+($AE$3*R84*$T$5))/2)*$O$7),IF(N84="Hostile",(((($AB$3*Q84)+($AF$3*R84*$T$5))/2)*$O$7))))</f>
        <v>465666.31849500001</v>
      </c>
      <c r="Z84" s="48">
        <f>IF(N84="Standard",(((($Z$4*Q84)+($AD$4*R84*$T$5))/2)*$O$7),IF(N84="Severe",(((($AA$4*Q84)+($AE$4*R84*$T$5))/2)*$O$7),IF(N84="Hostile",(((($AB$4*Q84)+($AF$4*R84*$T$5))/2)*$O$7))))</f>
        <v>514428.62433899997</v>
      </c>
      <c r="AA84" s="48">
        <f>IF(N84="Standard",((($Z$5*Q84)+($AD$5*R84*$T$5))/2)*$O$7,IF(N84="Severe",((($AA$5*Q84)+($AE$5*R84*$T$5))/2)*$O$7,IF(N84="Hostile",((($AB$5*Q84)+($AF$5*R84*$T$5))/2)*$O$7)))</f>
        <v>581158.19019300013</v>
      </c>
      <c r="AB84" s="48">
        <f>IF(N84="Standard",((($Z$6*Q84)+($AD$6*R84*$T$5))/2)*$O$7,IF(N84="Severe",((($AA$6*Q84)+($AE$6*R84*$T$5))/2)*$O$7,IF(N84="Hostile",((($AB$6*Q84)+($AF$6*R84*$T$5))/2)*$O$7)))</f>
        <v>629926.37213100016</v>
      </c>
      <c r="AC84" s="48">
        <f>IF(N84="Standard",((($Z$7*Q84)+($AD$7*R84*$T$5))/2)*$O$7,IF(N84="Severe",((($AA$7*Q84)+($AE$7*R84*$T$5))/2)*$O$7,IF(N84="Hostile",((($AB$7*Q84)+($AF$7*R84*$T$5))/2)*$O$7)))</f>
        <v>679867.06659900001</v>
      </c>
      <c r="AD84" s="1"/>
      <c r="AE84" s="1"/>
      <c r="AF84" s="1"/>
      <c r="AI84" s="9"/>
      <c r="AJ84" s="1"/>
      <c r="AK84" s="1"/>
      <c r="AL84" s="1"/>
      <c r="AM84" s="1"/>
      <c r="AN84" s="1"/>
      <c r="AO84" s="1"/>
      <c r="AP84" s="9"/>
      <c r="AQ84" s="3"/>
      <c r="AR84" s="4"/>
      <c r="AS84" s="1"/>
      <c r="AT84" s="1"/>
      <c r="AU84" s="1"/>
      <c r="AV84" s="1"/>
      <c r="AW84" s="1"/>
      <c r="AX84" s="3"/>
      <c r="AY84" s="3"/>
      <c r="AZ84" s="5"/>
      <c r="BA84" s="5"/>
      <c r="BB84" s="5"/>
      <c r="BC84" s="5"/>
      <c r="BD84" s="6"/>
      <c r="BE84" s="6"/>
      <c r="BF84" s="12"/>
      <c r="BG84" s="12"/>
      <c r="BH84" s="12"/>
      <c r="BI84" s="12"/>
      <c r="BJ84" s="12"/>
    </row>
    <row r="85" spans="2:62" x14ac:dyDescent="0.25">
      <c r="B85" s="1" t="s">
        <v>1180</v>
      </c>
      <c r="C85" s="1" t="s">
        <v>1422</v>
      </c>
      <c r="D85" s="1" t="s">
        <v>1190</v>
      </c>
      <c r="E85" s="1" t="s">
        <v>1423</v>
      </c>
      <c r="F85" s="1" t="s">
        <v>1424</v>
      </c>
      <c r="G85" s="1" t="s">
        <v>1218</v>
      </c>
      <c r="H85" s="1" t="s">
        <v>1219</v>
      </c>
      <c r="I85" s="7" t="s">
        <v>1187</v>
      </c>
      <c r="J85" s="44">
        <v>1</v>
      </c>
      <c r="K85" s="45">
        <v>1</v>
      </c>
      <c r="L85" s="1">
        <v>997</v>
      </c>
      <c r="M85" s="1" t="s">
        <v>1188</v>
      </c>
      <c r="N85" s="1" t="s">
        <v>1141</v>
      </c>
      <c r="O85" s="1" t="s">
        <v>1189</v>
      </c>
      <c r="P85" s="7" t="s">
        <v>1073</v>
      </c>
      <c r="Q85" s="44">
        <f>IF($L85=996,Multipliers!C$174,IF($L85=997,Multipliers!C$175,IF($L85=998,Multipliers!C$176,"NONE")))</f>
        <v>1.3</v>
      </c>
      <c r="R85" s="44">
        <f>IF($L85=996,Multipliers!C$5,IF($L85=997,Multipliers!C$6,IF($L85=998,Multipliers!C$7,"NONE")))</f>
        <v>1.34</v>
      </c>
      <c r="S85" s="46">
        <f t="shared" si="24"/>
        <v>576770.33050000016</v>
      </c>
      <c r="T85" s="46">
        <f t="shared" si="25"/>
        <v>595942.1664000001</v>
      </c>
      <c r="U85" s="46">
        <f t="shared" si="27"/>
        <v>589982.74473600008</v>
      </c>
      <c r="V85" s="46">
        <f>((S85+U85)/2*1.15)</f>
        <v>670883.01826070005</v>
      </c>
      <c r="W85" s="47">
        <f t="shared" si="26"/>
        <v>670883.01826070005</v>
      </c>
      <c r="X85" s="47"/>
      <c r="Y85" s="48">
        <f>IF(N85="Standard",(((($Z$3*Q85)+($AD$3*R85*$T$5))/2)*$O$7*1.15),IF(N85="Severe",(((($AA$3*Q85)+($AE$3*R85*$T$5))/2)*$O$7*1.15),IF(N85="Hostile",(((($AB$3*Q85)+($AF$3*R85*$T$5))/2)*$O$7*1.15))))</f>
        <v>537627.23286300001</v>
      </c>
      <c r="Z85" s="48">
        <f>IF(N85="Standard",(((($Z$4*Q85)+($AD$4*R85*$T$5))/2)*$O$7*1.15),IF(N85="Severe",(((($AA$4*Q85)+($AE$4*R85*$T$5))/2)*$O$7*1.15),IF(N85="Hostile",(((($AB$4*Q85)+($AF$4*R85*$T$5))/2)*$O$7*1.15))))</f>
        <v>593892.8539060998</v>
      </c>
      <c r="AA85" s="48">
        <f>IF(N85="Standard",(((($Z$5*Q85)+($AD$5*R85*$T$5))/2)*$O$7*1.15),IF(N85="Severe",(((($AA$5*Q85)+($AE$5*R85*$T$5))/2)*$O$7*1.15),IF(N85="Hostile",(((($AB$5*Q85)+($AF$5*R85*$T$5))/2)*$O$7*1.15))))</f>
        <v>670883.01826070005</v>
      </c>
      <c r="AB85" s="48">
        <f>IF(N85="Standard",(((($Z$6*Q85)+($AD$6*R85*$T$5))/2)*$O$7*1.15),IF(N85="Severe",(((($AA$6*Q85)+($AE$6*R85*$T$5))/2)*$O$7*1.15),IF(N85="Hostile",(((($AB$6*Q85)+($AF$6*R85*$T$5))/2)*$O$7*1.15))))</f>
        <v>727154.03193440009</v>
      </c>
      <c r="AC85" s="48">
        <f>IF(N85="Standard",(((($Z$7*Q85)+($AD$7*R85*$T$5))/2)*$O$7*1.15),IF(N85="Severe",(((($AA$7*Q85)+($AE$7*R85*$T$5))/2)*$O$7*1.15),IF(N85="Hostile",(((($AB$7*Q85)+($AF$7*R85*$T$5))/2)*$O$7*1.15))))</f>
        <v>784795.42359260004</v>
      </c>
      <c r="AD85" s="1"/>
      <c r="AE85" s="1"/>
      <c r="AF85" s="1"/>
      <c r="AI85" s="9"/>
      <c r="AJ85" s="1"/>
      <c r="AK85" s="1"/>
      <c r="AL85" s="1"/>
      <c r="AM85" s="1"/>
      <c r="AN85" s="1"/>
      <c r="AO85" s="1"/>
      <c r="AP85" s="9"/>
      <c r="AQ85" s="3"/>
      <c r="AR85" s="4"/>
      <c r="AS85" s="1"/>
      <c r="AT85" s="1"/>
      <c r="AU85" s="1"/>
      <c r="AV85" s="1"/>
      <c r="AW85" s="1"/>
      <c r="AX85" s="3"/>
      <c r="AY85" s="3"/>
      <c r="AZ85" s="5"/>
      <c r="BA85" s="5"/>
      <c r="BB85" s="5"/>
      <c r="BC85" s="5"/>
      <c r="BD85" s="6"/>
      <c r="BE85" s="6"/>
      <c r="BF85" s="12"/>
      <c r="BG85" s="12"/>
      <c r="BH85" s="12"/>
      <c r="BI85" s="12"/>
      <c r="BJ85" s="12"/>
    </row>
    <row r="86" spans="2:62" x14ac:dyDescent="0.25">
      <c r="B86" s="1" t="s">
        <v>1180</v>
      </c>
      <c r="C86" s="1" t="s">
        <v>1425</v>
      </c>
      <c r="D86" s="1" t="s">
        <v>1190</v>
      </c>
      <c r="E86" s="1" t="s">
        <v>1426</v>
      </c>
      <c r="F86" s="1" t="s">
        <v>1427</v>
      </c>
      <c r="G86" s="1" t="s">
        <v>1294</v>
      </c>
      <c r="H86" s="1" t="s">
        <v>1295</v>
      </c>
      <c r="I86" s="7" t="s">
        <v>1187</v>
      </c>
      <c r="J86" s="44">
        <v>1</v>
      </c>
      <c r="K86" s="45">
        <v>1</v>
      </c>
      <c r="L86" s="1">
        <v>998</v>
      </c>
      <c r="M86" s="1" t="s">
        <v>1188</v>
      </c>
      <c r="N86" s="1" t="s">
        <v>1141</v>
      </c>
      <c r="O86" s="1" t="s">
        <v>1189</v>
      </c>
      <c r="P86" s="7" t="s">
        <v>1074</v>
      </c>
      <c r="Q86" s="44">
        <f>IF($L86=996,Multipliers!C$174,IF($L86=997,Multipliers!C$175,IF($L86=998,Multipliers!C$176,"NONE")))</f>
        <v>1.34</v>
      </c>
      <c r="R86" s="44">
        <f>IF($L86=996,Multipliers!C$5,IF($L86=997,Multipliers!C$6,IF($L86=998,Multipliers!C$7,"NONE")))</f>
        <v>1.36</v>
      </c>
      <c r="S86" s="46">
        <f t="shared" si="24"/>
        <v>594517.10990000016</v>
      </c>
      <c r="T86" s="46">
        <f t="shared" si="25"/>
        <v>604836.82559999998</v>
      </c>
      <c r="U86" s="46">
        <f t="shared" si="27"/>
        <v>598788.45734399999</v>
      </c>
      <c r="V86" s="46">
        <f>((S86+U86)/2*1.2)</f>
        <v>715983.34034640016</v>
      </c>
      <c r="W86" s="47">
        <f t="shared" si="26"/>
        <v>715983.34034640016</v>
      </c>
      <c r="X86" s="47"/>
      <c r="Y86" s="48">
        <f>IF(N86="Standard",(((($Z$3*Q86)+($AD$3*R86*$T$5))/2)*$O$7*1.2),IF(N86="Severe",(((($AA$3*Q86)+($AE$3*R86*$T$5))/2)*$O$7*1.2),IF(N86="Hostile",(((($AB$3*Q86)+($AF$3*R86*$T$5))/2)*$O$7*1.2))))</f>
        <v>573912.50187599997</v>
      </c>
      <c r="Z86" s="48">
        <f>IF(N86="Standard",(((($Z$4*Q86)+($AD$4*R86*$T$5))/2)*$O$7*1.2),IF(N86="Severe",(((($AA$4*Q86)+($AE$4*R86*$T$5))/2)*$O$7*1.2),IF(N86="Hostile",(((($AB$4*Q86)+($AF$4*R86*$T$5))/2)*$O$7*1.2))))</f>
        <v>633906.89508719998</v>
      </c>
      <c r="AA86" s="48">
        <f>IF(N86="Standard",(((($Z$5*Q86)+($AD$5*R86*$T$5))/2)*$O$7*1.2),IF(N86="Severe",(((($AA$5*Q86)+($AE$5*R86*$T$5))/2)*$O$7*1.2),IF(N86="Hostile",((($AB$5*Q86)+($AF$5*R86*$T$5))/2)*$O$7*1.2)))</f>
        <v>715983.34034640016</v>
      </c>
      <c r="AB86" s="48">
        <f>IF(N86="Standard",(((($Z$6*Q86)+($AD$6*R86*$T$5))/2)*$O$7*1.2),IF(N86="Severe",(((($AA$6*Q86)+($AE$6*R86*$T$5))/2)*$O$7*1.2),IF(N86="Hostile",((($AB$6*Q86)+($AF$6*R86*$T$5))/2)*$O$7*1.2)))</f>
        <v>775980.51116880018</v>
      </c>
      <c r="AC86" s="48">
        <f>IF(N86="Standard",((($Z$7*Q86)+($AD$7*R86*$T$5))/2)*$O$7*1.2,IF(N86="Severe",((($AA$7*Q86)+($AE$7*R86*$T$5))/2)*$O$7*1.2,IF(N86="Hostile",((($AB$7*Q86)+($AF$7*R86*$T$5))/2)*$O$7*1.2)))</f>
        <v>837476.24333520012</v>
      </c>
      <c r="AD86" s="1"/>
      <c r="AE86" s="1"/>
      <c r="AF86" s="1"/>
      <c r="AI86" s="9"/>
      <c r="AJ86" s="1"/>
      <c r="AK86" s="1"/>
      <c r="AL86" s="1"/>
      <c r="AM86" s="1"/>
      <c r="AN86" s="1"/>
      <c r="AO86" s="1"/>
      <c r="AP86" s="9"/>
      <c r="AQ86" s="3"/>
      <c r="AR86" s="4"/>
      <c r="AS86" s="1"/>
      <c r="AT86" s="1"/>
      <c r="AU86" s="1"/>
      <c r="AV86" s="1"/>
      <c r="AW86" s="1"/>
      <c r="AX86" s="3"/>
      <c r="AY86" s="3"/>
      <c r="AZ86" s="5"/>
      <c r="BA86" s="5"/>
      <c r="BB86" s="5"/>
      <c r="BC86" s="5"/>
      <c r="BD86" s="6"/>
      <c r="BE86" s="6"/>
      <c r="BF86" s="12"/>
      <c r="BG86" s="12"/>
      <c r="BH86" s="12"/>
      <c r="BI86" s="12"/>
      <c r="BJ86" s="12"/>
    </row>
    <row r="87" spans="2:62" x14ac:dyDescent="0.25">
      <c r="B87" s="1" t="s">
        <v>1180</v>
      </c>
      <c r="C87" s="1" t="s">
        <v>1428</v>
      </c>
      <c r="D87" s="1" t="s">
        <v>1190</v>
      </c>
      <c r="E87" s="1" t="s">
        <v>1429</v>
      </c>
      <c r="F87" s="1" t="s">
        <v>1430</v>
      </c>
      <c r="G87" s="1" t="s">
        <v>1202</v>
      </c>
      <c r="H87" s="1" t="s">
        <v>1203</v>
      </c>
      <c r="I87" s="7" t="s">
        <v>1187</v>
      </c>
      <c r="J87" s="44">
        <v>1</v>
      </c>
      <c r="K87" s="45">
        <v>1</v>
      </c>
      <c r="L87" s="1">
        <v>997</v>
      </c>
      <c r="M87" s="1" t="s">
        <v>1188</v>
      </c>
      <c r="N87" s="1" t="s">
        <v>1141</v>
      </c>
      <c r="O87" s="1" t="s">
        <v>1189</v>
      </c>
      <c r="P87" s="7" t="s">
        <v>1073</v>
      </c>
      <c r="Q87" s="44">
        <f>IF($L87=996,Multipliers!C$174,IF($L87=997,Multipliers!C$175,IF($L87=998,Multipliers!C$176,"NONE")))</f>
        <v>1.3</v>
      </c>
      <c r="R87" s="44">
        <f>IF($L87=996,Multipliers!C$5,IF($L87=997,Multipliers!C$6,IF($L87=998,Multipliers!C$7,"NONE")))</f>
        <v>1.34</v>
      </c>
      <c r="S87" s="46">
        <f t="shared" si="24"/>
        <v>576770.33050000016</v>
      </c>
      <c r="T87" s="46">
        <f t="shared" si="25"/>
        <v>595942.1664000001</v>
      </c>
      <c r="U87" s="46">
        <f t="shared" si="27"/>
        <v>589982.74473600008</v>
      </c>
      <c r="V87" s="46">
        <f>((S87+U87)/2*1.15)</f>
        <v>670883.01826070005</v>
      </c>
      <c r="W87" s="47">
        <f t="shared" si="26"/>
        <v>670883.01826070005</v>
      </c>
      <c r="X87" s="47"/>
      <c r="Y87" s="48">
        <f>IF(N87="Standard",(((($Z$3*Q87)+($AD$3*R87*$T$5))/2)*$O$7*1.15),IF(N87="Severe",(((($AA$3*Q87)+($AE$3*R87*$T$5))/2)*$O$7*1.15),IF(N87="Hostile",(((($AB$3*Q87)+($AF$3*R87*$T$5))/2)*$O$7*1.15))))</f>
        <v>537627.23286300001</v>
      </c>
      <c r="Z87" s="48">
        <f>IF(N87="Standard",(((($Z$4*Q87)+($AD$4*R87*$T$5))/2)*$O$7*1.15),IF(N87="Severe",(((($AA$4*Q87)+($AE$4*R87*$T$5))/2)*$O$7*1.15),IF(N87="Hostile",(((($AB$4*Q87)+($AF$4*R87*$T$5))/2)*$O$7*1.15))))</f>
        <v>593892.8539060998</v>
      </c>
      <c r="AA87" s="48">
        <f>IF(N87="Standard",(((($Z$5*Q87)+($AD$5*R87*$T$5))/2)*$O$7*1.15),IF(N87="Severe",(((($AA$5*Q87)+($AE$5*R87*$T$5))/2)*$O$7*1.15),IF(N87="Hostile",(((($AB$5*Q87)+($AF$5*R87*$T$5))/2)*$O$7*1.15))))</f>
        <v>670883.01826070005</v>
      </c>
      <c r="AB87" s="48">
        <f>IF(N87="Standard",(((($Z$6*Q87)+($AD$6*R87*$T$5))/2)*$O$7*1.15),IF(N87="Severe",(((($AA$6*Q87)+($AE$6*R87*$T$5))/2)*$O$7*1.15),IF(N87="Hostile",(((($AB$6*Q87)+($AF$6*R87*$T$5))/2)*$O$7*1.15))))</f>
        <v>727154.03193440009</v>
      </c>
      <c r="AC87" s="48">
        <f>IF(N87="Standard",(((($Z$7*Q87)+($AD$7*R87*$T$5))/2)*$O$7*1.15),IF(N87="Severe",(((($AA$7*Q87)+($AE$7*R87*$T$5))/2)*$O$7*1.15),IF(N87="Hostile",(((($AB$7*Q87)+($AF$7*R87*$T$5))/2)*$O$7*1.15))))</f>
        <v>784795.42359260004</v>
      </c>
      <c r="AD87" s="1"/>
      <c r="AE87" s="1"/>
      <c r="AF87" s="1"/>
      <c r="AI87" s="9"/>
      <c r="AJ87" s="1"/>
      <c r="AK87" s="1"/>
      <c r="AL87" s="1"/>
      <c r="AM87" s="1"/>
      <c r="AN87" s="1"/>
      <c r="AO87" s="1"/>
      <c r="AP87" s="9"/>
      <c r="AQ87" s="3"/>
      <c r="AR87" s="4"/>
      <c r="AS87" s="1"/>
      <c r="AT87" s="1"/>
      <c r="AU87" s="1"/>
      <c r="AV87" s="1"/>
      <c r="AW87" s="1"/>
      <c r="AX87" s="3"/>
      <c r="AY87" s="3"/>
      <c r="AZ87" s="5"/>
      <c r="BA87" s="5"/>
      <c r="BB87" s="5"/>
      <c r="BC87" s="5"/>
      <c r="BD87" s="6"/>
      <c r="BE87" s="6"/>
      <c r="BF87" s="12"/>
      <c r="BG87" s="12"/>
      <c r="BH87" s="12"/>
      <c r="BI87" s="12"/>
      <c r="BJ87" s="12"/>
    </row>
    <row r="88" spans="2:62" x14ac:dyDescent="0.25">
      <c r="B88" s="1" t="s">
        <v>1180</v>
      </c>
      <c r="C88" s="1" t="s">
        <v>1431</v>
      </c>
      <c r="D88" s="1" t="s">
        <v>1190</v>
      </c>
      <c r="E88" s="1" t="s">
        <v>1432</v>
      </c>
      <c r="F88" s="1" t="s">
        <v>1433</v>
      </c>
      <c r="G88" s="1" t="s">
        <v>1294</v>
      </c>
      <c r="H88" s="1" t="s">
        <v>1295</v>
      </c>
      <c r="I88" s="7" t="s">
        <v>1187</v>
      </c>
      <c r="J88" s="44">
        <v>1</v>
      </c>
      <c r="K88" s="45">
        <v>1</v>
      </c>
      <c r="L88" s="1">
        <v>997</v>
      </c>
      <c r="M88" s="1" t="s">
        <v>1188</v>
      </c>
      <c r="N88" s="1" t="s">
        <v>1141</v>
      </c>
      <c r="O88" s="1" t="s">
        <v>1189</v>
      </c>
      <c r="P88" s="7" t="s">
        <v>1073</v>
      </c>
      <c r="Q88" s="44">
        <f>IF($L88=996,Multipliers!C$174,IF($L88=997,Multipliers!C$175,IF($L88=998,Multipliers!C$176,"NONE")))</f>
        <v>1.3</v>
      </c>
      <c r="R88" s="44">
        <f>IF($L88=996,Multipliers!C$5,IF($L88=997,Multipliers!C$6,IF($L88=998,Multipliers!C$7,"NONE")))</f>
        <v>1.34</v>
      </c>
      <c r="S88" s="46">
        <f t="shared" si="24"/>
        <v>576770.33050000016</v>
      </c>
      <c r="T88" s="46">
        <f t="shared" si="25"/>
        <v>595942.1664000001</v>
      </c>
      <c r="U88" s="46">
        <f t="shared" si="27"/>
        <v>589982.74473600008</v>
      </c>
      <c r="V88" s="46">
        <f>((S88+U88)/2*1.15)</f>
        <v>670883.01826070005</v>
      </c>
      <c r="W88" s="47">
        <f t="shared" si="26"/>
        <v>670883.01826070005</v>
      </c>
      <c r="X88" s="47"/>
      <c r="Y88" s="48">
        <f>IF(N88="Standard",(((($Z$3*Q88)+($AD$3*R88*$T$5))/2)*$O$7*1.15),IF(N88="Severe",(((($AA$3*Q88)+($AE$3*R88*$T$5))/2)*$O$7*1.15),IF(N88="Hostile",(((($AB$3*Q88)+($AF$3*R88*$T$5))/2)*$O$7*1.15))))</f>
        <v>537627.23286300001</v>
      </c>
      <c r="Z88" s="48">
        <f>IF(N88="Standard",(((($Z$4*Q88)+($AD$4*R88*$T$5))/2)*$O$7*1.15),IF(N88="Severe",(((($AA$4*Q88)+($AE$4*R88*$T$5))/2)*$O$7*1.15),IF(N88="Hostile",(((($AB$4*Q88)+($AF$4*R88*$T$5))/2)*$O$7*1.15))))</f>
        <v>593892.8539060998</v>
      </c>
      <c r="AA88" s="48">
        <f>IF(N88="Standard",(((($Z$5*Q88)+($AD$5*R88*$T$5))/2)*$O$7*1.15),IF(N88="Severe",(((($AA$5*Q88)+($AE$5*R88*$T$5))/2)*$O$7*1.15),IF(N88="Hostile",(((($AB$5*Q88)+($AF$5*R88*$T$5))/2)*$O$7*1.15))))</f>
        <v>670883.01826070005</v>
      </c>
      <c r="AB88" s="48">
        <f>IF(N88="Standard",(((($Z$6*Q88)+($AD$6*R88*$T$5))/2)*$O$7*1.15),IF(N88="Severe",(((($AA$6*Q88)+($AE$6*R88*$T$5))/2)*$O$7*1.15),IF(N88="Hostile",(((($AB$6*Q88)+($AF$6*R88*$T$5))/2)*$O$7*1.15))))</f>
        <v>727154.03193440009</v>
      </c>
      <c r="AC88" s="48">
        <f>IF(N88="Standard",(((($Z$7*Q88)+($AD$7*R88*$T$5))/2)*$O$7*1.15),IF(N88="Severe",(((($AA$7*Q88)+($AE$7*R88*$T$5))/2)*$O$7*1.15),IF(N88="Hostile",(((($AB$7*Q88)+($AF$7*R88*$T$5))/2)*$O$7*1.15))))</f>
        <v>784795.42359260004</v>
      </c>
      <c r="AD88" s="1"/>
      <c r="AE88" s="1"/>
      <c r="AF88" s="1"/>
      <c r="AI88" s="9"/>
      <c r="AJ88" s="1"/>
      <c r="AK88" s="1"/>
      <c r="AL88" s="1"/>
      <c r="AM88" s="1"/>
      <c r="AN88" s="1"/>
      <c r="AO88" s="1"/>
      <c r="AP88" s="9"/>
      <c r="AQ88" s="3"/>
      <c r="AR88" s="4"/>
      <c r="AS88" s="1"/>
      <c r="AT88" s="1"/>
      <c r="AU88" s="1"/>
      <c r="AV88" s="1"/>
      <c r="AW88" s="1"/>
      <c r="AX88" s="3"/>
      <c r="AY88" s="3"/>
      <c r="AZ88" s="5"/>
      <c r="BA88" s="5"/>
      <c r="BB88" s="5"/>
      <c r="BC88" s="5"/>
      <c r="BD88" s="6"/>
      <c r="BE88" s="6"/>
      <c r="BF88" s="12"/>
      <c r="BG88" s="12"/>
      <c r="BH88" s="12"/>
      <c r="BI88" s="12"/>
      <c r="BJ88" s="12"/>
    </row>
    <row r="89" spans="2:62" x14ac:dyDescent="0.25">
      <c r="B89" s="1" t="s">
        <v>1180</v>
      </c>
      <c r="C89" s="1" t="s">
        <v>1434</v>
      </c>
      <c r="D89" s="1" t="s">
        <v>1190</v>
      </c>
      <c r="E89" s="1" t="s">
        <v>1435</v>
      </c>
      <c r="F89" s="1" t="s">
        <v>1436</v>
      </c>
      <c r="G89" s="1" t="s">
        <v>1202</v>
      </c>
      <c r="H89" s="1" t="s">
        <v>1203</v>
      </c>
      <c r="I89" s="7" t="s">
        <v>1187</v>
      </c>
      <c r="J89" s="44">
        <v>1</v>
      </c>
      <c r="K89" s="45">
        <v>1</v>
      </c>
      <c r="L89" s="1">
        <v>997</v>
      </c>
      <c r="M89" s="1" t="s">
        <v>1188</v>
      </c>
      <c r="N89" s="1" t="s">
        <v>1141</v>
      </c>
      <c r="O89" s="1" t="s">
        <v>1189</v>
      </c>
      <c r="P89" s="7" t="s">
        <v>1073</v>
      </c>
      <c r="Q89" s="44">
        <f>IF($L89=996,Multipliers!C$174,IF($L89=997,Multipliers!C$175,IF($L89=998,Multipliers!C$176,"NONE")))</f>
        <v>1.3</v>
      </c>
      <c r="R89" s="44">
        <f>IF($L89=996,Multipliers!C$5,IF($L89=997,Multipliers!C$6,IF($L89=998,Multipliers!C$7,"NONE")))</f>
        <v>1.34</v>
      </c>
      <c r="S89" s="46">
        <f t="shared" ref="S89:S106" si="28">IF(N89="Standard",$O$5*Q89*$O$7,IF(N89="Severe",$O$4*Q89*$O$7,IF(N89="Hostile",$O$3*Q89*$O$7)))</f>
        <v>576770.33050000016</v>
      </c>
      <c r="T89" s="46">
        <f t="shared" ref="T89:T106" si="29">IF(N89="Standard",$P$5*R89*$O$7,IF(N89="Severe",$P$4*R89*$O$7,IF(N89="Hostile",$P$3*R89*$O$7)))</f>
        <v>595942.1664000001</v>
      </c>
      <c r="U89" s="46">
        <f t="shared" si="27"/>
        <v>589982.74473600008</v>
      </c>
      <c r="V89" s="46">
        <f>((S89+U89)/2*1.15)</f>
        <v>670883.01826070005</v>
      </c>
      <c r="W89" s="47">
        <f t="shared" si="26"/>
        <v>670883.01826070005</v>
      </c>
      <c r="X89" s="47"/>
      <c r="Y89" s="48">
        <f>IF(N89="Standard",(((($Z$3*Q89)+($AD$3*R89*$T$5))/2)*$O$7*1.15),IF(N89="Severe",(((($AA$3*Q89)+($AE$3*R89*$T$5))/2)*$O$7*1.15),IF(N89="Hostile",(((($AB$3*Q89)+($AF$3*R89*$T$5))/2)*$O$7*1.15))))</f>
        <v>537627.23286300001</v>
      </c>
      <c r="Z89" s="48">
        <f>IF(N89="Standard",(((($Z$4*Q89)+($AD$4*R89*$T$5))/2)*$O$7*1.15),IF(N89="Severe",(((($AA$4*Q89)+($AE$4*R89*$T$5))/2)*$O$7*1.15),IF(N89="Hostile",(((($AB$4*Q89)+($AF$4*R89*$T$5))/2)*$O$7*1.15))))</f>
        <v>593892.8539060998</v>
      </c>
      <c r="AA89" s="48">
        <f>IF(N89="Standard",(((($Z$5*Q89)+($AD$5*R89*$T$5))/2)*$O$7*1.15),IF(N89="Severe",(((($AA$5*Q89)+($AE$5*R89*$T$5))/2)*$O$7*1.15),IF(N89="Hostile",(((($AB$5*Q89)+($AF$5*R89*$T$5))/2)*$O$7*1.15))))</f>
        <v>670883.01826070005</v>
      </c>
      <c r="AB89" s="48">
        <f>IF(N89="Standard",(((($Z$6*Q89)+($AD$6*R89*$T$5))/2)*$O$7*1.15),IF(N89="Severe",(((($AA$6*Q89)+($AE$6*R89*$T$5))/2)*$O$7*1.15),IF(N89="Hostile",(((($AB$6*Q89)+($AF$6*R89*$T$5))/2)*$O$7*1.15))))</f>
        <v>727154.03193440009</v>
      </c>
      <c r="AC89" s="48">
        <f>IF(N89="Standard",(((($Z$7*Q89)+($AD$7*R89*$T$5))/2)*$O$7*1.15),IF(N89="Severe",(((($AA$7*Q89)+($AE$7*R89*$T$5))/2)*$O$7*1.15),IF(N89="Hostile",(((($AB$7*Q89)+($AF$7*R89*$T$5))/2)*$O$7*1.15))))</f>
        <v>784795.42359260004</v>
      </c>
      <c r="AD89" s="1"/>
      <c r="AE89" s="1"/>
      <c r="AF89" s="1"/>
      <c r="AI89" s="9"/>
      <c r="AJ89" s="1"/>
      <c r="AK89" s="1"/>
      <c r="AL89" s="1"/>
      <c r="AM89" s="1"/>
      <c r="AN89" s="1"/>
      <c r="AO89" s="1"/>
      <c r="AP89" s="9"/>
      <c r="AQ89" s="3"/>
      <c r="AR89" s="4"/>
      <c r="AS89" s="1"/>
      <c r="AT89" s="1"/>
      <c r="AU89" s="1"/>
      <c r="AV89" s="1"/>
      <c r="AW89" s="1"/>
      <c r="AX89" s="3"/>
      <c r="AY89" s="3"/>
      <c r="AZ89" s="5"/>
      <c r="BA89" s="5"/>
      <c r="BB89" s="5"/>
      <c r="BC89" s="5"/>
      <c r="BD89" s="6"/>
      <c r="BE89" s="6"/>
      <c r="BF89" s="12"/>
      <c r="BG89" s="12"/>
      <c r="BH89" s="12"/>
      <c r="BI89" s="12"/>
      <c r="BJ89" s="12"/>
    </row>
    <row r="90" spans="2:62" x14ac:dyDescent="0.25">
      <c r="B90" s="1" t="s">
        <v>1180</v>
      </c>
      <c r="C90" s="1" t="s">
        <v>1437</v>
      </c>
      <c r="D90" s="1" t="s">
        <v>1190</v>
      </c>
      <c r="E90" s="1" t="s">
        <v>1438</v>
      </c>
      <c r="F90" s="1" t="s">
        <v>1439</v>
      </c>
      <c r="G90" s="1" t="s">
        <v>1218</v>
      </c>
      <c r="H90" s="1" t="s">
        <v>1219</v>
      </c>
      <c r="I90" s="7" t="s">
        <v>1187</v>
      </c>
      <c r="J90" s="44">
        <v>1</v>
      </c>
      <c r="K90" s="45">
        <v>1</v>
      </c>
      <c r="L90" s="1">
        <v>997</v>
      </c>
      <c r="M90" s="1" t="s">
        <v>1188</v>
      </c>
      <c r="N90" s="1" t="s">
        <v>1141</v>
      </c>
      <c r="O90" s="1" t="s">
        <v>1189</v>
      </c>
      <c r="P90" s="7" t="s">
        <v>1073</v>
      </c>
      <c r="Q90" s="44">
        <f>IF($L90=996,Multipliers!C$174,IF($L90=997,Multipliers!C$175,IF($L90=998,Multipliers!C$176,"NONE")))</f>
        <v>1.3</v>
      </c>
      <c r="R90" s="44">
        <f>IF($L90=996,Multipliers!C$5,IF($L90=997,Multipliers!C$6,IF($L90=998,Multipliers!C$7,"NONE")))</f>
        <v>1.34</v>
      </c>
      <c r="S90" s="46">
        <f t="shared" si="28"/>
        <v>576770.33050000016</v>
      </c>
      <c r="T90" s="46">
        <f t="shared" si="29"/>
        <v>595942.1664000001</v>
      </c>
      <c r="U90" s="46">
        <f t="shared" si="27"/>
        <v>589982.74473600008</v>
      </c>
      <c r="V90" s="46">
        <f>((S90+U90)/2*1.15)</f>
        <v>670883.01826070005</v>
      </c>
      <c r="W90" s="47">
        <f t="shared" si="26"/>
        <v>670883.01826070005</v>
      </c>
      <c r="X90" s="47"/>
      <c r="Y90" s="48">
        <f>IF(N90="Standard",(((($Z$3*Q90)+($AD$3*R90*$T$5))/2)*$O$7*1.15),IF(N90="Severe",(((($AA$3*Q90)+($AE$3*R90*$T$5))/2)*$O$7*1.15),IF(N90="Hostile",(((($AB$3*Q90)+($AF$3*R90*$T$5))/2)*$O$7*1.15))))</f>
        <v>537627.23286300001</v>
      </c>
      <c r="Z90" s="48">
        <f>IF(N90="Standard",(((($Z$4*Q90)+($AD$4*R90*$T$5))/2)*$O$7*1.15),IF(N90="Severe",(((($AA$4*Q90)+($AE$4*R90*$T$5))/2)*$O$7*1.15),IF(N90="Hostile",(((($AB$4*Q90)+($AF$4*R90*$T$5))/2)*$O$7*1.15))))</f>
        <v>593892.8539060998</v>
      </c>
      <c r="AA90" s="48">
        <f>IF(N90="Standard",(((($Z$5*Q90)+($AD$5*R90*$T$5))/2)*$O$7*1.15),IF(N90="Severe",(((($AA$5*Q90)+($AE$5*R90*$T$5))/2)*$O$7*1.15),IF(N90="Hostile",(((($AB$5*Q90)+($AF$5*R90*$T$5))/2)*$O$7*1.15))))</f>
        <v>670883.01826070005</v>
      </c>
      <c r="AB90" s="48">
        <f>IF(N90="Standard",(((($Z$6*Q90)+($AD$6*R90*$T$5))/2)*$O$7*1.15),IF(N90="Severe",(((($AA$6*Q90)+($AE$6*R90*$T$5))/2)*$O$7*1.15),IF(N90="Hostile",(((($AB$6*Q90)+($AF$6*R90*$T$5))/2)*$O$7*1.15))))</f>
        <v>727154.03193440009</v>
      </c>
      <c r="AC90" s="48">
        <f>IF(N90="Standard",(((($Z$7*Q90)+($AD$7*R90*$T$5))/2)*$O$7*1.15),IF(N90="Severe",(((($AA$7*Q90)+($AE$7*R90*$T$5))/2)*$O$7*1.15),IF(N90="Hostile",(((($AB$7*Q90)+($AF$7*R90*$T$5))/2)*$O$7*1.15))))</f>
        <v>784795.42359260004</v>
      </c>
      <c r="AD90" s="1"/>
      <c r="AE90" s="1"/>
      <c r="AF90" s="1"/>
      <c r="AI90" s="9"/>
      <c r="AJ90" s="1"/>
      <c r="AK90" s="1"/>
      <c r="AL90" s="1"/>
      <c r="AM90" s="1"/>
      <c r="AN90" s="1"/>
      <c r="AO90" s="1"/>
      <c r="AP90" s="9"/>
      <c r="AQ90" s="3"/>
      <c r="AR90" s="4"/>
      <c r="AS90" s="1"/>
      <c r="AT90" s="1"/>
      <c r="AU90" s="1"/>
      <c r="AV90" s="1"/>
      <c r="AW90" s="1"/>
      <c r="AX90" s="3"/>
      <c r="AY90" s="3"/>
      <c r="AZ90" s="5"/>
      <c r="BA90" s="5"/>
      <c r="BB90" s="5"/>
      <c r="BC90" s="5"/>
      <c r="BD90" s="6"/>
      <c r="BE90" s="6"/>
      <c r="BF90" s="12"/>
      <c r="BG90" s="12"/>
      <c r="BH90" s="12"/>
      <c r="BI90" s="12"/>
      <c r="BJ90" s="12"/>
    </row>
    <row r="91" spans="2:62" x14ac:dyDescent="0.25">
      <c r="B91" s="1" t="s">
        <v>1180</v>
      </c>
      <c r="C91" s="1" t="s">
        <v>1440</v>
      </c>
      <c r="D91" s="1" t="s">
        <v>1190</v>
      </c>
      <c r="E91" s="1" t="s">
        <v>1441</v>
      </c>
      <c r="F91" s="1" t="s">
        <v>1442</v>
      </c>
      <c r="G91" s="1" t="s">
        <v>1194</v>
      </c>
      <c r="H91" s="1" t="s">
        <v>1195</v>
      </c>
      <c r="I91" s="7" t="s">
        <v>1187</v>
      </c>
      <c r="J91" s="44">
        <v>1</v>
      </c>
      <c r="K91" s="45">
        <v>1</v>
      </c>
      <c r="L91" s="1">
        <v>996</v>
      </c>
      <c r="M91" s="1" t="s">
        <v>1188</v>
      </c>
      <c r="N91" s="1" t="s">
        <v>1141</v>
      </c>
      <c r="O91" s="1" t="s">
        <v>1189</v>
      </c>
      <c r="P91" s="1" t="s">
        <v>1190</v>
      </c>
      <c r="Q91" s="44">
        <f>IF($L91=996,Multipliers!C$174,IF($L91=997,Multipliers!C$175,IF($L91=998,Multipliers!C$176,"NONE")))</f>
        <v>1.29</v>
      </c>
      <c r="R91" s="44">
        <f>IF($L91=996,Multipliers!C$5,IF($L91=997,Multipliers!C$6,IF($L91=998,Multipliers!C$7,"NONE")))</f>
        <v>1.34</v>
      </c>
      <c r="S91" s="46">
        <f t="shared" si="28"/>
        <v>572333.63565000007</v>
      </c>
      <c r="T91" s="46">
        <f t="shared" si="29"/>
        <v>595942.1664000001</v>
      </c>
      <c r="U91" s="46">
        <f t="shared" si="27"/>
        <v>589982.74473600008</v>
      </c>
      <c r="V91" s="46">
        <f>(S91+U91)/2</f>
        <v>581158.19019300002</v>
      </c>
      <c r="W91" s="47">
        <f t="shared" ref="W91:W111" si="30">IF(F91=F92,(V91+V92)/2,IF(F91=F90,(V91+V90)/2,IF(F91&lt;&gt;F90,V91)))</f>
        <v>581158.19019300002</v>
      </c>
      <c r="X91" s="47"/>
      <c r="Y91" s="48">
        <f>IF(N91="Standard",(((($Z$3*Q91)+($AD$3*R91*$T$5))/2)*$O$7),IF(N91="Severe",(((($AA$3*Q91)+($AE$3*R91*$T$5))/2)*$O$7),IF(N91="Hostile",(((($AB$3*Q91)+($AF$3*R91*$T$5))/2)*$O$7))))</f>
        <v>465666.31849500001</v>
      </c>
      <c r="Z91" s="48">
        <f>IF(N91="Standard",(((($Z$4*Q91)+($AD$4*R91*$T$5))/2)*$O$7),IF(N91="Severe",(((($AA$4*Q91)+($AE$4*R91*$T$5))/2)*$O$7),IF(N91="Hostile",(((($AB$4*Q91)+($AF$4*R91*$T$5))/2)*$O$7))))</f>
        <v>514428.62433899997</v>
      </c>
      <c r="AA91" s="48">
        <f>IF(N91="Standard",((($Z$5*Q91)+($AD$5*R91*$T$5))/2)*$O$7,IF(N91="Severe",((($AA$5*Q91)+($AE$5*R91*$T$5))/2)*$O$7,IF(N91="Hostile",((($AB$5*Q91)+($AF$5*R91*$T$5))/2)*$O$7)))</f>
        <v>581158.19019300013</v>
      </c>
      <c r="AB91" s="48">
        <f>IF(N91="Standard",((($Z$6*Q91)+($AD$6*R91*$T$5))/2)*$O$7,IF(N91="Severe",((($AA$6*Q91)+($AE$6*R91*$T$5))/2)*$O$7,IF(N91="Hostile",((($AB$6*Q91)+($AF$6*R91*$T$5))/2)*$O$7)))</f>
        <v>629926.37213100016</v>
      </c>
      <c r="AC91" s="48">
        <f>IF(N91="Standard",((($Z$7*Q91)+($AD$7*R91*$T$5))/2)*$O$7,IF(N91="Severe",((($AA$7*Q91)+($AE$7*R91*$T$5))/2)*$O$7,IF(N91="Hostile",((($AB$7*Q91)+($AF$7*R91*$T$5))/2)*$O$7)))</f>
        <v>679867.06659900001</v>
      </c>
      <c r="AD91" s="1"/>
      <c r="AE91" s="1"/>
      <c r="AF91" s="1"/>
      <c r="AI91" s="9"/>
      <c r="AJ91" s="1"/>
      <c r="AK91" s="1"/>
      <c r="AL91" s="1"/>
      <c r="AM91" s="1"/>
      <c r="AN91" s="1"/>
      <c r="AO91" s="1"/>
      <c r="AP91" s="9"/>
      <c r="AQ91" s="3"/>
      <c r="AR91" s="4"/>
      <c r="AS91" s="1"/>
      <c r="AT91" s="1"/>
      <c r="AU91" s="1"/>
      <c r="AV91" s="1"/>
      <c r="AW91" s="1"/>
      <c r="AX91" s="3"/>
      <c r="AY91" s="3"/>
      <c r="AZ91" s="5"/>
      <c r="BA91" s="5"/>
      <c r="BB91" s="5"/>
      <c r="BC91" s="5"/>
      <c r="BD91" s="6"/>
      <c r="BE91" s="6"/>
      <c r="BF91" s="12"/>
      <c r="BG91" s="12"/>
      <c r="BH91" s="12"/>
      <c r="BI91" s="12"/>
      <c r="BJ91" s="12"/>
    </row>
    <row r="92" spans="2:62" x14ac:dyDescent="0.25">
      <c r="B92" s="1" t="s">
        <v>1180</v>
      </c>
      <c r="C92" s="1" t="s">
        <v>1443</v>
      </c>
      <c r="D92" s="1" t="s">
        <v>1190</v>
      </c>
      <c r="E92" s="1" t="s">
        <v>1444</v>
      </c>
      <c r="F92" s="1" t="s">
        <v>1445</v>
      </c>
      <c r="G92" s="1" t="s">
        <v>1202</v>
      </c>
      <c r="H92" s="1" t="s">
        <v>1203</v>
      </c>
      <c r="I92" s="7" t="s">
        <v>1187</v>
      </c>
      <c r="J92" s="44">
        <v>1</v>
      </c>
      <c r="K92" s="45">
        <v>1</v>
      </c>
      <c r="L92" s="1">
        <v>997</v>
      </c>
      <c r="M92" s="1" t="s">
        <v>1188</v>
      </c>
      <c r="N92" s="1" t="s">
        <v>1141</v>
      </c>
      <c r="O92" s="1" t="s">
        <v>1189</v>
      </c>
      <c r="P92" s="7" t="s">
        <v>1073</v>
      </c>
      <c r="Q92" s="44">
        <f>IF($L92=996,Multipliers!C$174,IF($L92=997,Multipliers!C$175,IF($L92=998,Multipliers!C$176,"NONE")))</f>
        <v>1.3</v>
      </c>
      <c r="R92" s="44">
        <f>IF($L92=996,Multipliers!C$5,IF($L92=997,Multipliers!C$6,IF($L92=998,Multipliers!C$7,"NONE")))</f>
        <v>1.34</v>
      </c>
      <c r="S92" s="46">
        <f t="shared" si="28"/>
        <v>576770.33050000016</v>
      </c>
      <c r="T92" s="46">
        <f t="shared" si="29"/>
        <v>595942.1664000001</v>
      </c>
      <c r="U92" s="46">
        <f t="shared" si="27"/>
        <v>589982.74473600008</v>
      </c>
      <c r="V92" s="46">
        <f>((S92+U92)/2*1.15)</f>
        <v>670883.01826070005</v>
      </c>
      <c r="W92" s="47">
        <f t="shared" si="30"/>
        <v>670883.01826070005</v>
      </c>
      <c r="X92" s="47"/>
      <c r="Y92" s="48">
        <f>IF(N92="Standard",(((($Z$3*Q92)+($AD$3*R92*$T$5))/2)*$O$7*1.15),IF(N92="Severe",(((($AA$3*Q92)+($AE$3*R92*$T$5))/2)*$O$7*1.15),IF(N92="Hostile",(((($AB$3*Q92)+($AF$3*R92*$T$5))/2)*$O$7*1.15))))</f>
        <v>537627.23286300001</v>
      </c>
      <c r="Z92" s="48">
        <f>IF(N92="Standard",(((($Z$4*Q92)+($AD$4*R92*$T$5))/2)*$O$7*1.15),IF(N92="Severe",(((($AA$4*Q92)+($AE$4*R92*$T$5))/2)*$O$7*1.15),IF(N92="Hostile",(((($AB$4*Q92)+($AF$4*R92*$T$5))/2)*$O$7*1.15))))</f>
        <v>593892.8539060998</v>
      </c>
      <c r="AA92" s="48">
        <f>IF(N92="Standard",(((($Z$5*Q92)+($AD$5*R92*$T$5))/2)*$O$7*1.15),IF(N92="Severe",(((($AA$5*Q92)+($AE$5*R92*$T$5))/2)*$O$7*1.15),IF(N92="Hostile",(((($AB$5*Q92)+($AF$5*R92*$T$5))/2)*$O$7*1.15))))</f>
        <v>670883.01826070005</v>
      </c>
      <c r="AB92" s="48">
        <f>IF(N92="Standard",(((($Z$6*Q92)+($AD$6*R92*$T$5))/2)*$O$7*1.15),IF(N92="Severe",(((($AA$6*Q92)+($AE$6*R92*$T$5))/2)*$O$7*1.15),IF(N92="Hostile",(((($AB$6*Q92)+($AF$6*R92*$T$5))/2)*$O$7*1.15))))</f>
        <v>727154.03193440009</v>
      </c>
      <c r="AC92" s="48">
        <f>IF(N92="Standard",(((($Z$7*Q92)+($AD$7*R92*$T$5))/2)*$O$7*1.15),IF(N92="Severe",(((($AA$7*Q92)+($AE$7*R92*$T$5))/2)*$O$7*1.15),IF(N92="Hostile",(((($AB$7*Q92)+($AF$7*R92*$T$5))/2)*$O$7*1.15))))</f>
        <v>784795.42359260004</v>
      </c>
      <c r="AD92" s="1"/>
      <c r="AE92" s="1"/>
      <c r="AF92" s="1"/>
      <c r="AI92" s="9"/>
      <c r="AJ92" s="1"/>
      <c r="AK92" s="1"/>
      <c r="AL92" s="1"/>
      <c r="AM92" s="1"/>
      <c r="AN92" s="1"/>
      <c r="AO92" s="1"/>
      <c r="AP92" s="9"/>
      <c r="AQ92" s="3"/>
      <c r="AR92" s="4"/>
      <c r="AS92" s="1"/>
      <c r="AT92" s="1"/>
      <c r="AU92" s="1"/>
      <c r="AV92" s="1"/>
      <c r="AW92" s="1"/>
      <c r="AX92" s="3"/>
      <c r="AY92" s="3"/>
      <c r="AZ92" s="5"/>
      <c r="BA92" s="5"/>
      <c r="BB92" s="5"/>
      <c r="BC92" s="5"/>
      <c r="BD92" s="6"/>
      <c r="BE92" s="6"/>
      <c r="BF92" s="12"/>
      <c r="BG92" s="12"/>
      <c r="BH92" s="12"/>
      <c r="BI92" s="12"/>
      <c r="BJ92" s="12"/>
    </row>
    <row r="93" spans="2:62" x14ac:dyDescent="0.25">
      <c r="B93" s="1" t="s">
        <v>1180</v>
      </c>
      <c r="C93" s="1" t="s">
        <v>1446</v>
      </c>
      <c r="D93" s="1" t="s">
        <v>1190</v>
      </c>
      <c r="E93" s="1" t="s">
        <v>1447</v>
      </c>
      <c r="F93" s="1" t="s">
        <v>1448</v>
      </c>
      <c r="G93" s="1" t="s">
        <v>1218</v>
      </c>
      <c r="H93" s="1" t="s">
        <v>1219</v>
      </c>
      <c r="I93" s="7" t="s">
        <v>1187</v>
      </c>
      <c r="J93" s="44">
        <v>1</v>
      </c>
      <c r="K93" s="45">
        <v>1</v>
      </c>
      <c r="L93" s="1">
        <v>997</v>
      </c>
      <c r="M93" s="1" t="s">
        <v>1188</v>
      </c>
      <c r="N93" s="1" t="s">
        <v>1141</v>
      </c>
      <c r="O93" s="1" t="s">
        <v>1189</v>
      </c>
      <c r="P93" s="7" t="s">
        <v>1073</v>
      </c>
      <c r="Q93" s="44">
        <f>IF($L93=996,Multipliers!C$174,IF($L93=997,Multipliers!C$175,IF($L93=998,Multipliers!C$176,"NONE")))</f>
        <v>1.3</v>
      </c>
      <c r="R93" s="44">
        <f>IF($L93=996,Multipliers!C$5,IF($L93=997,Multipliers!C$6,IF($L93=998,Multipliers!C$7,"NONE")))</f>
        <v>1.34</v>
      </c>
      <c r="S93" s="46">
        <f t="shared" si="28"/>
        <v>576770.33050000016</v>
      </c>
      <c r="T93" s="46">
        <f t="shared" si="29"/>
        <v>595942.1664000001</v>
      </c>
      <c r="U93" s="46">
        <f t="shared" si="27"/>
        <v>589982.74473600008</v>
      </c>
      <c r="V93" s="46">
        <f>((S93+U93)/2*1.15)</f>
        <v>670883.01826070005</v>
      </c>
      <c r="W93" s="47">
        <f t="shared" si="30"/>
        <v>670883.01826070005</v>
      </c>
      <c r="X93" s="47"/>
      <c r="Y93" s="48">
        <f>IF(N93="Standard",(((($Z$3*Q93)+($AD$3*R93*$T$5))/2)*$O$7*1.15),IF(N93="Severe",(((($AA$3*Q93)+($AE$3*R93*$T$5))/2)*$O$7*1.15),IF(N93="Hostile",(((($AB$3*Q93)+($AF$3*R93*$T$5))/2)*$O$7*1.15))))</f>
        <v>537627.23286300001</v>
      </c>
      <c r="Z93" s="48">
        <f>IF(N93="Standard",(((($Z$4*Q93)+($AD$4*R93*$T$5))/2)*$O$7*1.15),IF(N93="Severe",(((($AA$4*Q93)+($AE$4*R93*$T$5))/2)*$O$7*1.15),IF(N93="Hostile",(((($AB$4*Q93)+($AF$4*R93*$T$5))/2)*$O$7*1.15))))</f>
        <v>593892.8539060998</v>
      </c>
      <c r="AA93" s="48">
        <f>IF(N93="Standard",(((($Z$5*Q93)+($AD$5*R93*$T$5))/2)*$O$7*1.15),IF(N93="Severe",(((($AA$5*Q93)+($AE$5*R93*$T$5))/2)*$O$7*1.15),IF(N93="Hostile",(((($AB$5*Q93)+($AF$5*R93*$T$5))/2)*$O$7*1.15))))</f>
        <v>670883.01826070005</v>
      </c>
      <c r="AB93" s="48">
        <f>IF(N93="Standard",(((($Z$6*Q93)+($AD$6*R93*$T$5))/2)*$O$7*1.15),IF(N93="Severe",(((($AA$6*Q93)+($AE$6*R93*$T$5))/2)*$O$7*1.15),IF(N93="Hostile",(((($AB$6*Q93)+($AF$6*R93*$T$5))/2)*$O$7*1.15))))</f>
        <v>727154.03193440009</v>
      </c>
      <c r="AC93" s="48">
        <f>IF(N93="Standard",(((($Z$7*Q93)+($AD$7*R93*$T$5))/2)*$O$7*1.15),IF(N93="Severe",(((($AA$7*Q93)+($AE$7*R93*$T$5))/2)*$O$7*1.15),IF(N93="Hostile",(((($AB$7*Q93)+($AF$7*R93*$T$5))/2)*$O$7*1.15))))</f>
        <v>784795.42359260004</v>
      </c>
      <c r="AD93" s="1"/>
      <c r="AE93" s="1"/>
      <c r="AF93" s="1"/>
      <c r="AI93" s="9"/>
      <c r="AJ93" s="1"/>
      <c r="AK93" s="1"/>
      <c r="AL93" s="1"/>
      <c r="AM93" s="1"/>
      <c r="AN93" s="1"/>
      <c r="AO93" s="1"/>
      <c r="AP93" s="9"/>
      <c r="AQ93" s="3"/>
      <c r="AR93" s="4"/>
      <c r="AS93" s="1"/>
      <c r="AT93" s="1"/>
      <c r="AU93" s="1"/>
      <c r="AV93" s="1"/>
      <c r="AW93" s="1"/>
      <c r="AX93" s="3"/>
      <c r="AY93" s="3"/>
      <c r="AZ93" s="5"/>
      <c r="BA93" s="5"/>
      <c r="BB93" s="5"/>
      <c r="BC93" s="5"/>
      <c r="BD93" s="6"/>
      <c r="BE93" s="6"/>
      <c r="BF93" s="12"/>
      <c r="BG93" s="12"/>
      <c r="BH93" s="12"/>
      <c r="BI93" s="12"/>
      <c r="BJ93" s="12"/>
    </row>
    <row r="94" spans="2:62" x14ac:dyDescent="0.25">
      <c r="B94" s="1" t="s">
        <v>1180</v>
      </c>
      <c r="C94" s="1" t="s">
        <v>1449</v>
      </c>
      <c r="D94" s="1" t="s">
        <v>1190</v>
      </c>
      <c r="E94" s="1" t="s">
        <v>1450</v>
      </c>
      <c r="F94" s="1" t="s">
        <v>1451</v>
      </c>
      <c r="G94" s="1" t="s">
        <v>1218</v>
      </c>
      <c r="H94" s="1" t="s">
        <v>1219</v>
      </c>
      <c r="I94" s="7" t="s">
        <v>1187</v>
      </c>
      <c r="J94" s="44">
        <v>1</v>
      </c>
      <c r="K94" s="45">
        <v>1</v>
      </c>
      <c r="L94" s="1">
        <v>997</v>
      </c>
      <c r="M94" s="1" t="s">
        <v>1188</v>
      </c>
      <c r="N94" s="1" t="s">
        <v>1141</v>
      </c>
      <c r="O94" s="1" t="s">
        <v>1189</v>
      </c>
      <c r="P94" s="7" t="s">
        <v>1073</v>
      </c>
      <c r="Q94" s="44">
        <f>IF($L94=996,Multipliers!C$174,IF($L94=997,Multipliers!C$175,IF($L94=998,Multipliers!C$176,"NONE")))</f>
        <v>1.3</v>
      </c>
      <c r="R94" s="44">
        <f>IF($L94=996,Multipliers!C$5,IF($L94=997,Multipliers!C$6,IF($L94=998,Multipliers!C$7,"NONE")))</f>
        <v>1.34</v>
      </c>
      <c r="S94" s="46">
        <f t="shared" si="28"/>
        <v>576770.33050000016</v>
      </c>
      <c r="T94" s="46">
        <f t="shared" si="29"/>
        <v>595942.1664000001</v>
      </c>
      <c r="U94" s="46">
        <f t="shared" ref="U94:U109" si="31">IF(O94="E",$T$3*T94,IF(O94="C",$T$4*T94,IF(O94="W",$T$5*T94,1)))</f>
        <v>589982.74473600008</v>
      </c>
      <c r="V94" s="46">
        <f>((S94+U94)/2*1.15)</f>
        <v>670883.01826070005</v>
      </c>
      <c r="W94" s="47">
        <f t="shared" si="30"/>
        <v>670883.01826070005</v>
      </c>
      <c r="X94" s="47"/>
      <c r="Y94" s="48">
        <f>IF(N94="Standard",(((($Z$3*Q94)+($AD$3*R94*$T$5))/2)*$O$7*1.15),IF(N94="Severe",(((($AA$3*Q94)+($AE$3*R94*$T$5))/2)*$O$7*1.15),IF(N94="Hostile",(((($AB$3*Q94)+($AF$3*R94*$T$5))/2)*$O$7*1.15))))</f>
        <v>537627.23286300001</v>
      </c>
      <c r="Z94" s="48">
        <f>IF(N94="Standard",(((($Z$4*Q94)+($AD$4*R94*$T$5))/2)*$O$7*1.15),IF(N94="Severe",(((($AA$4*Q94)+($AE$4*R94*$T$5))/2)*$O$7*1.15),IF(N94="Hostile",(((($AB$4*Q94)+($AF$4*R94*$T$5))/2)*$O$7*1.15))))</f>
        <v>593892.8539060998</v>
      </c>
      <c r="AA94" s="48">
        <f>IF(N94="Standard",(((($Z$5*Q94)+($AD$5*R94*$T$5))/2)*$O$7*1.15),IF(N94="Severe",(((($AA$5*Q94)+($AE$5*R94*$T$5))/2)*$O$7*1.15),IF(N94="Hostile",(((($AB$5*Q94)+($AF$5*R94*$T$5))/2)*$O$7*1.15))))</f>
        <v>670883.01826070005</v>
      </c>
      <c r="AB94" s="48">
        <f>IF(N94="Standard",(((($Z$6*Q94)+($AD$6*R94*$T$5))/2)*$O$7*1.15),IF(N94="Severe",(((($AA$6*Q94)+($AE$6*R94*$T$5))/2)*$O$7*1.15),IF(N94="Hostile",(((($AB$6*Q94)+($AF$6*R94*$T$5))/2)*$O$7*1.15))))</f>
        <v>727154.03193440009</v>
      </c>
      <c r="AC94" s="48">
        <f>IF(N94="Standard",(((($Z$7*Q94)+($AD$7*R94*$T$5))/2)*$O$7*1.15),IF(N94="Severe",(((($AA$7*Q94)+($AE$7*R94*$T$5))/2)*$O$7*1.15),IF(N94="Hostile",(((($AB$7*Q94)+($AF$7*R94*$T$5))/2)*$O$7*1.15))))</f>
        <v>784795.42359260004</v>
      </c>
      <c r="AD94" s="1"/>
      <c r="AE94" s="1"/>
      <c r="AF94" s="1"/>
      <c r="AI94" s="9"/>
      <c r="AJ94" s="1"/>
      <c r="AK94" s="1"/>
      <c r="AL94" s="1"/>
      <c r="AM94" s="1"/>
      <c r="AN94" s="1"/>
      <c r="AO94" s="1"/>
      <c r="AP94" s="9"/>
      <c r="AQ94" s="3"/>
      <c r="AR94" s="4"/>
      <c r="AS94" s="1"/>
      <c r="AT94" s="1"/>
      <c r="AU94" s="1"/>
      <c r="AV94" s="1"/>
      <c r="AW94" s="1"/>
      <c r="AX94" s="3"/>
      <c r="AY94" s="3"/>
      <c r="AZ94" s="5"/>
      <c r="BA94" s="5"/>
      <c r="BB94" s="5"/>
      <c r="BC94" s="5"/>
      <c r="BD94" s="6"/>
      <c r="BE94" s="6"/>
      <c r="BF94" s="12"/>
      <c r="BG94" s="12"/>
      <c r="BH94" s="12"/>
      <c r="BI94" s="12"/>
      <c r="BJ94" s="12"/>
    </row>
    <row r="95" spans="2:62" x14ac:dyDescent="0.25">
      <c r="B95" s="1" t="s">
        <v>1180</v>
      </c>
      <c r="C95" s="1" t="s">
        <v>1452</v>
      </c>
      <c r="D95" s="1" t="s">
        <v>1190</v>
      </c>
      <c r="E95" s="1" t="s">
        <v>1453</v>
      </c>
      <c r="F95" s="1" t="s">
        <v>1454</v>
      </c>
      <c r="G95" s="1" t="s">
        <v>1249</v>
      </c>
      <c r="H95" s="1" t="s">
        <v>1250</v>
      </c>
      <c r="I95" s="7" t="s">
        <v>1187</v>
      </c>
      <c r="J95" s="44">
        <v>1</v>
      </c>
      <c r="K95" s="45">
        <v>1</v>
      </c>
      <c r="L95" s="1">
        <v>996</v>
      </c>
      <c r="M95" s="1" t="s">
        <v>1188</v>
      </c>
      <c r="N95" s="1" t="s">
        <v>1141</v>
      </c>
      <c r="O95" s="1" t="s">
        <v>1189</v>
      </c>
      <c r="P95" s="1" t="s">
        <v>1190</v>
      </c>
      <c r="Q95" s="44">
        <f>IF($L95=996,Multipliers!C$174,IF($L95=997,Multipliers!C$175,IF($L95=998,Multipliers!C$176,"NONE")))</f>
        <v>1.29</v>
      </c>
      <c r="R95" s="44">
        <f>IF($L95=996,Multipliers!C$5,IF($L95=997,Multipliers!C$6,IF($L95=998,Multipliers!C$7,"NONE")))</f>
        <v>1.34</v>
      </c>
      <c r="S95" s="46">
        <f t="shared" si="28"/>
        <v>572333.63565000007</v>
      </c>
      <c r="T95" s="46">
        <f t="shared" si="29"/>
        <v>595942.1664000001</v>
      </c>
      <c r="U95" s="46">
        <f t="shared" si="31"/>
        <v>589982.74473600008</v>
      </c>
      <c r="V95" s="46">
        <f>(S95+U95)/2</f>
        <v>581158.19019300002</v>
      </c>
      <c r="W95" s="47">
        <f t="shared" si="30"/>
        <v>581158.19019300002</v>
      </c>
      <c r="X95" s="47"/>
      <c r="Y95" s="48">
        <f>IF(N95="Standard",(((($Z$3*Q95)+($AD$3*R95*$T$5))/2)*$O$7),IF(N95="Severe",(((($AA$3*Q95)+($AE$3*R95*$T$5))/2)*$O$7),IF(N95="Hostile",(((($AB$3*Q95)+($AF$3*R95*$T$5))/2)*$O$7))))</f>
        <v>465666.31849500001</v>
      </c>
      <c r="Z95" s="48">
        <f>IF(N95="Standard",(((($Z$4*Q95)+($AD$4*R95*$T$5))/2)*$O$7),IF(N95="Severe",(((($AA$4*Q95)+($AE$4*R95*$T$5))/2)*$O$7),IF(N95="Hostile",(((($AB$4*Q95)+($AF$4*R95*$T$5))/2)*$O$7))))</f>
        <v>514428.62433899997</v>
      </c>
      <c r="AA95" s="48">
        <f>IF(N95="Standard",((($Z$5*Q95)+($AD$5*R95*$T$5))/2)*$O$7,IF(N95="Severe",((($AA$5*Q95)+($AE$5*R95*$T$5))/2)*$O$7,IF(N95="Hostile",((($AB$5*Q95)+($AF$5*R95*$T$5))/2)*$O$7)))</f>
        <v>581158.19019300013</v>
      </c>
      <c r="AB95" s="48">
        <f>IF(N95="Standard",((($Z$6*Q95)+($AD$6*R95*$T$5))/2)*$O$7,IF(N95="Severe",((($AA$6*Q95)+($AE$6*R95*$T$5))/2)*$O$7,IF(N95="Hostile",((($AB$6*Q95)+($AF$6*R95*$T$5))/2)*$O$7)))</f>
        <v>629926.37213100016</v>
      </c>
      <c r="AC95" s="48">
        <f>IF(N95="Standard",((($Z$7*Q95)+($AD$7*R95*$T$5))/2)*$O$7,IF(N95="Severe",((($AA$7*Q95)+($AE$7*R95*$T$5))/2)*$O$7,IF(N95="Hostile",((($AB$7*Q95)+($AF$7*R95*$T$5))/2)*$O$7)))</f>
        <v>679867.06659900001</v>
      </c>
      <c r="AD95" s="1"/>
      <c r="AE95" s="1"/>
      <c r="AF95" s="1"/>
      <c r="AI95" s="9"/>
      <c r="AJ95" s="1"/>
      <c r="AK95" s="1"/>
      <c r="AL95" s="1"/>
      <c r="AM95" s="1"/>
      <c r="AN95" s="1"/>
      <c r="AO95" s="1"/>
      <c r="AP95" s="9"/>
      <c r="AQ95" s="3"/>
      <c r="AR95" s="4"/>
      <c r="AS95" s="1"/>
      <c r="AT95" s="1"/>
      <c r="AU95" s="1"/>
      <c r="AV95" s="1"/>
      <c r="AW95" s="1"/>
      <c r="AX95" s="3"/>
      <c r="AY95" s="3"/>
      <c r="AZ95" s="5"/>
      <c r="BA95" s="5"/>
      <c r="BB95" s="5"/>
      <c r="BC95" s="5"/>
      <c r="BD95" s="6"/>
      <c r="BE95" s="6"/>
      <c r="BF95" s="12"/>
      <c r="BG95" s="12"/>
      <c r="BH95" s="12"/>
      <c r="BI95" s="12"/>
      <c r="BJ95" s="12"/>
    </row>
    <row r="96" spans="2:62" x14ac:dyDescent="0.25">
      <c r="B96" s="1" t="s">
        <v>1180</v>
      </c>
      <c r="C96" s="1" t="s">
        <v>1455</v>
      </c>
      <c r="D96" s="1" t="s">
        <v>1190</v>
      </c>
      <c r="E96" s="1" t="s">
        <v>1456</v>
      </c>
      <c r="F96" s="1" t="s">
        <v>1457</v>
      </c>
      <c r="G96" s="1" t="s">
        <v>1202</v>
      </c>
      <c r="H96" s="1" t="s">
        <v>1203</v>
      </c>
      <c r="I96" s="7" t="s">
        <v>1187</v>
      </c>
      <c r="J96" s="44">
        <v>1</v>
      </c>
      <c r="K96" s="45">
        <v>1</v>
      </c>
      <c r="L96" s="1">
        <v>997</v>
      </c>
      <c r="M96" s="1" t="s">
        <v>1188</v>
      </c>
      <c r="N96" s="1" t="s">
        <v>1141</v>
      </c>
      <c r="O96" s="1" t="s">
        <v>1189</v>
      </c>
      <c r="P96" s="7" t="s">
        <v>1073</v>
      </c>
      <c r="Q96" s="44">
        <f>IF($L96=996,Multipliers!C$174,IF($L96=997,Multipliers!C$175,IF($L96=998,Multipliers!C$176,"NONE")))</f>
        <v>1.3</v>
      </c>
      <c r="R96" s="44">
        <f>IF($L96=996,Multipliers!C$5,IF($L96=997,Multipliers!C$6,IF($L96=998,Multipliers!C$7,"NONE")))</f>
        <v>1.34</v>
      </c>
      <c r="S96" s="46">
        <f t="shared" si="28"/>
        <v>576770.33050000016</v>
      </c>
      <c r="T96" s="46">
        <f t="shared" si="29"/>
        <v>595942.1664000001</v>
      </c>
      <c r="U96" s="46">
        <f t="shared" si="31"/>
        <v>589982.74473600008</v>
      </c>
      <c r="V96" s="46">
        <f>((S96+U96)/2*1.15)</f>
        <v>670883.01826070005</v>
      </c>
      <c r="W96" s="47">
        <f t="shared" si="30"/>
        <v>670883.01826070005</v>
      </c>
      <c r="X96" s="47"/>
      <c r="Y96" s="48">
        <f>IF(N96="Standard",(((($Z$3*Q96)+($AD$3*R96*$T$5))/2)*$O$7*1.15),IF(N96="Severe",(((($AA$3*Q96)+($AE$3*R96*$T$5))/2)*$O$7*1.15),IF(N96="Hostile",(((($AB$3*Q96)+($AF$3*R96*$T$5))/2)*$O$7*1.15))))</f>
        <v>537627.23286300001</v>
      </c>
      <c r="Z96" s="48">
        <f>IF(N96="Standard",(((($Z$4*Q96)+($AD$4*R96*$T$5))/2)*$O$7*1.15),IF(N96="Severe",(((($AA$4*Q96)+($AE$4*R96*$T$5))/2)*$O$7*1.15),IF(N96="Hostile",(((($AB$4*Q96)+($AF$4*R96*$T$5))/2)*$O$7*1.15))))</f>
        <v>593892.8539060998</v>
      </c>
      <c r="AA96" s="48">
        <f>IF(N96="Standard",(((($Z$5*Q96)+($AD$5*R96*$T$5))/2)*$O$7*1.15),IF(N96="Severe",(((($AA$5*Q96)+($AE$5*R96*$T$5))/2)*$O$7*1.15),IF(N96="Hostile",(((($AB$5*Q96)+($AF$5*R96*$T$5))/2)*$O$7*1.15))))</f>
        <v>670883.01826070005</v>
      </c>
      <c r="AB96" s="48">
        <f>IF(N96="Standard",(((($Z$6*Q96)+($AD$6*R96*$T$5))/2)*$O$7*1.15),IF(N96="Severe",(((($AA$6*Q96)+($AE$6*R96*$T$5))/2)*$O$7*1.15),IF(N96="Hostile",(((($AB$6*Q96)+($AF$6*R96*$T$5))/2)*$O$7*1.15))))</f>
        <v>727154.03193440009</v>
      </c>
      <c r="AC96" s="48">
        <f>IF(N96="Standard",(((($Z$7*Q96)+($AD$7*R96*$T$5))/2)*$O$7*1.15),IF(N96="Severe",(((($AA$7*Q96)+($AE$7*R96*$T$5))/2)*$O$7*1.15),IF(N96="Hostile",(((($AB$7*Q96)+($AF$7*R96*$T$5))/2)*$O$7*1.15))))</f>
        <v>784795.42359260004</v>
      </c>
      <c r="AD96" s="1"/>
      <c r="AE96" s="1"/>
      <c r="AF96" s="1"/>
      <c r="AI96" s="9"/>
      <c r="AJ96" s="1"/>
      <c r="AK96" s="1"/>
      <c r="AL96" s="1"/>
      <c r="AM96" s="1"/>
      <c r="AN96" s="1"/>
      <c r="AO96" s="1"/>
      <c r="AP96" s="9"/>
      <c r="AQ96" s="3"/>
      <c r="AR96" s="4"/>
      <c r="AS96" s="1"/>
      <c r="AT96" s="1"/>
      <c r="AU96" s="1"/>
      <c r="AV96" s="1"/>
      <c r="AW96" s="1"/>
      <c r="AX96" s="3"/>
      <c r="AY96" s="3"/>
      <c r="AZ96" s="5"/>
      <c r="BA96" s="5"/>
      <c r="BB96" s="5"/>
      <c r="BC96" s="5"/>
      <c r="BD96" s="6"/>
      <c r="BE96" s="6"/>
      <c r="BF96" s="12"/>
      <c r="BG96" s="12"/>
      <c r="BH96" s="12"/>
      <c r="BI96" s="12"/>
      <c r="BJ96" s="12"/>
    </row>
    <row r="97" spans="2:62" x14ac:dyDescent="0.25">
      <c r="B97" s="1" t="s">
        <v>1180</v>
      </c>
      <c r="C97" s="1" t="s">
        <v>1458</v>
      </c>
      <c r="D97" s="1" t="s">
        <v>1190</v>
      </c>
      <c r="E97" s="1" t="s">
        <v>1459</v>
      </c>
      <c r="F97" s="1" t="s">
        <v>1460</v>
      </c>
      <c r="G97" s="1" t="s">
        <v>1218</v>
      </c>
      <c r="H97" s="1" t="s">
        <v>1219</v>
      </c>
      <c r="I97" s="7" t="s">
        <v>1187</v>
      </c>
      <c r="J97" s="44">
        <v>1</v>
      </c>
      <c r="K97" s="45">
        <v>1</v>
      </c>
      <c r="L97" s="1">
        <v>998</v>
      </c>
      <c r="M97" s="1" t="s">
        <v>1188</v>
      </c>
      <c r="N97" s="1" t="s">
        <v>1141</v>
      </c>
      <c r="O97" s="1" t="s">
        <v>1189</v>
      </c>
      <c r="P97" s="7" t="s">
        <v>1074</v>
      </c>
      <c r="Q97" s="44">
        <f>IF($L97=996,Multipliers!C$174,IF($L97=997,Multipliers!C$175,IF($L97=998,Multipliers!C$176,"NONE")))</f>
        <v>1.34</v>
      </c>
      <c r="R97" s="44">
        <f>IF($L97=996,Multipliers!C$5,IF($L97=997,Multipliers!C$6,IF($L97=998,Multipliers!C$7,"NONE")))</f>
        <v>1.36</v>
      </c>
      <c r="S97" s="46">
        <f t="shared" si="28"/>
        <v>594517.10990000016</v>
      </c>
      <c r="T97" s="46">
        <f t="shared" si="29"/>
        <v>604836.82559999998</v>
      </c>
      <c r="U97" s="46">
        <f t="shared" si="31"/>
        <v>598788.45734399999</v>
      </c>
      <c r="V97" s="46">
        <f>((S97+U97)/2*1.2)</f>
        <v>715983.34034640016</v>
      </c>
      <c r="W97" s="47">
        <f t="shared" si="30"/>
        <v>715983.34034640016</v>
      </c>
      <c r="X97" s="47"/>
      <c r="Y97" s="48">
        <f>IF(N97="Standard",(((($Z$3*Q97)+($AD$3*R97*$T$5))/2)*$O$7*1.2),IF(N97="Severe",(((($AA$3*Q97)+($AE$3*R97*$T$5))/2)*$O$7*1.2),IF(N97="Hostile",(((($AB$3*Q97)+($AF$3*R97*$T$5))/2)*$O$7*1.2))))</f>
        <v>573912.50187599997</v>
      </c>
      <c r="Z97" s="48">
        <f>IF(N97="Standard",(((($Z$4*Q97)+($AD$4*R97*$T$5))/2)*$O$7*1.2),IF(N97="Severe",(((($AA$4*Q97)+($AE$4*R97*$T$5))/2)*$O$7*1.2),IF(N97="Hostile",(((($AB$4*Q97)+($AF$4*R97*$T$5))/2)*$O$7*1.2))))</f>
        <v>633906.89508719998</v>
      </c>
      <c r="AA97" s="48">
        <f>IF(N97="Standard",(((($Z$5*Q97)+($AD$5*R97*$T$5))/2)*$O$7*1.2),IF(N97="Severe",(((($AA$5*Q97)+($AE$5*R97*$T$5))/2)*$O$7*1.2),IF(N97="Hostile",((($AB$5*Q97)+($AF$5*R97*$T$5))/2)*$O$7*1.2)))</f>
        <v>715983.34034640016</v>
      </c>
      <c r="AB97" s="48">
        <f>IF(N97="Standard",(((($Z$6*Q97)+($AD$6*R97*$T$5))/2)*$O$7*1.2),IF(N97="Severe",(((($AA$6*Q97)+($AE$6*R97*$T$5))/2)*$O$7*1.2),IF(N97="Hostile",((($AB$6*Q97)+($AF$6*R97*$T$5))/2)*$O$7*1.2)))</f>
        <v>775980.51116880018</v>
      </c>
      <c r="AC97" s="48">
        <f>IF(N97="Standard",((($Z$7*Q97)+($AD$7*R97*$T$5))/2)*$O$7*1.2,IF(N97="Severe",((($AA$7*Q97)+($AE$7*R97*$T$5))/2)*$O$7*1.2,IF(N97="Hostile",((($AB$7*Q97)+($AF$7*R97*$T$5))/2)*$O$7*1.2)))</f>
        <v>837476.24333520012</v>
      </c>
      <c r="AD97" s="1"/>
      <c r="AE97" s="1"/>
      <c r="AF97" s="1"/>
      <c r="AI97" s="9"/>
      <c r="AJ97" s="1"/>
      <c r="AK97" s="1"/>
      <c r="AL97" s="1"/>
      <c r="AM97" s="1"/>
      <c r="AN97" s="1"/>
      <c r="AO97" s="1"/>
      <c r="AP97" s="9"/>
      <c r="AQ97" s="3"/>
      <c r="AR97" s="4"/>
      <c r="AS97" s="1"/>
      <c r="AT97" s="1"/>
      <c r="AU97" s="1"/>
      <c r="AV97" s="1"/>
      <c r="AW97" s="1"/>
      <c r="AX97" s="3"/>
      <c r="AY97" s="3"/>
      <c r="AZ97" s="5"/>
      <c r="BA97" s="5"/>
      <c r="BB97" s="5"/>
      <c r="BC97" s="5"/>
      <c r="BD97" s="6"/>
      <c r="BE97" s="6"/>
      <c r="BF97" s="12"/>
      <c r="BG97" s="12"/>
      <c r="BH97" s="12"/>
      <c r="BI97" s="12"/>
      <c r="BJ97" s="12"/>
    </row>
    <row r="98" spans="2:62" x14ac:dyDescent="0.25">
      <c r="B98" s="1" t="s">
        <v>1180</v>
      </c>
      <c r="C98" s="1" t="s">
        <v>1461</v>
      </c>
      <c r="D98" s="1" t="s">
        <v>1190</v>
      </c>
      <c r="E98" s="1" t="s">
        <v>1462</v>
      </c>
      <c r="F98" s="1" t="s">
        <v>1463</v>
      </c>
      <c r="G98" s="1" t="s">
        <v>1218</v>
      </c>
      <c r="H98" s="1" t="s">
        <v>1219</v>
      </c>
      <c r="I98" s="7" t="s">
        <v>1187</v>
      </c>
      <c r="J98" s="44">
        <v>1</v>
      </c>
      <c r="K98" s="45">
        <v>1</v>
      </c>
      <c r="L98" s="1">
        <v>998</v>
      </c>
      <c r="M98" s="1" t="s">
        <v>1188</v>
      </c>
      <c r="N98" s="1" t="s">
        <v>1141</v>
      </c>
      <c r="O98" s="1" t="s">
        <v>1189</v>
      </c>
      <c r="P98" s="7" t="s">
        <v>1074</v>
      </c>
      <c r="Q98" s="44">
        <f>IF($L98=996,Multipliers!C$174,IF($L98=997,Multipliers!C$175,IF($L98=998,Multipliers!C$176,"NONE")))</f>
        <v>1.34</v>
      </c>
      <c r="R98" s="44">
        <f>IF($L98=996,Multipliers!C$5,IF($L98=997,Multipliers!C$6,IF($L98=998,Multipliers!C$7,"NONE")))</f>
        <v>1.36</v>
      </c>
      <c r="S98" s="46">
        <f t="shared" si="28"/>
        <v>594517.10990000016</v>
      </c>
      <c r="T98" s="46">
        <f t="shared" si="29"/>
        <v>604836.82559999998</v>
      </c>
      <c r="U98" s="46">
        <f t="shared" si="31"/>
        <v>598788.45734399999</v>
      </c>
      <c r="V98" s="46">
        <f>((S98+U98)/2*1.2)</f>
        <v>715983.34034640016</v>
      </c>
      <c r="W98" s="47">
        <f t="shared" si="30"/>
        <v>715983.34034640016</v>
      </c>
      <c r="X98" s="47"/>
      <c r="Y98" s="48">
        <f>IF(N98="Standard",(((($Z$3*Q98)+($AD$3*R98*$T$5))/2)*$O$7*1.2),IF(N98="Severe",(((($AA$3*Q98)+($AE$3*R98*$T$5))/2)*$O$7*1.2),IF(N98="Hostile",(((($AB$3*Q98)+($AF$3*R98*$T$5))/2)*$O$7*1.2))))</f>
        <v>573912.50187599997</v>
      </c>
      <c r="Z98" s="48">
        <f>IF(N98="Standard",(((($Z$4*Q98)+($AD$4*R98*$T$5))/2)*$O$7*1.2),IF(N98="Severe",(((($AA$4*Q98)+($AE$4*R98*$T$5))/2)*$O$7*1.2),IF(N98="Hostile",(((($AB$4*Q98)+($AF$4*R98*$T$5))/2)*$O$7*1.2))))</f>
        <v>633906.89508719998</v>
      </c>
      <c r="AA98" s="48">
        <f>IF(N98="Standard",(((($Z$5*Q98)+($AD$5*R98*$T$5))/2)*$O$7*1.2),IF(N98="Severe",(((($AA$5*Q98)+($AE$5*R98*$T$5))/2)*$O$7*1.2),IF(N98="Hostile",((($AB$5*Q98)+($AF$5*R98*$T$5))/2)*$O$7*1.2)))</f>
        <v>715983.34034640016</v>
      </c>
      <c r="AB98" s="48">
        <f>IF(N98="Standard",(((($Z$6*Q98)+($AD$6*R98*$T$5))/2)*$O$7*1.2),IF(N98="Severe",(((($AA$6*Q98)+($AE$6*R98*$T$5))/2)*$O$7*1.2),IF(N98="Hostile",((($AB$6*Q98)+($AF$6*R98*$T$5))/2)*$O$7*1.2)))</f>
        <v>775980.51116880018</v>
      </c>
      <c r="AC98" s="48">
        <f>IF(N98="Standard",((($Z$7*Q98)+($AD$7*R98*$T$5))/2)*$O$7*1.2,IF(N98="Severe",((($AA$7*Q98)+($AE$7*R98*$T$5))/2)*$O$7*1.2,IF(N98="Hostile",((($AB$7*Q98)+($AF$7*R98*$T$5))/2)*$O$7*1.2)))</f>
        <v>837476.24333520012</v>
      </c>
      <c r="AD98" s="1"/>
      <c r="AE98" s="1"/>
      <c r="AF98" s="1"/>
      <c r="AI98" s="9"/>
      <c r="AJ98" s="1"/>
      <c r="AK98" s="1"/>
      <c r="AL98" s="1"/>
      <c r="AM98" s="1"/>
      <c r="AN98" s="1"/>
      <c r="AO98" s="1"/>
      <c r="AP98" s="9"/>
      <c r="AQ98" s="3"/>
      <c r="AR98" s="4"/>
      <c r="AS98" s="1"/>
      <c r="AT98" s="1"/>
      <c r="AU98" s="1"/>
      <c r="AV98" s="1"/>
      <c r="AW98" s="1"/>
      <c r="AX98" s="3"/>
      <c r="AY98" s="3"/>
      <c r="AZ98" s="5"/>
      <c r="BA98" s="5"/>
      <c r="BB98" s="5"/>
      <c r="BC98" s="5"/>
      <c r="BD98" s="6"/>
      <c r="BE98" s="6"/>
      <c r="BF98" s="12"/>
      <c r="BG98" s="12"/>
      <c r="BH98" s="12"/>
      <c r="BI98" s="12"/>
      <c r="BJ98" s="12"/>
    </row>
    <row r="99" spans="2:62" x14ac:dyDescent="0.25">
      <c r="B99" s="1" t="s">
        <v>1180</v>
      </c>
      <c r="C99" s="1" t="s">
        <v>1464</v>
      </c>
      <c r="D99" s="1" t="s">
        <v>1190</v>
      </c>
      <c r="E99" s="1" t="s">
        <v>1465</v>
      </c>
      <c r="F99" s="1" t="s">
        <v>1466</v>
      </c>
      <c r="G99" s="1" t="s">
        <v>1249</v>
      </c>
      <c r="H99" s="1" t="s">
        <v>1250</v>
      </c>
      <c r="I99" s="7" t="s">
        <v>1187</v>
      </c>
      <c r="J99" s="44">
        <v>1</v>
      </c>
      <c r="K99" s="45">
        <v>1</v>
      </c>
      <c r="L99" s="1">
        <v>996</v>
      </c>
      <c r="M99" s="1" t="s">
        <v>1188</v>
      </c>
      <c r="N99" s="1" t="s">
        <v>1141</v>
      </c>
      <c r="O99" s="1" t="s">
        <v>1189</v>
      </c>
      <c r="P99" s="1" t="s">
        <v>1190</v>
      </c>
      <c r="Q99" s="44">
        <f>IF($L99=996,Multipliers!C$174,IF($L99=997,Multipliers!C$175,IF($L99=998,Multipliers!C$176,"NONE")))</f>
        <v>1.29</v>
      </c>
      <c r="R99" s="44">
        <f>IF($L99=996,Multipliers!C$5,IF($L99=997,Multipliers!C$6,IF($L99=998,Multipliers!C$7,"NONE")))</f>
        <v>1.34</v>
      </c>
      <c r="S99" s="46">
        <f>IF(N99="Standard",$O$5*Q99*$O$7,IF(N99="Severe",$O$4*Q99*$O$7,IF(N99="Hostile",$O$3*Q99*$O$7)))</f>
        <v>572333.63565000007</v>
      </c>
      <c r="T99" s="46">
        <f>IF(N99="Standard",$P$5*R99*$O$7,IF(N99="Severe",$P$4*R99*$O$7,IF(N99="Hostile",$P$3*R99*$O$7)))</f>
        <v>595942.1664000001</v>
      </c>
      <c r="U99" s="46">
        <f t="shared" si="31"/>
        <v>589982.74473600008</v>
      </c>
      <c r="V99" s="46">
        <f>(S99+U99)/2</f>
        <v>581158.19019300002</v>
      </c>
      <c r="W99" s="47">
        <f>IF(F99=F100,(V99+V100)/2,IF(F99=F98,(V99+V98)/2,IF(F99&lt;&gt;F98,V99)))</f>
        <v>581158.19019300002</v>
      </c>
      <c r="X99" s="47"/>
      <c r="Y99" s="48">
        <f>IF(N99="Standard",(((($Z$3*Q99)+($AD$3*R99*$T$5))/2)*$O$7),IF(N99="Severe",(((($AA$3*Q99)+($AE$3*R99*$T$5))/2)*$O$7),IF(N99="Hostile",(((($AB$3*Q99)+($AF$3*R99*$T$5))/2)*$O$7))))</f>
        <v>465666.31849500001</v>
      </c>
      <c r="Z99" s="48">
        <f>IF(N99="Standard",(((($Z$4*Q99)+($AD$4*R99*$T$5))/2)*$O$7),IF(N99="Severe",(((($AA$4*Q99)+($AE$4*R99*$T$5))/2)*$O$7),IF(N99="Hostile",(((($AB$4*Q99)+($AF$4*R99*$T$5))/2)*$O$7))))</f>
        <v>514428.62433899997</v>
      </c>
      <c r="AA99" s="48">
        <f>IF(N99="Standard",((($Z$5*Q99)+($AD$5*R99*$T$5))/2)*$O$7,IF(N99="Severe",((($AA$5*Q99)+($AE$5*R99*$T$5))/2)*$O$7,IF(N99="Hostile",((($AB$5*Q99)+($AF$5*R99*$T$5))/2)*$O$7)))</f>
        <v>581158.19019300013</v>
      </c>
      <c r="AB99" s="48">
        <f>IF(N99="Standard",((($Z$6*Q99)+($AD$6*R99*$T$5))/2)*$O$7,IF(N99="Severe",((($AA$6*Q99)+($AE$6*R99*$T$5))/2)*$O$7,IF(N99="Hostile",((($AB$6*Q99)+($AF$6*R99*$T$5))/2)*$O$7)))</f>
        <v>629926.37213100016</v>
      </c>
      <c r="AC99" s="48">
        <f>IF(N99="Standard",((($Z$7*Q99)+($AD$7*R99*$T$5))/2)*$O$7,IF(N99="Severe",((($AA$7*Q99)+($AE$7*R99*$T$5))/2)*$O$7,IF(N99="Hostile",((($AB$7*Q99)+($AF$7*R99*$T$5))/2)*$O$7)))</f>
        <v>679867.06659900001</v>
      </c>
      <c r="AD99" s="1"/>
      <c r="AE99" s="1"/>
      <c r="AF99" s="1"/>
      <c r="AI99" s="9"/>
      <c r="AJ99" s="1"/>
      <c r="AK99" s="1"/>
      <c r="AL99" s="1"/>
      <c r="AM99" s="1"/>
      <c r="AN99" s="1"/>
      <c r="AO99" s="1"/>
      <c r="AP99" s="9"/>
      <c r="AQ99" s="3"/>
      <c r="AR99" s="4"/>
      <c r="AS99" s="1"/>
      <c r="AT99" s="1"/>
      <c r="AU99" s="1"/>
      <c r="AV99" s="1"/>
      <c r="AW99" s="1"/>
      <c r="AX99" s="3"/>
      <c r="AY99" s="3"/>
      <c r="AZ99" s="5"/>
      <c r="BA99" s="5"/>
      <c r="BB99" s="5"/>
      <c r="BC99" s="5"/>
      <c r="BD99" s="6"/>
      <c r="BE99" s="6"/>
      <c r="BF99" s="12"/>
      <c r="BG99" s="12"/>
      <c r="BH99" s="12"/>
      <c r="BI99" s="12"/>
      <c r="BJ99" s="12"/>
    </row>
    <row r="100" spans="2:62" x14ac:dyDescent="0.25">
      <c r="B100" s="1" t="s">
        <v>1180</v>
      </c>
      <c r="C100" s="1" t="s">
        <v>1467</v>
      </c>
      <c r="D100" s="1" t="s">
        <v>1190</v>
      </c>
      <c r="E100" s="1" t="s">
        <v>1468</v>
      </c>
      <c r="F100" s="1" t="s">
        <v>1469</v>
      </c>
      <c r="G100" s="1" t="s">
        <v>1223</v>
      </c>
      <c r="H100" s="1" t="s">
        <v>1224</v>
      </c>
      <c r="I100" s="7" t="s">
        <v>1187</v>
      </c>
      <c r="J100" s="44">
        <v>1</v>
      </c>
      <c r="K100" s="45">
        <v>1</v>
      </c>
      <c r="L100" s="1">
        <v>997</v>
      </c>
      <c r="M100" s="1" t="s">
        <v>1188</v>
      </c>
      <c r="N100" s="1" t="s">
        <v>1141</v>
      </c>
      <c r="O100" s="1" t="s">
        <v>1189</v>
      </c>
      <c r="P100" s="7" t="s">
        <v>1073</v>
      </c>
      <c r="Q100" s="44">
        <f>IF($L100=996,Multipliers!C$174,IF($L100=997,Multipliers!C$175,IF($L100=998,Multipliers!C$176,"NONE")))</f>
        <v>1.3</v>
      </c>
      <c r="R100" s="44">
        <f>IF($L100=996,Multipliers!C$5,IF($L100=997,Multipliers!C$6,IF($L100=998,Multipliers!C$7,"NONE")))</f>
        <v>1.34</v>
      </c>
      <c r="S100" s="46">
        <f t="shared" si="28"/>
        <v>576770.33050000016</v>
      </c>
      <c r="T100" s="46">
        <f t="shared" si="29"/>
        <v>595942.1664000001</v>
      </c>
      <c r="U100" s="46">
        <f t="shared" si="31"/>
        <v>589982.74473600008</v>
      </c>
      <c r="V100" s="46">
        <f>((S100+U100)/2*1.15)</f>
        <v>670883.01826070005</v>
      </c>
      <c r="W100" s="47">
        <f>IF(F100=F101,(V100+V101)/2,IF(F100=F99,(V100+V99)/2,IF(F100&lt;&gt;F99,V100)))</f>
        <v>670883.01826070005</v>
      </c>
      <c r="X100" s="47"/>
      <c r="Y100" s="48">
        <f>IF(N100="Standard",(((($Z$3*Q100)+($AD$3*R100*$T$5))/2)*$O$7*1.15),IF(N100="Severe",(((($AA$3*Q100)+($AE$3*R100*$T$5))/2)*$O$7*1.15),IF(N100="Hostile",(((($AB$3*Q100)+($AF$3*R100*$T$5))/2)*$O$7*1.15))))</f>
        <v>537627.23286300001</v>
      </c>
      <c r="Z100" s="48">
        <f>IF(N100="Standard",(((($Z$4*Q100)+($AD$4*R100*$T$5))/2)*$O$7*1.15),IF(N100="Severe",(((($AA$4*Q100)+($AE$4*R100*$T$5))/2)*$O$7*1.15),IF(N100="Hostile",(((($AB$4*Q100)+($AF$4*R100*$T$5))/2)*$O$7*1.15))))</f>
        <v>593892.8539060998</v>
      </c>
      <c r="AA100" s="48">
        <f>IF(N100="Standard",(((($Z$5*Q100)+($AD$5*R100*$T$5))/2)*$O$7*1.15),IF(N100="Severe",(((($AA$5*Q100)+($AE$5*R100*$T$5))/2)*$O$7*1.15),IF(N100="Hostile",(((($AB$5*Q100)+($AF$5*R100*$T$5))/2)*$O$7*1.15))))</f>
        <v>670883.01826070005</v>
      </c>
      <c r="AB100" s="48">
        <f>IF(N100="Standard",(((($Z$6*Q100)+($AD$6*R100*$T$5))/2)*$O$7*1.15),IF(N100="Severe",(((($AA$6*Q100)+($AE$6*R100*$T$5))/2)*$O$7*1.15),IF(N100="Hostile",(((($AB$6*Q100)+($AF$6*R100*$T$5))/2)*$O$7*1.15))))</f>
        <v>727154.03193440009</v>
      </c>
      <c r="AC100" s="48">
        <f>IF(N100="Standard",(((($Z$7*Q100)+($AD$7*R100*$T$5))/2)*$O$7*1.15),IF(N100="Severe",(((($AA$7*Q100)+($AE$7*R100*$T$5))/2)*$O$7*1.15),IF(N100="Hostile",(((($AB$7*Q100)+($AF$7*R100*$T$5))/2)*$O$7*1.15))))</f>
        <v>784795.42359260004</v>
      </c>
      <c r="AD100" s="1"/>
      <c r="AE100" s="1"/>
      <c r="AF100" s="1"/>
      <c r="AI100" s="9"/>
      <c r="AJ100" s="1"/>
      <c r="AK100" s="1"/>
      <c r="AL100" s="1"/>
      <c r="AM100" s="1"/>
      <c r="AN100" s="1"/>
      <c r="AO100" s="1"/>
      <c r="AP100" s="9"/>
      <c r="AQ100" s="3"/>
      <c r="AR100" s="4"/>
      <c r="AS100" s="1"/>
      <c r="AT100" s="1"/>
      <c r="AU100" s="1"/>
      <c r="AV100" s="1"/>
      <c r="AW100" s="1"/>
      <c r="AX100" s="3"/>
      <c r="AY100" s="3"/>
      <c r="AZ100" s="5"/>
      <c r="BA100" s="5"/>
      <c r="BB100" s="5"/>
      <c r="BC100" s="5"/>
      <c r="BD100" s="6"/>
      <c r="BE100" s="6"/>
      <c r="BF100" s="12"/>
      <c r="BG100" s="12"/>
      <c r="BH100" s="12"/>
      <c r="BI100" s="12"/>
      <c r="BJ100" s="12"/>
    </row>
    <row r="101" spans="2:62" x14ac:dyDescent="0.25">
      <c r="B101" s="1" t="s">
        <v>1180</v>
      </c>
      <c r="C101" s="1" t="s">
        <v>1470</v>
      </c>
      <c r="D101" s="1" t="s">
        <v>1190</v>
      </c>
      <c r="E101" s="1" t="s">
        <v>1471</v>
      </c>
      <c r="F101" s="1" t="s">
        <v>1472</v>
      </c>
      <c r="G101" s="1" t="s">
        <v>1223</v>
      </c>
      <c r="H101" s="1" t="s">
        <v>1224</v>
      </c>
      <c r="I101" s="7" t="s">
        <v>1187</v>
      </c>
      <c r="J101" s="44">
        <v>1</v>
      </c>
      <c r="K101" s="45">
        <v>1</v>
      </c>
      <c r="L101" s="1">
        <v>997</v>
      </c>
      <c r="M101" s="1" t="s">
        <v>1188</v>
      </c>
      <c r="N101" s="1" t="s">
        <v>1141</v>
      </c>
      <c r="O101" s="1" t="s">
        <v>1189</v>
      </c>
      <c r="P101" s="7" t="s">
        <v>1073</v>
      </c>
      <c r="Q101" s="44">
        <f>IF($L101=996,Multipliers!C$174,IF($L101=997,Multipliers!C$175,IF($L101=998,Multipliers!C$176,"NONE")))</f>
        <v>1.3</v>
      </c>
      <c r="R101" s="44">
        <f>IF($L101=996,Multipliers!C$5,IF($L101=997,Multipliers!C$6,IF($L101=998,Multipliers!C$7,"NONE")))</f>
        <v>1.34</v>
      </c>
      <c r="S101" s="46">
        <f t="shared" si="28"/>
        <v>576770.33050000016</v>
      </c>
      <c r="T101" s="46">
        <f t="shared" si="29"/>
        <v>595942.1664000001</v>
      </c>
      <c r="U101" s="46">
        <f t="shared" si="31"/>
        <v>589982.74473600008</v>
      </c>
      <c r="V101" s="46">
        <f>((S101+U101)/2*1.15)</f>
        <v>670883.01826070005</v>
      </c>
      <c r="W101" s="47">
        <f>IF(F101=F102,(V101+V102)/2,IF(F101=F100,(V101+V100)/2,IF(F101&lt;&gt;F100,V101)))</f>
        <v>670883.01826070005</v>
      </c>
      <c r="X101" s="47"/>
      <c r="Y101" s="48">
        <f>IF(N101="Standard",(((($Z$3*Q101)+($AD$3*R101*$T$5))/2)*$O$7*1.15),IF(N101="Severe",(((($AA$3*Q101)+($AE$3*R101*$T$5))/2)*$O$7*1.15),IF(N101="Hostile",(((($AB$3*Q101)+($AF$3*R101*$T$5))/2)*$O$7*1.15))))</f>
        <v>537627.23286300001</v>
      </c>
      <c r="Z101" s="48">
        <f>IF(N101="Standard",(((($Z$4*Q101)+($AD$4*R101*$T$5))/2)*$O$7*1.15),IF(N101="Severe",(((($AA$4*Q101)+($AE$4*R101*$T$5))/2)*$O$7*1.15),IF(N101="Hostile",(((($AB$4*Q101)+($AF$4*R101*$T$5))/2)*$O$7*1.15))))</f>
        <v>593892.8539060998</v>
      </c>
      <c r="AA101" s="48">
        <f>IF(N101="Standard",(((($Z$5*Q101)+($AD$5*R101*$T$5))/2)*$O$7*1.15),IF(N101="Severe",(((($AA$5*Q101)+($AE$5*R101*$T$5))/2)*$O$7*1.15),IF(N101="Hostile",(((($AB$5*Q101)+($AF$5*R101*$T$5))/2)*$O$7*1.15))))</f>
        <v>670883.01826070005</v>
      </c>
      <c r="AB101" s="48">
        <f>IF(N101="Standard",(((($Z$6*Q101)+($AD$6*R101*$T$5))/2)*$O$7*1.15),IF(N101="Severe",(((($AA$6*Q101)+($AE$6*R101*$T$5))/2)*$O$7*1.15),IF(N101="Hostile",(((($AB$6*Q101)+($AF$6*R101*$T$5))/2)*$O$7*1.15))))</f>
        <v>727154.03193440009</v>
      </c>
      <c r="AC101" s="48">
        <f>IF(N101="Standard",(((($Z$7*Q101)+($AD$7*R101*$T$5))/2)*$O$7*1.15),IF(N101="Severe",(((($AA$7*Q101)+($AE$7*R101*$T$5))/2)*$O$7*1.15),IF(N101="Hostile",(((($AB$7*Q101)+($AF$7*R101*$T$5))/2)*$O$7*1.15))))</f>
        <v>784795.42359260004</v>
      </c>
      <c r="AD101" s="1"/>
      <c r="AE101" s="1"/>
      <c r="AF101" s="1"/>
      <c r="AI101" s="9"/>
      <c r="AJ101" s="1"/>
      <c r="AK101" s="1"/>
      <c r="AL101" s="1"/>
      <c r="AM101" s="1"/>
      <c r="AN101" s="1"/>
      <c r="AO101" s="1"/>
      <c r="AP101" s="9"/>
      <c r="AQ101" s="3"/>
      <c r="AR101" s="4"/>
      <c r="AS101" s="1"/>
      <c r="AT101" s="1"/>
      <c r="AU101" s="1"/>
      <c r="AV101" s="1"/>
      <c r="AW101" s="1"/>
      <c r="AX101" s="3"/>
      <c r="AY101" s="3"/>
      <c r="AZ101" s="5"/>
      <c r="BA101" s="5"/>
      <c r="BB101" s="5"/>
      <c r="BC101" s="5"/>
      <c r="BD101" s="6"/>
      <c r="BE101" s="6"/>
      <c r="BF101" s="12"/>
      <c r="BG101" s="12"/>
      <c r="BH101" s="12"/>
      <c r="BI101" s="12"/>
      <c r="BJ101" s="12"/>
    </row>
    <row r="102" spans="2:62" x14ac:dyDescent="0.25">
      <c r="B102" s="1" t="s">
        <v>1180</v>
      </c>
      <c r="C102" s="1" t="s">
        <v>1473</v>
      </c>
      <c r="D102" s="1" t="s">
        <v>1190</v>
      </c>
      <c r="E102" s="1" t="s">
        <v>1474</v>
      </c>
      <c r="F102" s="1" t="s">
        <v>1475</v>
      </c>
      <c r="G102" s="1" t="s">
        <v>1294</v>
      </c>
      <c r="H102" s="1" t="s">
        <v>1295</v>
      </c>
      <c r="I102" s="7" t="s">
        <v>1187</v>
      </c>
      <c r="J102" s="44">
        <v>1</v>
      </c>
      <c r="K102" s="45">
        <v>1</v>
      </c>
      <c r="L102" s="1">
        <v>998</v>
      </c>
      <c r="M102" s="1" t="s">
        <v>1188</v>
      </c>
      <c r="N102" s="1" t="s">
        <v>1141</v>
      </c>
      <c r="O102" s="1" t="s">
        <v>1189</v>
      </c>
      <c r="P102" s="7" t="s">
        <v>1074</v>
      </c>
      <c r="Q102" s="44">
        <f>IF($L102=996,Multipliers!C$174,IF($L102=997,Multipliers!C$175,IF($L102=998,Multipliers!C$176,"NONE")))</f>
        <v>1.34</v>
      </c>
      <c r="R102" s="44">
        <f>IF($L102=996,Multipliers!C$5,IF($L102=997,Multipliers!C$6,IF($L102=998,Multipliers!C$7,"NONE")))</f>
        <v>1.36</v>
      </c>
      <c r="S102" s="46">
        <f t="shared" si="28"/>
        <v>594517.10990000016</v>
      </c>
      <c r="T102" s="46">
        <f t="shared" si="29"/>
        <v>604836.82559999998</v>
      </c>
      <c r="U102" s="46">
        <f t="shared" si="31"/>
        <v>598788.45734399999</v>
      </c>
      <c r="V102" s="46">
        <f>((S102+U102)/2*1.2)</f>
        <v>715983.34034640016</v>
      </c>
      <c r="W102" s="47">
        <f>IF(F102=F103,(V102+V103)/2,IF(F102=F101,(V102+V101)/2,IF(F102&lt;&gt;F101,V102)))</f>
        <v>715983.34034640016</v>
      </c>
      <c r="X102" s="47"/>
      <c r="Y102" s="48">
        <f>IF(N102="Standard",(((($Z$3*Q102)+($AD$3*R102*$T$5))/2)*$O$7*1.2),IF(N102="Severe",(((($AA$3*Q102)+($AE$3*R102*$T$5))/2)*$O$7*1.2),IF(N102="Hostile",(((($AB$3*Q102)+($AF$3*R102*$T$5))/2)*$O$7*1.2))))</f>
        <v>573912.50187599997</v>
      </c>
      <c r="Z102" s="48">
        <f>IF(N102="Standard",(((($Z$4*Q102)+($AD$4*R102*$T$5))/2)*$O$7*1.2),IF(N102="Severe",(((($AA$4*Q102)+($AE$4*R102*$T$5))/2)*$O$7*1.2),IF(N102="Hostile",(((($AB$4*Q102)+($AF$4*R102*$T$5))/2)*$O$7*1.2))))</f>
        <v>633906.89508719998</v>
      </c>
      <c r="AA102" s="48">
        <f>IF(N102="Standard",(((($Z$5*Q102)+($AD$5*R102*$T$5))/2)*$O$7*1.2),IF(N102="Severe",(((($AA$5*Q102)+($AE$5*R102*$T$5))/2)*$O$7*1.2),IF(N102="Hostile",((($AB$5*Q102)+($AF$5*R102*$T$5))/2)*$O$7*1.2)))</f>
        <v>715983.34034640016</v>
      </c>
      <c r="AB102" s="48">
        <f>IF(N102="Standard",(((($Z$6*Q102)+($AD$6*R102*$T$5))/2)*$O$7*1.2),IF(N102="Severe",(((($AA$6*Q102)+($AE$6*R102*$T$5))/2)*$O$7*1.2),IF(N102="Hostile",((($AB$6*Q102)+($AF$6*R102*$T$5))/2)*$O$7*1.2)))</f>
        <v>775980.51116880018</v>
      </c>
      <c r="AC102" s="48">
        <f>IF(N102="Standard",((($Z$7*Q102)+($AD$7*R102*$T$5))/2)*$O$7*1.2,IF(N102="Severe",((($AA$7*Q102)+($AE$7*R102*$T$5))/2)*$O$7*1.2,IF(N102="Hostile",((($AB$7*Q102)+($AF$7*R102*$T$5))/2)*$O$7*1.2)))</f>
        <v>837476.24333520012</v>
      </c>
      <c r="AD102" s="1"/>
      <c r="AE102" s="1"/>
      <c r="AF102" s="1"/>
      <c r="AI102" s="9"/>
      <c r="AJ102" s="1"/>
      <c r="AK102" s="1"/>
      <c r="AL102" s="1"/>
      <c r="AM102" s="1"/>
      <c r="AN102" s="1"/>
      <c r="AO102" s="1"/>
      <c r="AP102" s="9"/>
      <c r="AQ102" s="3"/>
      <c r="AR102" s="4"/>
      <c r="AS102" s="1"/>
      <c r="AT102" s="1"/>
      <c r="AU102" s="1"/>
      <c r="AV102" s="1"/>
      <c r="AW102" s="1"/>
      <c r="AX102" s="3"/>
      <c r="AY102" s="3"/>
      <c r="AZ102" s="5"/>
      <c r="BA102" s="5"/>
      <c r="BB102" s="5"/>
      <c r="BC102" s="5"/>
      <c r="BD102" s="6"/>
      <c r="BE102" s="6"/>
      <c r="BF102" s="12"/>
      <c r="BG102" s="12"/>
      <c r="BH102" s="12"/>
      <c r="BI102" s="12"/>
      <c r="BJ102" s="12"/>
    </row>
    <row r="103" spans="2:62" x14ac:dyDescent="0.25">
      <c r="B103" s="1" t="s">
        <v>1180</v>
      </c>
      <c r="C103" s="1" t="s">
        <v>1181</v>
      </c>
      <c r="D103" s="1" t="s">
        <v>1476</v>
      </c>
      <c r="E103" s="1" t="s">
        <v>1477</v>
      </c>
      <c r="F103" s="1" t="s">
        <v>1478</v>
      </c>
      <c r="G103" s="1" t="s">
        <v>1241</v>
      </c>
      <c r="H103" s="1" t="s">
        <v>1242</v>
      </c>
      <c r="I103" s="7" t="s">
        <v>1187</v>
      </c>
      <c r="J103" s="44">
        <v>1</v>
      </c>
      <c r="K103" s="45">
        <v>4</v>
      </c>
      <c r="L103" s="1">
        <v>998</v>
      </c>
      <c r="M103" s="1" t="s">
        <v>1188</v>
      </c>
      <c r="N103" s="1" t="s">
        <v>1141</v>
      </c>
      <c r="O103" s="1" t="s">
        <v>1189</v>
      </c>
      <c r="P103" s="7" t="s">
        <v>1074</v>
      </c>
      <c r="Q103" s="44">
        <f>IF($L103=996,Multipliers!C$174,IF($L103=997,Multipliers!C$175,IF($L103=998,Multipliers!C$176,"NONE")))</f>
        <v>1.34</v>
      </c>
      <c r="R103" s="44">
        <f>IF($L103=996,Multipliers!C$5,IF($L103=997,Multipliers!C$6,IF($L103=998,Multipliers!C$7,"NONE")))</f>
        <v>1.36</v>
      </c>
      <c r="S103" s="46">
        <f>IF(N103="Standard",$O$5*Q103*$O$7,IF(N103="Severe",$O$4*Q103*$O$7,IF(N103="Hostile",$O$3*Q103*$O$7)))</f>
        <v>594517.10990000016</v>
      </c>
      <c r="T103" s="46">
        <f>IF(N103="Standard",$P$5*R103*$O$7,IF(N103="Severe",$P$4*R103*$O$7,IF(N103="Hostile",$P$3*R103*$O$7)))</f>
        <v>604836.82559999998</v>
      </c>
      <c r="U103" s="46">
        <f t="shared" si="31"/>
        <v>598788.45734399999</v>
      </c>
      <c r="V103" s="46">
        <f>((S103+U103)/2*1.2)</f>
        <v>715983.34034640016</v>
      </c>
      <c r="W103" s="47">
        <f t="shared" si="30"/>
        <v>715983.34034640016</v>
      </c>
      <c r="X103" s="47"/>
      <c r="Y103" s="48">
        <f>IF(N103="Standard",(((($Z$3*Q103)+($AD$3*R103*$T$5))/2)*$O$7*1.2),IF(N103="Severe",(((($AA$3*Q103)+($AE$3*R103*$T$5))/2)*$O$7*1.2),IF(N103="Hostile",(((($AB$3*Q103)+($AF$3*R103*$T$5))/2)*$O$7*1.2))))</f>
        <v>573912.50187599997</v>
      </c>
      <c r="Z103" s="48">
        <f>IF(N103="Standard",(((($Z$4*Q103)+($AD$4*R103*$T$5))/2)*$O$7*1.2),IF(N103="Severe",(((($AA$4*Q103)+($AE$4*R103*$T$5))/2)*$O$7*1.2),IF(N103="Hostile",(((($AB$4*Q103)+($AF$4*R103*$T$5))/2)*$O$7*1.2))))</f>
        <v>633906.89508719998</v>
      </c>
      <c r="AA103" s="48">
        <f>IF(N103="Standard",(((($Z$5*Q103)+($AD$5*R103*$T$5))/2)*$O$7*1.2),IF(N103="Severe",(((($AA$5*Q103)+($AE$5*R103*$T$5))/2)*$O$7*1.2),IF(N103="Hostile",((($AB$5*Q103)+($AF$5*R103*$T$5))/2)*$O$7*1.2)))</f>
        <v>715983.34034640016</v>
      </c>
      <c r="AB103" s="48">
        <f>IF(N103="Standard",(((($Z$6*Q103)+($AD$6*R103*$T$5))/2)*$O$7*1.2),IF(N103="Severe",(((($AA$6*Q103)+($AE$6*R103*$T$5))/2)*$O$7*1.2),IF(N103="Hostile",((($AB$6*Q103)+($AF$6*R103*$T$5))/2)*$O$7*1.2)))</f>
        <v>775980.51116880018</v>
      </c>
      <c r="AC103" s="48">
        <f>IF(N103="Standard",((($Z$7*Q103)+($AD$7*R103*$T$5))/2)*$O$7*1.2,IF(N103="Severe",((($AA$7*Q103)+($AE$7*R103*$T$5))/2)*$O$7*1.2,IF(N103="Hostile",((($AB$7*Q103)+($AF$7*R103*$T$5))/2)*$O$7*1.2)))</f>
        <v>837476.24333520012</v>
      </c>
      <c r="AD103" s="1"/>
      <c r="AE103" s="1"/>
      <c r="AF103" s="1"/>
      <c r="AI103" s="9"/>
      <c r="AJ103" s="1"/>
      <c r="AK103" s="1"/>
      <c r="AL103" s="1"/>
      <c r="AM103" s="1"/>
      <c r="AN103" s="1"/>
      <c r="AO103" s="1"/>
      <c r="AP103" s="9"/>
      <c r="AQ103" s="3"/>
      <c r="AR103" s="4"/>
      <c r="AS103" s="1"/>
      <c r="AT103" s="1"/>
      <c r="AU103" s="1"/>
      <c r="AV103" s="1"/>
      <c r="AW103" s="1"/>
      <c r="AX103" s="3"/>
      <c r="AY103" s="3"/>
      <c r="AZ103" s="5"/>
      <c r="BA103" s="5"/>
      <c r="BB103" s="5"/>
      <c r="BC103" s="5"/>
      <c r="BD103" s="6"/>
      <c r="BE103" s="6"/>
      <c r="BF103" s="12"/>
      <c r="BG103" s="12"/>
      <c r="BH103" s="12"/>
      <c r="BI103" s="12"/>
      <c r="BJ103" s="12"/>
    </row>
    <row r="104" spans="2:62" x14ac:dyDescent="0.25">
      <c r="B104" s="1" t="s">
        <v>1180</v>
      </c>
      <c r="C104" s="1" t="s">
        <v>1479</v>
      </c>
      <c r="D104" s="1" t="s">
        <v>1190</v>
      </c>
      <c r="E104" s="1" t="s">
        <v>1480</v>
      </c>
      <c r="F104" s="1" t="s">
        <v>1481</v>
      </c>
      <c r="G104" s="1" t="s">
        <v>1223</v>
      </c>
      <c r="H104" s="1" t="s">
        <v>1224</v>
      </c>
      <c r="I104" s="7" t="s">
        <v>1187</v>
      </c>
      <c r="J104" s="44">
        <v>1</v>
      </c>
      <c r="K104" s="45">
        <v>1</v>
      </c>
      <c r="L104" s="1">
        <v>997</v>
      </c>
      <c r="M104" s="1" t="s">
        <v>1188</v>
      </c>
      <c r="N104" s="1" t="s">
        <v>1141</v>
      </c>
      <c r="O104" s="1" t="s">
        <v>1189</v>
      </c>
      <c r="P104" s="7" t="s">
        <v>1073</v>
      </c>
      <c r="Q104" s="44">
        <f>IF($L104=996,Multipliers!C$174,IF($L104=997,Multipliers!C$175,IF($L104=998,Multipliers!C$176,"NONE")))</f>
        <v>1.3</v>
      </c>
      <c r="R104" s="44">
        <f>IF($L104=996,Multipliers!C$5,IF($L104=997,Multipliers!C$6,IF($L104=998,Multipliers!C$7,"NONE")))</f>
        <v>1.34</v>
      </c>
      <c r="S104" s="46">
        <f t="shared" si="28"/>
        <v>576770.33050000016</v>
      </c>
      <c r="T104" s="46">
        <f t="shared" si="29"/>
        <v>595942.1664000001</v>
      </c>
      <c r="U104" s="46">
        <f t="shared" si="31"/>
        <v>589982.74473600008</v>
      </c>
      <c r="V104" s="46">
        <f>((S104+U104)/2*1.15)</f>
        <v>670883.01826070005</v>
      </c>
      <c r="W104" s="47">
        <f>IF(F104=F105,(V104+V105)/2,IF(F104=F103,(V104+V103)/2,IF(F104&lt;&gt;F103,V104)))</f>
        <v>670883.01826070005</v>
      </c>
      <c r="X104" s="47"/>
      <c r="Y104" s="48">
        <f>IF(N104="Standard",(((($Z$3*Q104)+($AD$3*R104*$T$5))/2)*$O$7*1.15),IF(N104="Severe",(((($AA$3*Q104)+($AE$3*R104*$T$5))/2)*$O$7*1.15),IF(N104="Hostile",(((($AB$3*Q104)+($AF$3*R104*$T$5))/2)*$O$7*1.15))))</f>
        <v>537627.23286300001</v>
      </c>
      <c r="Z104" s="48">
        <f>IF(N104="Standard",(((($Z$4*Q104)+($AD$4*R104*$T$5))/2)*$O$7*1.15),IF(N104="Severe",(((($AA$4*Q104)+($AE$4*R104*$T$5))/2)*$O$7*1.15),IF(N104="Hostile",(((($AB$4*Q104)+($AF$4*R104*$T$5))/2)*$O$7*1.15))))</f>
        <v>593892.8539060998</v>
      </c>
      <c r="AA104" s="48">
        <f>IF(N104="Standard",(((($Z$5*Q104)+($AD$5*R104*$T$5))/2)*$O$7*1.15),IF(N104="Severe",(((($AA$5*Q104)+($AE$5*R104*$T$5))/2)*$O$7*1.15),IF(N104="Hostile",(((($AB$5*Q104)+($AF$5*R104*$T$5))/2)*$O$7*1.15))))</f>
        <v>670883.01826070005</v>
      </c>
      <c r="AB104" s="48">
        <f>IF(N104="Standard",(((($Z$6*Q104)+($AD$6*R104*$T$5))/2)*$O$7*1.15),IF(N104="Severe",(((($AA$6*Q104)+($AE$6*R104*$T$5))/2)*$O$7*1.15),IF(N104="Hostile",(((($AB$6*Q104)+($AF$6*R104*$T$5))/2)*$O$7*1.15))))</f>
        <v>727154.03193440009</v>
      </c>
      <c r="AC104" s="48">
        <f>IF(N104="Standard",(((($Z$7*Q104)+($AD$7*R104*$T$5))/2)*$O$7*1.15),IF(N104="Severe",(((($AA$7*Q104)+($AE$7*R104*$T$5))/2)*$O$7*1.15),IF(N104="Hostile",(((($AB$7*Q104)+($AF$7*R104*$T$5))/2)*$O$7*1.15))))</f>
        <v>784795.42359260004</v>
      </c>
      <c r="AD104" s="1"/>
      <c r="AE104" s="1"/>
      <c r="AF104" s="1"/>
      <c r="AI104" s="9"/>
      <c r="AJ104" s="1"/>
      <c r="AK104" s="1"/>
      <c r="AL104" s="1"/>
      <c r="AM104" s="1"/>
      <c r="AN104" s="1"/>
      <c r="AO104" s="1"/>
      <c r="AP104" s="9"/>
      <c r="AQ104" s="3"/>
      <c r="AR104" s="4"/>
      <c r="AS104" s="1"/>
      <c r="AT104" s="1"/>
      <c r="AU104" s="1"/>
      <c r="AV104" s="1"/>
      <c r="AW104" s="1"/>
      <c r="AX104" s="3"/>
      <c r="AY104" s="3"/>
      <c r="AZ104" s="5"/>
      <c r="BA104" s="5"/>
      <c r="BB104" s="5"/>
      <c r="BC104" s="5"/>
      <c r="BD104" s="6"/>
      <c r="BE104" s="6"/>
      <c r="BF104" s="12"/>
      <c r="BG104" s="12"/>
      <c r="BH104" s="12"/>
      <c r="BI104" s="12"/>
      <c r="BJ104" s="12"/>
    </row>
    <row r="105" spans="2:62" x14ac:dyDescent="0.25">
      <c r="B105" s="1" t="s">
        <v>1180</v>
      </c>
      <c r="C105" s="1" t="s">
        <v>1181</v>
      </c>
      <c r="D105" s="1" t="s">
        <v>1482</v>
      </c>
      <c r="E105" s="1" t="s">
        <v>1483</v>
      </c>
      <c r="F105" s="1" t="s">
        <v>1484</v>
      </c>
      <c r="G105" s="1" t="s">
        <v>1185</v>
      </c>
      <c r="H105" s="1" t="s">
        <v>1186</v>
      </c>
      <c r="I105" s="7" t="s">
        <v>1187</v>
      </c>
      <c r="J105" s="44">
        <v>1</v>
      </c>
      <c r="K105" s="45">
        <v>1</v>
      </c>
      <c r="L105" s="1">
        <v>997</v>
      </c>
      <c r="M105" s="1" t="s">
        <v>1188</v>
      </c>
      <c r="N105" s="1" t="s">
        <v>1141</v>
      </c>
      <c r="O105" s="1" t="s">
        <v>1189</v>
      </c>
      <c r="P105" s="7" t="s">
        <v>1073</v>
      </c>
      <c r="Q105" s="44">
        <f>IF($L105=996,Multipliers!C$174,IF($L105=997,Multipliers!C$175,IF($L105=998,Multipliers!C$176,"NONE")))</f>
        <v>1.3</v>
      </c>
      <c r="R105" s="44">
        <f>IF($L105=996,Multipliers!C$5,IF($L105=997,Multipliers!C$6,IF($L105=998,Multipliers!C$7,"NONE")))</f>
        <v>1.34</v>
      </c>
      <c r="S105" s="46">
        <f>IF(N105="Standard",$O$5*Q105*$O$7,IF(N105="Severe",$O$4*Q105*$O$7,IF(N105="Hostile",$O$3*Q105*$O$7)))</f>
        <v>576770.33050000016</v>
      </c>
      <c r="T105" s="46">
        <f>IF(N105="Standard",$P$5*R105*$O$7,IF(N105="Severe",$P$4*R105*$O$7,IF(N105="Hostile",$P$3*R105*$O$7)))</f>
        <v>595942.1664000001</v>
      </c>
      <c r="U105" s="46">
        <f t="shared" si="31"/>
        <v>589982.74473600008</v>
      </c>
      <c r="V105" s="46">
        <f>((S105+U105)/2*1.15)</f>
        <v>670883.01826070005</v>
      </c>
      <c r="W105" s="47">
        <f>IF(F105=F106,(V105+V106)/2,IF(F105=F104,(V105+V104)/2,IF(F105&lt;&gt;F104,V105)))</f>
        <v>670883.01826070005</v>
      </c>
      <c r="X105" s="47"/>
      <c r="Y105" s="48">
        <f>IF(N105="Standard",(((($Z$3*Q105)+($AD$3*R105*$T$5))/2)*$O$7*1.15),IF(N105="Severe",(((($AA$3*Q105)+($AE$3*R105*$T$5))/2)*$O$7*1.15),IF(N105="Hostile",(((($AB$3*Q105)+($AF$3*R105*$T$5))/2)*$O$7*1.15))))</f>
        <v>537627.23286300001</v>
      </c>
      <c r="Z105" s="48">
        <f>IF(N105="Standard",(((($Z$4*Q105)+($AD$4*R105*$T$5))/2)*$O$7*1.15),IF(N105="Severe",(((($AA$4*Q105)+($AE$4*R105*$T$5))/2)*$O$7*1.15),IF(N105="Hostile",(((($AB$4*Q105)+($AF$4*R105*$T$5))/2)*$O$7*1.15))))</f>
        <v>593892.8539060998</v>
      </c>
      <c r="AA105" s="48">
        <f>IF(N105="Standard",(((($Z$5*Q105)+($AD$5*R105*$T$5))/2)*$O$7*1.15),IF(N105="Severe",(((($AA$5*Q105)+($AE$5*R105*$T$5))/2)*$O$7*1.15),IF(N105="Hostile",(((($AB$5*Q105)+($AF$5*R105*$T$5))/2)*$O$7*1.15))))</f>
        <v>670883.01826070005</v>
      </c>
      <c r="AB105" s="48">
        <f>IF(N105="Standard",(((($Z$6*Q105)+($AD$6*R105*$T$5))/2)*$O$7*1.15),IF(N105="Severe",(((($AA$6*Q105)+($AE$6*R105*$T$5))/2)*$O$7*1.15),IF(N105="Hostile",(((($AB$6*Q105)+($AF$6*R105*$T$5))/2)*$O$7*1.15))))</f>
        <v>727154.03193440009</v>
      </c>
      <c r="AC105" s="48">
        <f>IF(N105="Standard",(((($Z$7*Q105)+($AD$7*R105*$T$5))/2)*$O$7*1.15),IF(N105="Severe",(((($AA$7*Q105)+($AE$7*R105*$T$5))/2)*$O$7*1.15),IF(N105="Hostile",(((($AB$7*Q105)+($AF$7*R105*$T$5))/2)*$O$7*1.15))))</f>
        <v>784795.42359260004</v>
      </c>
      <c r="AD105" s="1"/>
      <c r="AE105" s="1"/>
      <c r="AF105" s="1"/>
      <c r="AI105" s="9"/>
      <c r="AJ105" s="1"/>
      <c r="AK105" s="1"/>
      <c r="AL105" s="1"/>
      <c r="AM105" s="1"/>
      <c r="AN105" s="1"/>
      <c r="AO105" s="1"/>
      <c r="AP105" s="9"/>
      <c r="AQ105" s="3"/>
      <c r="AR105" s="4"/>
      <c r="AS105" s="1"/>
      <c r="AT105" s="1"/>
      <c r="AU105" s="1"/>
      <c r="AV105" s="1"/>
      <c r="AW105" s="1"/>
      <c r="AX105" s="3"/>
      <c r="AY105" s="3"/>
      <c r="AZ105" s="5"/>
      <c r="BA105" s="5"/>
      <c r="BB105" s="5"/>
      <c r="BC105" s="5"/>
      <c r="BD105" s="6"/>
      <c r="BE105" s="6"/>
      <c r="BF105" s="12"/>
      <c r="BG105" s="12"/>
      <c r="BH105" s="12"/>
      <c r="BI105" s="12"/>
      <c r="BJ105" s="12"/>
    </row>
    <row r="106" spans="2:62" x14ac:dyDescent="0.25">
      <c r="B106" s="1" t="s">
        <v>1180</v>
      </c>
      <c r="C106" s="1" t="s">
        <v>1485</v>
      </c>
      <c r="D106" s="1" t="s">
        <v>1190</v>
      </c>
      <c r="E106" s="1" t="s">
        <v>1486</v>
      </c>
      <c r="F106" s="1" t="s">
        <v>1487</v>
      </c>
      <c r="G106" s="1" t="s">
        <v>1249</v>
      </c>
      <c r="H106" s="1" t="s">
        <v>1250</v>
      </c>
      <c r="I106" s="7" t="s">
        <v>1187</v>
      </c>
      <c r="J106" s="44">
        <v>1</v>
      </c>
      <c r="K106" s="45">
        <v>1</v>
      </c>
      <c r="L106" s="1">
        <v>996</v>
      </c>
      <c r="M106" s="1" t="s">
        <v>1188</v>
      </c>
      <c r="N106" s="1" t="s">
        <v>1141</v>
      </c>
      <c r="O106" s="1" t="s">
        <v>1189</v>
      </c>
      <c r="P106" s="1" t="s">
        <v>1190</v>
      </c>
      <c r="Q106" s="44">
        <f>IF($L106=996,Multipliers!C$174,IF($L106=997,Multipliers!C$175,IF($L106=998,Multipliers!C$176,"NONE")))</f>
        <v>1.29</v>
      </c>
      <c r="R106" s="44">
        <f>IF($L106=996,Multipliers!C$5,IF($L106=997,Multipliers!C$6,IF($L106=998,Multipliers!C$7,"NONE")))</f>
        <v>1.34</v>
      </c>
      <c r="S106" s="46">
        <f t="shared" si="28"/>
        <v>572333.63565000007</v>
      </c>
      <c r="T106" s="46">
        <f t="shared" si="29"/>
        <v>595942.1664000001</v>
      </c>
      <c r="U106" s="46">
        <f t="shared" si="31"/>
        <v>589982.74473600008</v>
      </c>
      <c r="V106" s="46">
        <f>(S106+U106)/2</f>
        <v>581158.19019300002</v>
      </c>
      <c r="W106" s="47">
        <f t="shared" si="30"/>
        <v>581158.19019300002</v>
      </c>
      <c r="X106" s="47"/>
      <c r="Y106" s="48">
        <f>IF(N106="Standard",(((($Z$3*Q106)+($AD$3*R106*$T$5))/2)*$O$7),IF(N106="Severe",(((($AA$3*Q106)+($AE$3*R106*$T$5))/2)*$O$7),IF(N106="Hostile",(((($AB$3*Q106)+($AF$3*R106*$T$5))/2)*$O$7))))</f>
        <v>465666.31849500001</v>
      </c>
      <c r="Z106" s="48">
        <f>IF(N106="Standard",(((($Z$4*Q106)+($AD$4*R106*$T$5))/2)*$O$7),IF(N106="Severe",(((($AA$4*Q106)+($AE$4*R106*$T$5))/2)*$O$7),IF(N106="Hostile",(((($AB$4*Q106)+($AF$4*R106*$T$5))/2)*$O$7))))</f>
        <v>514428.62433899997</v>
      </c>
      <c r="AA106" s="48">
        <f>IF(N106="Standard",((($Z$5*Q106)+($AD$5*R106*$T$5))/2)*$O$7,IF(N106="Severe",((($AA$5*Q106)+($AE$5*R106*$T$5))/2)*$O$7,IF(N106="Hostile",((($AB$5*Q106)+($AF$5*R106*$T$5))/2)*$O$7)))</f>
        <v>581158.19019300013</v>
      </c>
      <c r="AB106" s="48">
        <f>IF(N106="Standard",((($Z$6*Q106)+($AD$6*R106*$T$5))/2)*$O$7,IF(N106="Severe",((($AA$6*Q106)+($AE$6*R106*$T$5))/2)*$O$7,IF(N106="Hostile",((($AB$6*Q106)+($AF$6*R106*$T$5))/2)*$O$7)))</f>
        <v>629926.37213100016</v>
      </c>
      <c r="AC106" s="48">
        <f>IF(N106="Standard",((($Z$7*Q106)+($AD$7*R106*$T$5))/2)*$O$7,IF(N106="Severe",((($AA$7*Q106)+($AE$7*R106*$T$5))/2)*$O$7,IF(N106="Hostile",((($AB$7*Q106)+($AF$7*R106*$T$5))/2)*$O$7)))</f>
        <v>679867.06659900001</v>
      </c>
      <c r="AD106" s="1"/>
      <c r="AE106" s="1"/>
      <c r="AF106" s="1"/>
      <c r="AI106" s="9"/>
      <c r="AJ106" s="1"/>
      <c r="AK106" s="1"/>
      <c r="AL106" s="1"/>
      <c r="AM106" s="1"/>
      <c r="AN106" s="1"/>
      <c r="AO106" s="1"/>
      <c r="AP106" s="9"/>
      <c r="AQ106" s="3"/>
      <c r="AR106" s="4"/>
      <c r="AS106" s="1"/>
      <c r="AT106" s="1"/>
      <c r="AU106" s="1"/>
      <c r="AV106" s="1"/>
      <c r="AW106" s="1"/>
      <c r="AX106" s="3"/>
      <c r="AY106" s="3"/>
      <c r="AZ106" s="5"/>
      <c r="BA106" s="5"/>
      <c r="BB106" s="5"/>
      <c r="BC106" s="5"/>
      <c r="BD106" s="6"/>
      <c r="BE106" s="6"/>
      <c r="BF106" s="12"/>
      <c r="BG106" s="12"/>
      <c r="BH106" s="12"/>
      <c r="BI106" s="12"/>
      <c r="BJ106" s="12"/>
    </row>
    <row r="107" spans="2:62" x14ac:dyDescent="0.25">
      <c r="B107" s="1" t="s">
        <v>1180</v>
      </c>
      <c r="C107" s="1" t="s">
        <v>1488</v>
      </c>
      <c r="D107" s="1" t="s">
        <v>1190</v>
      </c>
      <c r="E107" s="1" t="s">
        <v>1489</v>
      </c>
      <c r="F107" s="1" t="s">
        <v>1492</v>
      </c>
      <c r="G107" s="1" t="s">
        <v>1241</v>
      </c>
      <c r="H107" s="1" t="s">
        <v>1242</v>
      </c>
      <c r="I107" s="7" t="s">
        <v>1187</v>
      </c>
      <c r="J107" s="44">
        <v>1</v>
      </c>
      <c r="K107" s="45">
        <v>1</v>
      </c>
      <c r="L107" s="1">
        <v>998</v>
      </c>
      <c r="M107" s="1" t="s">
        <v>1188</v>
      </c>
      <c r="N107" s="1" t="s">
        <v>1141</v>
      </c>
      <c r="O107" s="1" t="s">
        <v>1189</v>
      </c>
      <c r="P107" s="7" t="s">
        <v>1074</v>
      </c>
      <c r="Q107" s="44">
        <f>IF($L107=996,Multipliers!C$174,IF($L107=997,Multipliers!C$175,IF($L107=998,Multipliers!C$176,"NONE")))</f>
        <v>1.34</v>
      </c>
      <c r="R107" s="44">
        <f>IF($L107=996,Multipliers!C$5,IF($L107=997,Multipliers!C$6,IF($L107=998,Multipliers!C$7,"NONE")))</f>
        <v>1.36</v>
      </c>
      <c r="S107" s="46">
        <f t="shared" ref="S107:S128" si="32">IF(N107="Standard",$O$5*Q107*$O$7,IF(N107="Severe",$O$4*Q107*$O$7,IF(N107="Hostile",$O$3*Q107*$O$7)))</f>
        <v>594517.10990000016</v>
      </c>
      <c r="T107" s="46">
        <f t="shared" ref="T107:T128" si="33">IF(N107="Standard",$P$5*R107*$O$7,IF(N107="Severe",$P$4*R107*$O$7,IF(N107="Hostile",$P$3*R107*$O$7)))</f>
        <v>604836.82559999998</v>
      </c>
      <c r="U107" s="46">
        <f t="shared" si="31"/>
        <v>598788.45734399999</v>
      </c>
      <c r="V107" s="46">
        <f>((S107+U107)/2*1.2)</f>
        <v>715983.34034640016</v>
      </c>
      <c r="W107" s="47">
        <f t="shared" si="30"/>
        <v>715983.34034640016</v>
      </c>
      <c r="X107" s="47"/>
      <c r="Y107" s="48">
        <f>IF(N107="Standard",(((($Z$3*Q107)+($AD$3*R107*$T$5))/2)*$O$7*1.2),IF(N107="Severe",(((($AA$3*Q107)+($AE$3*R107*$T$5))/2)*$O$7*1.2),IF(N107="Hostile",(((($AB$3*Q107)+($AF$3*R107*$T$5))/2)*$O$7*1.2))))</f>
        <v>573912.50187599997</v>
      </c>
      <c r="Z107" s="48">
        <f>IF(N107="Standard",(((($Z$4*Q107)+($AD$4*R107*$T$5))/2)*$O$7*1.2),IF(N107="Severe",(((($AA$4*Q107)+($AE$4*R107*$T$5))/2)*$O$7*1.2),IF(N107="Hostile",(((($AB$4*Q107)+($AF$4*R107*$T$5))/2)*$O$7*1.2))))</f>
        <v>633906.89508719998</v>
      </c>
      <c r="AA107" s="48">
        <f>IF(N107="Standard",(((($Z$5*Q107)+($AD$5*R107*$T$5))/2)*$O$7*1.2),IF(N107="Severe",(((($AA$5*Q107)+($AE$5*R107*$T$5))/2)*$O$7*1.2),IF(N107="Hostile",((($AB$5*Q107)+($AF$5*R107*$T$5))/2)*$O$7*1.2)))</f>
        <v>715983.34034640016</v>
      </c>
      <c r="AB107" s="48">
        <f>IF(N107="Standard",(((($Z$6*Q107)+($AD$6*R107*$T$5))/2)*$O$7*1.2),IF(N107="Severe",(((($AA$6*Q107)+($AE$6*R107*$T$5))/2)*$O$7*1.2),IF(N107="Hostile",((($AB$6*Q107)+($AF$6*R107*$T$5))/2)*$O$7*1.2)))</f>
        <v>775980.51116880018</v>
      </c>
      <c r="AC107" s="48">
        <f>IF(N107="Standard",((($Z$7*Q107)+($AD$7*R107*$T$5))/2)*$O$7*1.2,IF(N107="Severe",((($AA$7*Q107)+($AE$7*R107*$T$5))/2)*$O$7*1.2,IF(N107="Hostile",((($AB$7*Q107)+($AF$7*R107*$T$5))/2)*$O$7*1.2)))</f>
        <v>837476.24333520012</v>
      </c>
      <c r="AD107" s="1"/>
      <c r="AE107" s="1"/>
      <c r="AF107" s="1"/>
      <c r="AI107" s="9"/>
      <c r="AJ107" s="1"/>
      <c r="AK107" s="1"/>
      <c r="AL107" s="1"/>
      <c r="AM107" s="1"/>
      <c r="AN107" s="1"/>
      <c r="AO107" s="1"/>
      <c r="AP107" s="9"/>
      <c r="AQ107" s="3"/>
      <c r="AR107" s="4"/>
      <c r="AS107" s="1"/>
      <c r="AT107" s="1"/>
      <c r="AU107" s="1"/>
      <c r="AV107" s="1"/>
      <c r="AW107" s="1"/>
      <c r="AX107" s="3"/>
      <c r="AY107" s="3"/>
      <c r="AZ107" s="5"/>
      <c r="BA107" s="5"/>
      <c r="BB107" s="5"/>
      <c r="BC107" s="5"/>
      <c r="BD107" s="6"/>
      <c r="BE107" s="6"/>
      <c r="BF107" s="12"/>
      <c r="BG107" s="12"/>
      <c r="BH107" s="12"/>
      <c r="BI107" s="12"/>
      <c r="BJ107" s="12"/>
    </row>
    <row r="108" spans="2:62" x14ac:dyDescent="0.25">
      <c r="B108" s="1" t="s">
        <v>1180</v>
      </c>
      <c r="C108" s="1" t="s">
        <v>1493</v>
      </c>
      <c r="D108" s="1" t="s">
        <v>1190</v>
      </c>
      <c r="E108" s="1" t="s">
        <v>1494</v>
      </c>
      <c r="F108" s="1" t="s">
        <v>1495</v>
      </c>
      <c r="G108" s="1" t="s">
        <v>1236</v>
      </c>
      <c r="H108" s="1" t="s">
        <v>1237</v>
      </c>
      <c r="I108" s="7" t="s">
        <v>1187</v>
      </c>
      <c r="J108" s="44">
        <v>1</v>
      </c>
      <c r="K108" s="45">
        <v>1</v>
      </c>
      <c r="L108" s="1">
        <v>997</v>
      </c>
      <c r="M108" s="1" t="s">
        <v>1188</v>
      </c>
      <c r="N108" s="1" t="s">
        <v>1141</v>
      </c>
      <c r="O108" s="1" t="s">
        <v>1189</v>
      </c>
      <c r="P108" s="7" t="s">
        <v>1073</v>
      </c>
      <c r="Q108" s="44">
        <f>IF($L108=996,Multipliers!C$174,IF($L108=997,Multipliers!C$175,IF($L108=998,Multipliers!C$176,"NONE")))</f>
        <v>1.3</v>
      </c>
      <c r="R108" s="44">
        <f>IF($L108=996,Multipliers!C$5,IF($L108=997,Multipliers!C$6,IF($L108=998,Multipliers!C$7,"NONE")))</f>
        <v>1.34</v>
      </c>
      <c r="S108" s="46">
        <f t="shared" si="32"/>
        <v>576770.33050000016</v>
      </c>
      <c r="T108" s="46">
        <f t="shared" si="33"/>
        <v>595942.1664000001</v>
      </c>
      <c r="U108" s="46">
        <f t="shared" si="31"/>
        <v>589982.74473600008</v>
      </c>
      <c r="V108" s="46">
        <f>((S108+U108)/2*1.15)</f>
        <v>670883.01826070005</v>
      </c>
      <c r="W108" s="47">
        <f t="shared" si="30"/>
        <v>670883.01826070005</v>
      </c>
      <c r="X108" s="47"/>
      <c r="Y108" s="48">
        <f>IF(N108="Standard",(((($Z$3*Q108)+($AD$3*R108*$T$5))/2)*$O$7*1.15),IF(N108="Severe",(((($AA$3*Q108)+($AE$3*R108*$T$5))/2)*$O$7*1.15),IF(N108="Hostile",(((($AB$3*Q108)+($AF$3*R108*$T$5))/2)*$O$7*1.15))))</f>
        <v>537627.23286300001</v>
      </c>
      <c r="Z108" s="48">
        <f>IF(N108="Standard",(((($Z$4*Q108)+($AD$4*R108*$T$5))/2)*$O$7*1.15),IF(N108="Severe",(((($AA$4*Q108)+($AE$4*R108*$T$5))/2)*$O$7*1.15),IF(N108="Hostile",(((($AB$4*Q108)+($AF$4*R108*$T$5))/2)*$O$7*1.15))))</f>
        <v>593892.8539060998</v>
      </c>
      <c r="AA108" s="48">
        <f>IF(N108="Standard",(((($Z$5*Q108)+($AD$5*R108*$T$5))/2)*$O$7*1.15),IF(N108="Severe",(((($AA$5*Q108)+($AE$5*R108*$T$5))/2)*$O$7*1.15),IF(N108="Hostile",(((($AB$5*Q108)+($AF$5*R108*$T$5))/2)*$O$7*1.15))))</f>
        <v>670883.01826070005</v>
      </c>
      <c r="AB108" s="48">
        <f>IF(N108="Standard",(((($Z$6*Q108)+($AD$6*R108*$T$5))/2)*$O$7*1.15),IF(N108="Severe",(((($AA$6*Q108)+($AE$6*R108*$T$5))/2)*$O$7*1.15),IF(N108="Hostile",(((($AB$6*Q108)+($AF$6*R108*$T$5))/2)*$O$7*1.15))))</f>
        <v>727154.03193440009</v>
      </c>
      <c r="AC108" s="48">
        <f>IF(N108="Standard",(((($Z$7*Q108)+($AD$7*R108*$T$5))/2)*$O$7*1.15),IF(N108="Severe",(((($AA$7*Q108)+($AE$7*R108*$T$5))/2)*$O$7*1.15),IF(N108="Hostile",(((($AB$7*Q108)+($AF$7*R108*$T$5))/2)*$O$7*1.15))))</f>
        <v>784795.42359260004</v>
      </c>
      <c r="AD108" s="1"/>
      <c r="AE108" s="1"/>
      <c r="AF108" s="1"/>
      <c r="AI108" s="9"/>
      <c r="AJ108" s="1"/>
      <c r="AK108" s="1"/>
      <c r="AL108" s="1"/>
      <c r="AM108" s="1"/>
      <c r="AN108" s="1"/>
      <c r="AO108" s="1"/>
      <c r="AP108" s="9"/>
      <c r="AQ108" s="3"/>
      <c r="AR108" s="4"/>
      <c r="AS108" s="1"/>
      <c r="AT108" s="1"/>
      <c r="AU108" s="1"/>
      <c r="AV108" s="1"/>
      <c r="AW108" s="1"/>
      <c r="AX108" s="3"/>
      <c r="AY108" s="3"/>
      <c r="AZ108" s="5"/>
      <c r="BA108" s="5"/>
      <c r="BB108" s="5"/>
      <c r="BC108" s="5"/>
      <c r="BD108" s="6"/>
      <c r="BE108" s="6"/>
      <c r="BF108" s="12"/>
      <c r="BG108" s="12"/>
      <c r="BH108" s="12"/>
      <c r="BI108" s="12"/>
      <c r="BJ108" s="12"/>
    </row>
    <row r="109" spans="2:62" x14ac:dyDescent="0.25">
      <c r="B109" s="1" t="s">
        <v>1180</v>
      </c>
      <c r="C109" s="1" t="s">
        <v>1496</v>
      </c>
      <c r="D109" s="1" t="s">
        <v>1190</v>
      </c>
      <c r="E109" s="1" t="s">
        <v>1497</v>
      </c>
      <c r="F109" s="1" t="s">
        <v>1498</v>
      </c>
      <c r="G109" s="1" t="s">
        <v>1218</v>
      </c>
      <c r="H109" s="1" t="s">
        <v>1219</v>
      </c>
      <c r="I109" s="7" t="s">
        <v>1187</v>
      </c>
      <c r="J109" s="44">
        <v>1</v>
      </c>
      <c r="K109" s="45">
        <v>1</v>
      </c>
      <c r="L109" s="1">
        <v>997</v>
      </c>
      <c r="M109" s="1" t="s">
        <v>1188</v>
      </c>
      <c r="N109" s="1" t="s">
        <v>1141</v>
      </c>
      <c r="O109" s="1" t="s">
        <v>1189</v>
      </c>
      <c r="P109" s="7" t="s">
        <v>1073</v>
      </c>
      <c r="Q109" s="44">
        <f>IF($L109=996,Multipliers!C$174,IF($L109=997,Multipliers!C$175,IF($L109=998,Multipliers!C$176,"NONE")))</f>
        <v>1.3</v>
      </c>
      <c r="R109" s="44">
        <f>IF($L109=996,Multipliers!C$5,IF($L109=997,Multipliers!C$6,IF($L109=998,Multipliers!C$7,"NONE")))</f>
        <v>1.34</v>
      </c>
      <c r="S109" s="46">
        <f t="shared" si="32"/>
        <v>576770.33050000016</v>
      </c>
      <c r="T109" s="46">
        <f t="shared" si="33"/>
        <v>595942.1664000001</v>
      </c>
      <c r="U109" s="46">
        <f t="shared" si="31"/>
        <v>589982.74473600008</v>
      </c>
      <c r="V109" s="46">
        <f>((S109+U109)/2*1.15)</f>
        <v>670883.01826070005</v>
      </c>
      <c r="W109" s="47">
        <f t="shared" si="30"/>
        <v>670883.01826070005</v>
      </c>
      <c r="X109" s="47"/>
      <c r="Y109" s="48">
        <f>IF(N109="Standard",(((($Z$3*Q109)+($AD$3*R109*$T$5))/2)*$O$7*1.15),IF(N109="Severe",(((($AA$3*Q109)+($AE$3*R109*$T$5))/2)*$O$7*1.15),IF(N109="Hostile",(((($AB$3*Q109)+($AF$3*R109*$T$5))/2)*$O$7*1.15))))</f>
        <v>537627.23286300001</v>
      </c>
      <c r="Z109" s="48">
        <f>IF(N109="Standard",(((($Z$4*Q109)+($AD$4*R109*$T$5))/2)*$O$7*1.15),IF(N109="Severe",(((($AA$4*Q109)+($AE$4*R109*$T$5))/2)*$O$7*1.15),IF(N109="Hostile",(((($AB$4*Q109)+($AF$4*R109*$T$5))/2)*$O$7*1.15))))</f>
        <v>593892.8539060998</v>
      </c>
      <c r="AA109" s="48">
        <f>IF(N109="Standard",(((($Z$5*Q109)+($AD$5*R109*$T$5))/2)*$O$7*1.15),IF(N109="Severe",(((($AA$5*Q109)+($AE$5*R109*$T$5))/2)*$O$7*1.15),IF(N109="Hostile",(((($AB$5*Q109)+($AF$5*R109*$T$5))/2)*$O$7*1.15))))</f>
        <v>670883.01826070005</v>
      </c>
      <c r="AB109" s="48">
        <f>IF(N109="Standard",(((($Z$6*Q109)+($AD$6*R109*$T$5))/2)*$O$7*1.15),IF(N109="Severe",(((($AA$6*Q109)+($AE$6*R109*$T$5))/2)*$O$7*1.15),IF(N109="Hostile",(((($AB$6*Q109)+($AF$6*R109*$T$5))/2)*$O$7*1.15))))</f>
        <v>727154.03193440009</v>
      </c>
      <c r="AC109" s="48">
        <f>IF(N109="Standard",(((($Z$7*Q109)+($AD$7*R109*$T$5))/2)*$O$7*1.15),IF(N109="Severe",(((($AA$7*Q109)+($AE$7*R109*$T$5))/2)*$O$7*1.15),IF(N109="Hostile",(((($AB$7*Q109)+($AF$7*R109*$T$5))/2)*$O$7*1.15))))</f>
        <v>784795.42359260004</v>
      </c>
      <c r="AD109" s="1"/>
      <c r="AE109" s="1"/>
      <c r="AF109" s="1"/>
      <c r="AI109" s="9"/>
      <c r="AJ109" s="1"/>
      <c r="AK109" s="1"/>
      <c r="AL109" s="1"/>
      <c r="AM109" s="1"/>
      <c r="AN109" s="1"/>
      <c r="AO109" s="1"/>
      <c r="AP109" s="9"/>
      <c r="AQ109" s="3"/>
      <c r="AR109" s="4"/>
      <c r="AS109" s="1"/>
      <c r="AT109" s="1"/>
      <c r="AU109" s="1"/>
      <c r="AV109" s="1"/>
      <c r="AW109" s="1"/>
      <c r="AX109" s="3"/>
      <c r="AY109" s="3"/>
      <c r="AZ109" s="5"/>
      <c r="BA109" s="5"/>
      <c r="BB109" s="5"/>
      <c r="BC109" s="5"/>
      <c r="BD109" s="6"/>
      <c r="BE109" s="6"/>
      <c r="BF109" s="12"/>
      <c r="BG109" s="12"/>
      <c r="BH109" s="12"/>
      <c r="BI109" s="12"/>
      <c r="BJ109" s="12"/>
    </row>
    <row r="110" spans="2:62" x14ac:dyDescent="0.25">
      <c r="B110" s="1" t="s">
        <v>1180</v>
      </c>
      <c r="C110" s="1" t="s">
        <v>1181</v>
      </c>
      <c r="D110" s="1" t="s">
        <v>1499</v>
      </c>
      <c r="E110" s="1" t="s">
        <v>1192</v>
      </c>
      <c r="F110" s="1" t="s">
        <v>1500</v>
      </c>
      <c r="G110" s="1" t="s">
        <v>1223</v>
      </c>
      <c r="H110" s="1" t="s">
        <v>1224</v>
      </c>
      <c r="I110" s="7" t="s">
        <v>1187</v>
      </c>
      <c r="J110" s="44">
        <v>1</v>
      </c>
      <c r="K110" s="45">
        <v>1</v>
      </c>
      <c r="L110" s="1">
        <v>997</v>
      </c>
      <c r="M110" s="1" t="s">
        <v>1188</v>
      </c>
      <c r="N110" s="1" t="s">
        <v>1141</v>
      </c>
      <c r="O110" s="1" t="s">
        <v>1189</v>
      </c>
      <c r="P110" s="7" t="s">
        <v>1073</v>
      </c>
      <c r="Q110" s="44">
        <f>IF($L110=996,Multipliers!C$174,IF($L110=997,Multipliers!C$175,IF($L110=998,Multipliers!C$176,"NONE")))</f>
        <v>1.3</v>
      </c>
      <c r="R110" s="44">
        <f>IF($L110=996,Multipliers!C$5,IF($L110=997,Multipliers!C$6,IF($L110=998,Multipliers!C$7,"NONE")))</f>
        <v>1.34</v>
      </c>
      <c r="S110" s="46">
        <f>IF(N110="Standard",$O$5*Q110*$O$7,IF(N110="Severe",$O$4*Q110*$O$7,IF(N110="Hostile",$O$3*Q110*$O$7)))</f>
        <v>576770.33050000016</v>
      </c>
      <c r="T110" s="46">
        <f>IF(N110="Standard",$P$5*R110*$O$7,IF(N110="Severe",$P$4*R110*$O$7,IF(N110="Hostile",$P$3*R110*$O$7)))</f>
        <v>595942.1664000001</v>
      </c>
      <c r="U110" s="46">
        <f t="shared" ref="U110:U126" si="34">IF(O110="E",$T$3*T110,IF(O110="C",$T$4*T110,IF(O110="W",$T$5*T110,1)))</f>
        <v>589982.74473600008</v>
      </c>
      <c r="V110" s="46">
        <f>((S110+U110)/2*1.15)</f>
        <v>670883.01826070005</v>
      </c>
      <c r="W110" s="47">
        <f t="shared" si="30"/>
        <v>670883.01826070005</v>
      </c>
      <c r="X110" s="47"/>
      <c r="Y110" s="48">
        <f>IF(N110="Standard",(((($Z$3*Q110)+($AD$3*R110*$T$5))/2)*$O$7*1.15),IF(N110="Severe",(((($AA$3*Q110)+($AE$3*R110*$T$5))/2)*$O$7*1.15),IF(N110="Hostile",(((($AB$3*Q110)+($AF$3*R110*$T$5))/2)*$O$7*1.15))))</f>
        <v>537627.23286300001</v>
      </c>
      <c r="Z110" s="48">
        <f>IF(N110="Standard",(((($Z$4*Q110)+($AD$4*R110*$T$5))/2)*$O$7*1.15),IF(N110="Severe",(((($AA$4*Q110)+($AE$4*R110*$T$5))/2)*$O$7*1.15),IF(N110="Hostile",(((($AB$4*Q110)+($AF$4*R110*$T$5))/2)*$O$7*1.15))))</f>
        <v>593892.8539060998</v>
      </c>
      <c r="AA110" s="48">
        <f>IF(N110="Standard",(((($Z$5*Q110)+($AD$5*R110*$T$5))/2)*$O$7*1.15),IF(N110="Severe",(((($AA$5*Q110)+($AE$5*R110*$T$5))/2)*$O$7*1.15),IF(N110="Hostile",(((($AB$5*Q110)+($AF$5*R110*$T$5))/2)*$O$7*1.15))))</f>
        <v>670883.01826070005</v>
      </c>
      <c r="AB110" s="48">
        <f>IF(N110="Standard",(((($Z$6*Q110)+($AD$6*R110*$T$5))/2)*$O$7*1.15),IF(N110="Severe",(((($AA$6*Q110)+($AE$6*R110*$T$5))/2)*$O$7*1.15),IF(N110="Hostile",(((($AB$6*Q110)+($AF$6*R110*$T$5))/2)*$O$7*1.15))))</f>
        <v>727154.03193440009</v>
      </c>
      <c r="AC110" s="48">
        <f>IF(N110="Standard",(((($Z$7*Q110)+($AD$7*R110*$T$5))/2)*$O$7*1.15),IF(N110="Severe",(((($AA$7*Q110)+($AE$7*R110*$T$5))/2)*$O$7*1.15),IF(N110="Hostile",(((($AB$7*Q110)+($AF$7*R110*$T$5))/2)*$O$7*1.15))))</f>
        <v>784795.42359260004</v>
      </c>
      <c r="AD110" s="1"/>
      <c r="AE110" s="1"/>
      <c r="AF110" s="1"/>
      <c r="AI110" s="9"/>
      <c r="AJ110" s="1"/>
      <c r="AK110" s="1"/>
      <c r="AL110" s="1"/>
      <c r="AM110" s="1"/>
      <c r="AN110" s="1"/>
      <c r="AO110" s="1"/>
      <c r="AP110" s="9"/>
      <c r="AQ110" s="3"/>
      <c r="AR110" s="4"/>
      <c r="AS110" s="1"/>
      <c r="AT110" s="1"/>
      <c r="AU110" s="1"/>
      <c r="AV110" s="1"/>
      <c r="AW110" s="1"/>
      <c r="AX110" s="3"/>
      <c r="AY110" s="3"/>
      <c r="AZ110" s="5"/>
      <c r="BA110" s="5"/>
      <c r="BB110" s="5"/>
      <c r="BC110" s="5"/>
      <c r="BD110" s="6"/>
      <c r="BE110" s="6"/>
      <c r="BF110" s="12"/>
      <c r="BG110" s="12"/>
      <c r="BH110" s="12"/>
      <c r="BI110" s="12"/>
      <c r="BJ110" s="12"/>
    </row>
    <row r="111" spans="2:62" x14ac:dyDescent="0.25">
      <c r="B111" s="1" t="s">
        <v>1180</v>
      </c>
      <c r="C111" s="1" t="s">
        <v>1501</v>
      </c>
      <c r="D111" s="1" t="s">
        <v>1190</v>
      </c>
      <c r="E111" s="1" t="s">
        <v>1502</v>
      </c>
      <c r="F111" s="1" t="s">
        <v>1503</v>
      </c>
      <c r="G111" s="1" t="s">
        <v>1185</v>
      </c>
      <c r="H111" s="1" t="s">
        <v>1186</v>
      </c>
      <c r="I111" s="7" t="s">
        <v>1187</v>
      </c>
      <c r="J111" s="44">
        <v>1</v>
      </c>
      <c r="K111" s="45">
        <v>1</v>
      </c>
      <c r="L111" s="1">
        <v>997</v>
      </c>
      <c r="M111" s="1" t="s">
        <v>1188</v>
      </c>
      <c r="N111" s="1" t="s">
        <v>1141</v>
      </c>
      <c r="O111" s="1" t="s">
        <v>1189</v>
      </c>
      <c r="P111" s="7" t="s">
        <v>1073</v>
      </c>
      <c r="Q111" s="44">
        <f>IF($L111=996,Multipliers!C$174,IF($L111=997,Multipliers!C$175,IF($L111=998,Multipliers!C$176,"NONE")))</f>
        <v>1.3</v>
      </c>
      <c r="R111" s="44">
        <f>IF($L111=996,Multipliers!C$5,IF($L111=997,Multipliers!C$6,IF($L111=998,Multipliers!C$7,"NONE")))</f>
        <v>1.34</v>
      </c>
      <c r="S111" s="46">
        <f t="shared" si="32"/>
        <v>576770.33050000016</v>
      </c>
      <c r="T111" s="46">
        <f t="shared" si="33"/>
        <v>595942.1664000001</v>
      </c>
      <c r="U111" s="46">
        <f t="shared" si="34"/>
        <v>589982.74473600008</v>
      </c>
      <c r="V111" s="46">
        <f>((S111+U111)/2*1.15)</f>
        <v>670883.01826070005</v>
      </c>
      <c r="W111" s="47">
        <f t="shared" si="30"/>
        <v>670883.01826070005</v>
      </c>
      <c r="X111" s="47"/>
      <c r="Y111" s="48">
        <f>IF(N111="Standard",(((($Z$3*Q111)+($AD$3*R111*$T$5))/2)*$O$7*1.15),IF(N111="Severe",(((($AA$3*Q111)+($AE$3*R111*$T$5))/2)*$O$7*1.15),IF(N111="Hostile",(((($AB$3*Q111)+($AF$3*R111*$T$5))/2)*$O$7*1.15))))</f>
        <v>537627.23286300001</v>
      </c>
      <c r="Z111" s="48">
        <f>IF(N111="Standard",(((($Z$4*Q111)+($AD$4*R111*$T$5))/2)*$O$7*1.15),IF(N111="Severe",(((($AA$4*Q111)+($AE$4*R111*$T$5))/2)*$O$7*1.15),IF(N111="Hostile",(((($AB$4*Q111)+($AF$4*R111*$T$5))/2)*$O$7*1.15))))</f>
        <v>593892.8539060998</v>
      </c>
      <c r="AA111" s="48">
        <f>IF(N111="Standard",(((($Z$5*Q111)+($AD$5*R111*$T$5))/2)*$O$7*1.15),IF(N111="Severe",(((($AA$5*Q111)+($AE$5*R111*$T$5))/2)*$O$7*1.15),IF(N111="Hostile",(((($AB$5*Q111)+($AF$5*R111*$T$5))/2)*$O$7*1.15))))</f>
        <v>670883.01826070005</v>
      </c>
      <c r="AB111" s="48">
        <f>IF(N111="Standard",(((($Z$6*Q111)+($AD$6*R111*$T$5))/2)*$O$7*1.15),IF(N111="Severe",(((($AA$6*Q111)+($AE$6*R111*$T$5))/2)*$O$7*1.15),IF(N111="Hostile",(((($AB$6*Q111)+($AF$6*R111*$T$5))/2)*$O$7*1.15))))</f>
        <v>727154.03193440009</v>
      </c>
      <c r="AC111" s="48">
        <f>IF(N111="Standard",(((($Z$7*Q111)+($AD$7*R111*$T$5))/2)*$O$7*1.15),IF(N111="Severe",(((($AA$7*Q111)+($AE$7*R111*$T$5))/2)*$O$7*1.15),IF(N111="Hostile",(((($AB$7*Q111)+($AF$7*R111*$T$5))/2)*$O$7*1.15))))</f>
        <v>784795.42359260004</v>
      </c>
      <c r="AD111" s="1"/>
      <c r="AE111" s="1"/>
      <c r="AF111" s="1"/>
      <c r="AI111" s="9"/>
      <c r="AJ111" s="1"/>
      <c r="AK111" s="1"/>
      <c r="AL111" s="1"/>
      <c r="AM111" s="1"/>
      <c r="AN111" s="1"/>
      <c r="AO111" s="1"/>
      <c r="AP111" s="9"/>
      <c r="AQ111" s="3"/>
      <c r="AR111" s="4"/>
      <c r="AS111" s="1"/>
      <c r="AT111" s="1"/>
      <c r="AU111" s="1"/>
      <c r="AV111" s="1"/>
      <c r="AW111" s="1"/>
      <c r="AX111" s="3"/>
      <c r="AY111" s="3"/>
      <c r="AZ111" s="5"/>
      <c r="BA111" s="5"/>
      <c r="BB111" s="5"/>
      <c r="BC111" s="5"/>
      <c r="BD111" s="6"/>
      <c r="BE111" s="6"/>
      <c r="BF111" s="12"/>
      <c r="BG111" s="12"/>
      <c r="BH111" s="12"/>
      <c r="BI111" s="12"/>
      <c r="BJ111" s="12"/>
    </row>
    <row r="112" spans="2:62" x14ac:dyDescent="0.25">
      <c r="B112" s="1" t="s">
        <v>1180</v>
      </c>
      <c r="C112" s="1" t="s">
        <v>1504</v>
      </c>
      <c r="D112" s="1" t="s">
        <v>1190</v>
      </c>
      <c r="E112" s="1" t="s">
        <v>1505</v>
      </c>
      <c r="F112" s="7" t="s">
        <v>1506</v>
      </c>
      <c r="G112" s="1" t="s">
        <v>1249</v>
      </c>
      <c r="H112" s="1" t="s">
        <v>1250</v>
      </c>
      <c r="I112" s="7" t="s">
        <v>1187</v>
      </c>
      <c r="J112" s="44">
        <v>1</v>
      </c>
      <c r="K112" s="45">
        <v>1</v>
      </c>
      <c r="L112" s="1">
        <v>996</v>
      </c>
      <c r="M112" s="1" t="s">
        <v>1188</v>
      </c>
      <c r="N112" s="1" t="s">
        <v>1141</v>
      </c>
      <c r="O112" s="1" t="s">
        <v>1189</v>
      </c>
      <c r="P112" s="1" t="s">
        <v>1190</v>
      </c>
      <c r="Q112" s="44">
        <f>IF($L112=996,Multipliers!C$174,IF($L112=997,Multipliers!C$175,IF($L112=998,Multipliers!C$176,"NONE")))</f>
        <v>1.29</v>
      </c>
      <c r="R112" s="44">
        <f>IF($L112=996,Multipliers!C$5,IF($L112=997,Multipliers!C$6,IF($L112=998,Multipliers!C$7,"NONE")))</f>
        <v>1.34</v>
      </c>
      <c r="S112" s="46">
        <f t="shared" si="32"/>
        <v>572333.63565000007</v>
      </c>
      <c r="T112" s="46">
        <f t="shared" si="33"/>
        <v>595942.1664000001</v>
      </c>
      <c r="U112" s="46">
        <f t="shared" si="34"/>
        <v>589982.74473600008</v>
      </c>
      <c r="V112" s="46">
        <f>(S112+U112)/2</f>
        <v>581158.19019300002</v>
      </c>
      <c r="W112" s="47">
        <f t="shared" ref="W112:W118" si="35">IF(F112=F113,(V112+V113)/2,IF(F112=F111,(V112+V111)/2,IF(F112&lt;&gt;F111,V112)))</f>
        <v>581158.19019300002</v>
      </c>
      <c r="X112" s="47"/>
      <c r="Y112" s="48">
        <f>IF(N112="Standard",(((($Z$3*Q112)+($AD$3*R112*$T$5))/2)*$O$7),IF(N112="Severe",(((($AA$3*Q112)+($AE$3*R112*$T$5))/2)*$O$7),IF(N112="Hostile",(((($AB$3*Q112)+($AF$3*R112*$T$5))/2)*$O$7))))</f>
        <v>465666.31849500001</v>
      </c>
      <c r="Z112" s="48">
        <f>IF(N112="Standard",(((($Z$4*Q112)+($AD$4*R112*$T$5))/2)*$O$7),IF(N112="Severe",(((($AA$4*Q112)+($AE$4*R112*$T$5))/2)*$O$7),IF(N112="Hostile",(((($AB$4*Q112)+($AF$4*R112*$T$5))/2)*$O$7))))</f>
        <v>514428.62433899997</v>
      </c>
      <c r="AA112" s="48">
        <f>IF(N112="Standard",((($Z$5*Q112)+($AD$5*R112*$T$5))/2)*$O$7,IF(N112="Severe",((($AA$5*Q112)+($AE$5*R112*$T$5))/2)*$O$7,IF(N112="Hostile",((($AB$5*Q112)+($AF$5*R112*$T$5))/2)*$O$7)))</f>
        <v>581158.19019300013</v>
      </c>
      <c r="AB112" s="48">
        <f>IF(N112="Standard",((($Z$6*Q112)+($AD$6*R112*$T$5))/2)*$O$7,IF(N112="Severe",((($AA$6*Q112)+($AE$6*R112*$T$5))/2)*$O$7,IF(N112="Hostile",((($AB$6*Q112)+($AF$6*R112*$T$5))/2)*$O$7)))</f>
        <v>629926.37213100016</v>
      </c>
      <c r="AC112" s="48">
        <f>IF(N112="Standard",((($Z$7*Q112)+($AD$7*R112*$T$5))/2)*$O$7,IF(N112="Severe",((($AA$7*Q112)+($AE$7*R112*$T$5))/2)*$O$7,IF(N112="Hostile",((($AB$7*Q112)+($AF$7*R112*$T$5))/2)*$O$7)))</f>
        <v>679867.06659900001</v>
      </c>
      <c r="AD112" s="1"/>
      <c r="AE112" s="1"/>
      <c r="AF112" s="1"/>
      <c r="AI112" s="9"/>
      <c r="AJ112" s="1"/>
      <c r="AK112" s="1"/>
      <c r="AL112" s="1"/>
      <c r="AM112" s="1"/>
      <c r="AN112" s="1"/>
      <c r="AO112" s="1"/>
      <c r="AP112" s="9"/>
      <c r="AQ112" s="3"/>
      <c r="AR112" s="4"/>
      <c r="AS112" s="1"/>
      <c r="AT112" s="1"/>
      <c r="AU112" s="1"/>
      <c r="AV112" s="1"/>
      <c r="AW112" s="1"/>
      <c r="AX112" s="3"/>
      <c r="AY112" s="3"/>
      <c r="AZ112" s="5"/>
      <c r="BA112" s="5"/>
      <c r="BB112" s="5"/>
      <c r="BC112" s="5"/>
      <c r="BD112" s="6"/>
      <c r="BE112" s="6"/>
      <c r="BF112" s="12"/>
      <c r="BG112" s="12"/>
      <c r="BH112" s="12"/>
      <c r="BI112" s="12"/>
      <c r="BJ112" s="12"/>
    </row>
    <row r="113" spans="2:62" x14ac:dyDescent="0.25">
      <c r="B113" s="1" t="s">
        <v>1180</v>
      </c>
      <c r="C113" s="1" t="s">
        <v>1507</v>
      </c>
      <c r="D113" s="1" t="s">
        <v>1190</v>
      </c>
      <c r="E113" s="1" t="s">
        <v>1508</v>
      </c>
      <c r="F113" s="1" t="s">
        <v>1509</v>
      </c>
      <c r="G113" s="1" t="s">
        <v>1202</v>
      </c>
      <c r="H113" s="1" t="s">
        <v>1203</v>
      </c>
      <c r="I113" s="7" t="s">
        <v>1187</v>
      </c>
      <c r="J113" s="44">
        <v>1</v>
      </c>
      <c r="K113" s="45">
        <v>1</v>
      </c>
      <c r="L113" s="1">
        <v>997</v>
      </c>
      <c r="M113" s="1" t="s">
        <v>1188</v>
      </c>
      <c r="N113" s="1" t="s">
        <v>1141</v>
      </c>
      <c r="O113" s="1" t="s">
        <v>1189</v>
      </c>
      <c r="P113" s="7" t="s">
        <v>1073</v>
      </c>
      <c r="Q113" s="44">
        <f>IF($L113=996,Multipliers!C$174,IF($L113=997,Multipliers!C$175,IF($L113=998,Multipliers!C$176,"NONE")))</f>
        <v>1.3</v>
      </c>
      <c r="R113" s="44">
        <f>IF($L113=996,Multipliers!C$5,IF($L113=997,Multipliers!C$6,IF($L113=998,Multipliers!C$7,"NONE")))</f>
        <v>1.34</v>
      </c>
      <c r="S113" s="46">
        <f t="shared" si="32"/>
        <v>576770.33050000016</v>
      </c>
      <c r="T113" s="46">
        <f t="shared" si="33"/>
        <v>595942.1664000001</v>
      </c>
      <c r="U113" s="46">
        <f t="shared" si="34"/>
        <v>589982.74473600008</v>
      </c>
      <c r="V113" s="46">
        <f>((S113+U113)/2*1.15)</f>
        <v>670883.01826070005</v>
      </c>
      <c r="W113" s="47">
        <f t="shared" si="35"/>
        <v>670883.01826070005</v>
      </c>
      <c r="X113" s="47"/>
      <c r="Y113" s="48">
        <f>IF(N113="Standard",(((($Z$3*Q113)+($AD$3*R113*$T$5))/2)*$O$7*1.15),IF(N113="Severe",(((($AA$3*Q113)+($AE$3*R113*$T$5))/2)*$O$7*1.15),IF(N113="Hostile",(((($AB$3*Q113)+($AF$3*R113*$T$5))/2)*$O$7*1.15))))</f>
        <v>537627.23286300001</v>
      </c>
      <c r="Z113" s="48">
        <f>IF(N113="Standard",(((($Z$4*Q113)+($AD$4*R113*$T$5))/2)*$O$7*1.15),IF(N113="Severe",(((($AA$4*Q113)+($AE$4*R113*$T$5))/2)*$O$7*1.15),IF(N113="Hostile",(((($AB$4*Q113)+($AF$4*R113*$T$5))/2)*$O$7*1.15))))</f>
        <v>593892.8539060998</v>
      </c>
      <c r="AA113" s="48">
        <f>IF(N113="Standard",(((($Z$5*Q113)+($AD$5*R113*$T$5))/2)*$O$7*1.15),IF(N113="Severe",(((($AA$5*Q113)+($AE$5*R113*$T$5))/2)*$O$7*1.15),IF(N113="Hostile",(((($AB$5*Q113)+($AF$5*R113*$T$5))/2)*$O$7*1.15))))</f>
        <v>670883.01826070005</v>
      </c>
      <c r="AB113" s="48">
        <f>IF(N113="Standard",(((($Z$6*Q113)+($AD$6*R113*$T$5))/2)*$O$7*1.15),IF(N113="Severe",(((($AA$6*Q113)+($AE$6*R113*$T$5))/2)*$O$7*1.15),IF(N113="Hostile",(((($AB$6*Q113)+($AF$6*R113*$T$5))/2)*$O$7*1.15))))</f>
        <v>727154.03193440009</v>
      </c>
      <c r="AC113" s="48">
        <f>IF(N113="Standard",(((($Z$7*Q113)+($AD$7*R113*$T$5))/2)*$O$7*1.15),IF(N113="Severe",(((($AA$7*Q113)+($AE$7*R113*$T$5))/2)*$O$7*1.15),IF(N113="Hostile",(((($AB$7*Q113)+($AF$7*R113*$T$5))/2)*$O$7*1.15))))</f>
        <v>784795.42359260004</v>
      </c>
      <c r="AD113" s="1"/>
      <c r="AE113" s="1"/>
      <c r="AF113" s="1"/>
      <c r="AI113" s="9"/>
      <c r="AJ113" s="1"/>
      <c r="AK113" s="1"/>
      <c r="AL113" s="1"/>
      <c r="AM113" s="1"/>
      <c r="AN113" s="1"/>
      <c r="AO113" s="1"/>
      <c r="AP113" s="9"/>
      <c r="AQ113" s="3"/>
      <c r="AR113" s="4"/>
      <c r="AS113" s="1"/>
      <c r="AT113" s="1"/>
      <c r="AU113" s="1"/>
      <c r="AV113" s="1"/>
      <c r="AW113" s="1"/>
      <c r="AX113" s="3"/>
      <c r="AY113" s="3"/>
      <c r="AZ113" s="5"/>
      <c r="BA113" s="5"/>
      <c r="BB113" s="5"/>
      <c r="BC113" s="5"/>
      <c r="BD113" s="6"/>
      <c r="BE113" s="6"/>
      <c r="BF113" s="12"/>
      <c r="BG113" s="12"/>
      <c r="BH113" s="12"/>
      <c r="BI113" s="12"/>
      <c r="BJ113" s="12"/>
    </row>
    <row r="114" spans="2:62" x14ac:dyDescent="0.25">
      <c r="B114" s="1" t="s">
        <v>1180</v>
      </c>
      <c r="C114" s="1" t="s">
        <v>1181</v>
      </c>
      <c r="D114" s="1" t="s">
        <v>1510</v>
      </c>
      <c r="E114" s="1" t="s">
        <v>1511</v>
      </c>
      <c r="F114" s="1" t="s">
        <v>1512</v>
      </c>
      <c r="G114" s="1" t="s">
        <v>1323</v>
      </c>
      <c r="H114" s="1" t="s">
        <v>1324</v>
      </c>
      <c r="I114" s="7" t="s">
        <v>1187</v>
      </c>
      <c r="J114" s="44">
        <v>1</v>
      </c>
      <c r="K114" s="45">
        <v>1</v>
      </c>
      <c r="L114" s="1">
        <v>996</v>
      </c>
      <c r="M114" s="1" t="s">
        <v>1188</v>
      </c>
      <c r="N114" s="1" t="s">
        <v>1141</v>
      </c>
      <c r="O114" s="1" t="s">
        <v>1189</v>
      </c>
      <c r="P114" s="1" t="s">
        <v>1190</v>
      </c>
      <c r="Q114" s="44">
        <f>IF($L114=996,Multipliers!C$174,IF($L114=997,Multipliers!C$175,IF($L114=998,Multipliers!C$176,"NONE")))</f>
        <v>1.29</v>
      </c>
      <c r="R114" s="44">
        <f>IF($L114=996,Multipliers!C$5,IF($L114=997,Multipliers!C$6,IF($L114=998,Multipliers!C$7,"NONE")))</f>
        <v>1.34</v>
      </c>
      <c r="S114" s="46">
        <f>IF(N114="Standard",$O$5*Q114*$O$7,IF(N114="Severe",$O$4*Q114*$O$7,IF(N114="Hostile",$O$3*Q114*$O$7)))</f>
        <v>572333.63565000007</v>
      </c>
      <c r="T114" s="46">
        <f>IF(N114="Standard",$P$5*R114*$O$7,IF(N114="Severe",$P$4*R114*$O$7,IF(N114="Hostile",$P$3*R114*$O$7)))</f>
        <v>595942.1664000001</v>
      </c>
      <c r="U114" s="46">
        <f t="shared" si="34"/>
        <v>589982.74473600008</v>
      </c>
      <c r="V114" s="46">
        <f>(S114+U114)/2</f>
        <v>581158.19019300002</v>
      </c>
      <c r="W114" s="47">
        <f t="shared" si="35"/>
        <v>581158.19019300002</v>
      </c>
      <c r="X114" s="47"/>
      <c r="Y114" s="48">
        <f>IF(N114="Standard",(((($Z$3*Q114)+($AD$3*R114*$T$5))/2)*$O$7),IF(N114="Severe",(((($AA$3*Q114)+($AE$3*R114*$T$5))/2)*$O$7),IF(N114="Hostile",(((($AB$3*Q114)+($AF$3*R114*$T$5))/2)*$O$7))))</f>
        <v>465666.31849500001</v>
      </c>
      <c r="Z114" s="48">
        <f>IF(N114="Standard",(((($Z$4*Q114)+($AD$4*R114*$T$5))/2)*$O$7),IF(N114="Severe",(((($AA$4*Q114)+($AE$4*R114*$T$5))/2)*$O$7),IF(N114="Hostile",(((($AB$4*Q114)+($AF$4*R114*$T$5))/2)*$O$7))))</f>
        <v>514428.62433899997</v>
      </c>
      <c r="AA114" s="48">
        <f>IF(N114="Standard",((($Z$5*Q114)+($AD$5*R114*$T$5))/2)*$O$7,IF(N114="Severe",((($AA$5*Q114)+($AE$5*R114*$T$5))/2)*$O$7,IF(N114="Hostile",((($AB$5*Q114)+($AF$5*R114*$T$5))/2)*$O$7)))</f>
        <v>581158.19019300013</v>
      </c>
      <c r="AB114" s="48">
        <f>IF(N114="Standard",((($Z$6*Q114)+($AD$6*R114*$T$5))/2)*$O$7,IF(N114="Severe",((($AA$6*Q114)+($AE$6*R114*$T$5))/2)*$O$7,IF(N114="Hostile",((($AB$6*Q114)+($AF$6*R114*$T$5))/2)*$O$7)))</f>
        <v>629926.37213100016</v>
      </c>
      <c r="AC114" s="48">
        <f>IF(N114="Standard",((($Z$7*Q114)+($AD$7*R114*$T$5))/2)*$O$7,IF(N114="Severe",((($AA$7*Q114)+($AE$7*R114*$T$5))/2)*$O$7,IF(N114="Hostile",((($AB$7*Q114)+($AF$7*R114*$T$5))/2)*$O$7)))</f>
        <v>679867.06659900001</v>
      </c>
      <c r="AD114" s="1"/>
      <c r="AE114" s="1"/>
      <c r="AF114" s="1"/>
      <c r="AI114" s="9"/>
      <c r="AJ114" s="1"/>
      <c r="AK114" s="1"/>
      <c r="AL114" s="1"/>
      <c r="AM114" s="1"/>
      <c r="AN114" s="1"/>
      <c r="AO114" s="1"/>
      <c r="AP114" s="9"/>
      <c r="AQ114" s="3"/>
      <c r="AR114" s="4"/>
      <c r="AS114" s="1"/>
      <c r="AT114" s="1"/>
      <c r="AU114" s="1"/>
      <c r="AV114" s="1"/>
      <c r="AW114" s="1"/>
      <c r="AX114" s="3"/>
      <c r="AY114" s="3"/>
      <c r="AZ114" s="5"/>
      <c r="BA114" s="5"/>
      <c r="BB114" s="5"/>
      <c r="BC114" s="5"/>
      <c r="BD114" s="6"/>
      <c r="BE114" s="6"/>
      <c r="BF114" s="12"/>
      <c r="BG114" s="12"/>
      <c r="BH114" s="12"/>
      <c r="BI114" s="12"/>
      <c r="BJ114" s="12"/>
    </row>
    <row r="115" spans="2:62" x14ac:dyDescent="0.25">
      <c r="B115" s="1" t="s">
        <v>1180</v>
      </c>
      <c r="C115" s="1" t="s">
        <v>1181</v>
      </c>
      <c r="D115" s="1" t="s">
        <v>1513</v>
      </c>
      <c r="E115" s="1" t="s">
        <v>1514</v>
      </c>
      <c r="F115" s="1" t="s">
        <v>1515</v>
      </c>
      <c r="G115" s="1" t="s">
        <v>1249</v>
      </c>
      <c r="H115" s="1" t="s">
        <v>1250</v>
      </c>
      <c r="I115" s="7" t="s">
        <v>1187</v>
      </c>
      <c r="J115" s="44">
        <v>1</v>
      </c>
      <c r="K115" s="45">
        <v>1</v>
      </c>
      <c r="L115" s="1">
        <v>996</v>
      </c>
      <c r="M115" s="1" t="s">
        <v>1188</v>
      </c>
      <c r="N115" s="1" t="s">
        <v>1141</v>
      </c>
      <c r="O115" s="1" t="s">
        <v>1189</v>
      </c>
      <c r="P115" s="1" t="s">
        <v>1190</v>
      </c>
      <c r="Q115" s="44">
        <f>IF($L115=996,Multipliers!C$174,IF($L115=997,Multipliers!C$175,IF($L115=998,Multipliers!C$176,"NONE")))</f>
        <v>1.29</v>
      </c>
      <c r="R115" s="44">
        <f>IF($L115=996,Multipliers!C$5,IF($L115=997,Multipliers!C$6,IF($L115=998,Multipliers!C$7,"NONE")))</f>
        <v>1.34</v>
      </c>
      <c r="S115" s="46">
        <f>IF(N115="Standard",$O$5*Q115*$O$7,IF(N115="Severe",$O$4*Q115*$O$7,IF(N115="Hostile",$O$3*Q115*$O$7)))</f>
        <v>572333.63565000007</v>
      </c>
      <c r="T115" s="46">
        <f>IF(N115="Standard",$P$5*R115*$O$7,IF(N115="Severe",$P$4*R115*$O$7,IF(N115="Hostile",$P$3*R115*$O$7)))</f>
        <v>595942.1664000001</v>
      </c>
      <c r="U115" s="46">
        <f t="shared" si="34"/>
        <v>589982.74473600008</v>
      </c>
      <c r="V115" s="46">
        <f>(S115+U115)/2</f>
        <v>581158.19019300002</v>
      </c>
      <c r="W115" s="47">
        <f t="shared" si="35"/>
        <v>581158.19019300002</v>
      </c>
      <c r="X115" s="47"/>
      <c r="Y115" s="48">
        <f>IF(N115="Standard",(((($Z$3*Q115)+($AD$3*R115*$T$5))/2)*$O$7),IF(N115="Severe",(((($AA$3*Q115)+($AE$3*R115*$T$5))/2)*$O$7),IF(N115="Hostile",(((($AB$3*Q115)+($AF$3*R115*$T$5))/2)*$O$7))))</f>
        <v>465666.31849500001</v>
      </c>
      <c r="Z115" s="48">
        <f>IF(N115="Standard",(((($Z$4*Q115)+($AD$4*R115*$T$5))/2)*$O$7),IF(N115="Severe",(((($AA$4*Q115)+($AE$4*R115*$T$5))/2)*$O$7),IF(N115="Hostile",(((($AB$4*Q115)+($AF$4*R115*$T$5))/2)*$O$7))))</f>
        <v>514428.62433899997</v>
      </c>
      <c r="AA115" s="48">
        <f>IF(N115="Standard",((($Z$5*Q115)+($AD$5*R115*$T$5))/2)*$O$7,IF(N115="Severe",((($AA$5*Q115)+($AE$5*R115*$T$5))/2)*$O$7,IF(N115="Hostile",((($AB$5*Q115)+($AF$5*R115*$T$5))/2)*$O$7)))</f>
        <v>581158.19019300013</v>
      </c>
      <c r="AB115" s="48">
        <f>IF(N115="Standard",((($Z$6*Q115)+($AD$6*R115*$T$5))/2)*$O$7,IF(N115="Severe",((($AA$6*Q115)+($AE$6*R115*$T$5))/2)*$O$7,IF(N115="Hostile",((($AB$6*Q115)+($AF$6*R115*$T$5))/2)*$O$7)))</f>
        <v>629926.37213100016</v>
      </c>
      <c r="AC115" s="48">
        <f>IF(N115="Standard",((($Z$7*Q115)+($AD$7*R115*$T$5))/2)*$O$7,IF(N115="Severe",((($AA$7*Q115)+($AE$7*R115*$T$5))/2)*$O$7,IF(N115="Hostile",((($AB$7*Q115)+($AF$7*R115*$T$5))/2)*$O$7)))</f>
        <v>679867.06659900001</v>
      </c>
      <c r="AD115" s="1"/>
      <c r="AE115" s="1"/>
      <c r="AF115" s="1"/>
      <c r="AI115" s="9"/>
      <c r="AJ115" s="1"/>
      <c r="AK115" s="1"/>
      <c r="AL115" s="1"/>
      <c r="AM115" s="1"/>
      <c r="AN115" s="1"/>
      <c r="AO115" s="1"/>
      <c r="AP115" s="9"/>
      <c r="AQ115" s="3"/>
      <c r="AR115" s="4"/>
      <c r="AS115" s="1"/>
      <c r="AT115" s="1"/>
      <c r="AU115" s="1"/>
      <c r="AV115" s="1"/>
      <c r="AW115" s="1"/>
      <c r="AX115" s="3"/>
      <c r="AY115" s="3"/>
      <c r="AZ115" s="5"/>
      <c r="BA115" s="5"/>
      <c r="BB115" s="5"/>
      <c r="BC115" s="5"/>
      <c r="BD115" s="6"/>
      <c r="BE115" s="6"/>
      <c r="BF115" s="12"/>
      <c r="BG115" s="12"/>
      <c r="BH115" s="12"/>
      <c r="BI115" s="12"/>
      <c r="BJ115" s="12"/>
    </row>
    <row r="116" spans="2:62" x14ac:dyDescent="0.25">
      <c r="B116" s="1" t="s">
        <v>1180</v>
      </c>
      <c r="C116" s="1" t="s">
        <v>1516</v>
      </c>
      <c r="D116" s="1" t="s">
        <v>1190</v>
      </c>
      <c r="E116" s="1" t="s">
        <v>1517</v>
      </c>
      <c r="F116" s="1" t="s">
        <v>1518</v>
      </c>
      <c r="G116" s="1" t="s">
        <v>1236</v>
      </c>
      <c r="H116" s="1" t="s">
        <v>1237</v>
      </c>
      <c r="I116" s="7" t="s">
        <v>1187</v>
      </c>
      <c r="J116" s="44">
        <v>1</v>
      </c>
      <c r="K116" s="45">
        <v>1</v>
      </c>
      <c r="L116" s="1">
        <v>997</v>
      </c>
      <c r="M116" s="1" t="s">
        <v>1188</v>
      </c>
      <c r="N116" s="1" t="s">
        <v>1141</v>
      </c>
      <c r="O116" s="1" t="s">
        <v>1189</v>
      </c>
      <c r="P116" s="7" t="s">
        <v>1073</v>
      </c>
      <c r="Q116" s="44">
        <f>IF($L116=996,Multipliers!C$174,IF($L116=997,Multipliers!C$175,IF($L116=998,Multipliers!C$176,"NONE")))</f>
        <v>1.3</v>
      </c>
      <c r="R116" s="44">
        <f>IF($L116=996,Multipliers!C$5,IF($L116=997,Multipliers!C$6,IF($L116=998,Multipliers!C$7,"NONE")))</f>
        <v>1.34</v>
      </c>
      <c r="S116" s="46">
        <f t="shared" si="32"/>
        <v>576770.33050000016</v>
      </c>
      <c r="T116" s="46">
        <f t="shared" si="33"/>
        <v>595942.1664000001</v>
      </c>
      <c r="U116" s="46">
        <f t="shared" si="34"/>
        <v>589982.74473600008</v>
      </c>
      <c r="V116" s="46">
        <f t="shared" ref="V116:V121" si="36">((S116+U116)/2*1.15)</f>
        <v>670883.01826070005</v>
      </c>
      <c r="W116" s="47">
        <f t="shared" si="35"/>
        <v>670883.01826070005</v>
      </c>
      <c r="X116" s="47"/>
      <c r="Y116" s="48">
        <f t="shared" ref="Y116:Y121" si="37">IF(N116="Standard",(((($Z$3*Q116)+($AD$3*R116*$T$5))/2)*$O$7*1.15),IF(N116="Severe",(((($AA$3*Q116)+($AE$3*R116*$T$5))/2)*$O$7*1.15),IF(N116="Hostile",(((($AB$3*Q116)+($AF$3*R116*$T$5))/2)*$O$7*1.15))))</f>
        <v>537627.23286300001</v>
      </c>
      <c r="Z116" s="48">
        <f t="shared" ref="Z116:Z121" si="38">IF(N116="Standard",(((($Z$4*Q116)+($AD$4*R116*$T$5))/2)*$O$7*1.15),IF(N116="Severe",(((($AA$4*Q116)+($AE$4*R116*$T$5))/2)*$O$7*1.15),IF(N116="Hostile",(((($AB$4*Q116)+($AF$4*R116*$T$5))/2)*$O$7*1.15))))</f>
        <v>593892.8539060998</v>
      </c>
      <c r="AA116" s="48">
        <f t="shared" ref="AA116:AA121" si="39">IF(N116="Standard",(((($Z$5*Q116)+($AD$5*R116*$T$5))/2)*$O$7*1.15),IF(N116="Severe",(((($AA$5*Q116)+($AE$5*R116*$T$5))/2)*$O$7*1.15),IF(N116="Hostile",(((($AB$5*Q116)+($AF$5*R116*$T$5))/2)*$O$7*1.15))))</f>
        <v>670883.01826070005</v>
      </c>
      <c r="AB116" s="48">
        <f t="shared" ref="AB116:AB121" si="40">IF(N116="Standard",(((($Z$6*Q116)+($AD$6*R116*$T$5))/2)*$O$7*1.15),IF(N116="Severe",(((($AA$6*Q116)+($AE$6*R116*$T$5))/2)*$O$7*1.15),IF(N116="Hostile",(((($AB$6*Q116)+($AF$6*R116*$T$5))/2)*$O$7*1.15))))</f>
        <v>727154.03193440009</v>
      </c>
      <c r="AC116" s="48">
        <f t="shared" ref="AC116:AC121" si="41">IF(N116="Standard",(((($Z$7*Q116)+($AD$7*R116*$T$5))/2)*$O$7*1.15),IF(N116="Severe",(((($AA$7*Q116)+($AE$7*R116*$T$5))/2)*$O$7*1.15),IF(N116="Hostile",(((($AB$7*Q116)+($AF$7*R116*$T$5))/2)*$O$7*1.15))))</f>
        <v>784795.42359260004</v>
      </c>
      <c r="AD116" s="1"/>
      <c r="AE116" s="1"/>
      <c r="AF116" s="1"/>
      <c r="AI116" s="9"/>
      <c r="AJ116" s="1"/>
      <c r="AK116" s="1"/>
      <c r="AL116" s="1"/>
      <c r="AM116" s="1"/>
      <c r="AN116" s="1"/>
      <c r="AO116" s="1"/>
      <c r="AP116" s="9"/>
      <c r="AQ116" s="3"/>
      <c r="AR116" s="4"/>
      <c r="AS116" s="1"/>
      <c r="AT116" s="1"/>
      <c r="AU116" s="1"/>
      <c r="AV116" s="1"/>
      <c r="AW116" s="1"/>
      <c r="AX116" s="3"/>
      <c r="AY116" s="3"/>
      <c r="AZ116" s="5"/>
      <c r="BA116" s="5"/>
      <c r="BB116" s="5"/>
      <c r="BC116" s="5"/>
      <c r="BD116" s="6"/>
      <c r="BE116" s="6"/>
      <c r="BF116" s="12"/>
      <c r="BG116" s="12"/>
      <c r="BH116" s="12"/>
      <c r="BI116" s="12"/>
      <c r="BJ116" s="12"/>
    </row>
    <row r="117" spans="2:62" x14ac:dyDescent="0.25">
      <c r="B117" s="1" t="s">
        <v>1180</v>
      </c>
      <c r="C117" s="1" t="s">
        <v>1519</v>
      </c>
      <c r="D117" s="1" t="s">
        <v>1190</v>
      </c>
      <c r="E117" s="1" t="s">
        <v>1520</v>
      </c>
      <c r="F117" s="1" t="s">
        <v>1521</v>
      </c>
      <c r="G117" s="1" t="s">
        <v>1210</v>
      </c>
      <c r="H117" s="1" t="s">
        <v>1211</v>
      </c>
      <c r="I117" s="7" t="s">
        <v>1187</v>
      </c>
      <c r="J117" s="44">
        <v>1</v>
      </c>
      <c r="K117" s="45">
        <v>1</v>
      </c>
      <c r="L117" s="1">
        <v>997</v>
      </c>
      <c r="M117" s="1" t="s">
        <v>1188</v>
      </c>
      <c r="N117" s="1" t="s">
        <v>1141</v>
      </c>
      <c r="O117" s="1" t="s">
        <v>1189</v>
      </c>
      <c r="P117" s="7" t="s">
        <v>1073</v>
      </c>
      <c r="Q117" s="44">
        <f>IF($L117=996,Multipliers!C$174,IF($L117=997,Multipliers!C$175,IF($L117=998,Multipliers!C$176,"NONE")))</f>
        <v>1.3</v>
      </c>
      <c r="R117" s="44">
        <f>IF($L117=996,Multipliers!C$5,IF($L117=997,Multipliers!C$6,IF($L117=998,Multipliers!C$7,"NONE")))</f>
        <v>1.34</v>
      </c>
      <c r="S117" s="46">
        <f t="shared" si="32"/>
        <v>576770.33050000016</v>
      </c>
      <c r="T117" s="46">
        <f t="shared" si="33"/>
        <v>595942.1664000001</v>
      </c>
      <c r="U117" s="46">
        <f t="shared" si="34"/>
        <v>589982.74473600008</v>
      </c>
      <c r="V117" s="46">
        <f t="shared" si="36"/>
        <v>670883.01826070005</v>
      </c>
      <c r="W117" s="47">
        <f t="shared" si="35"/>
        <v>670883.01826070005</v>
      </c>
      <c r="X117" s="47"/>
      <c r="Y117" s="48">
        <f t="shared" si="37"/>
        <v>537627.23286300001</v>
      </c>
      <c r="Z117" s="48">
        <f t="shared" si="38"/>
        <v>593892.8539060998</v>
      </c>
      <c r="AA117" s="48">
        <f t="shared" si="39"/>
        <v>670883.01826070005</v>
      </c>
      <c r="AB117" s="48">
        <f t="shared" si="40"/>
        <v>727154.03193440009</v>
      </c>
      <c r="AC117" s="48">
        <f t="shared" si="41"/>
        <v>784795.42359260004</v>
      </c>
      <c r="AD117" s="1"/>
      <c r="AE117" s="1"/>
      <c r="AF117" s="1"/>
      <c r="AI117" s="9"/>
      <c r="AJ117" s="1"/>
      <c r="AK117" s="1"/>
      <c r="AL117" s="1"/>
      <c r="AM117" s="1"/>
      <c r="AN117" s="1"/>
      <c r="AO117" s="1"/>
      <c r="AP117" s="9"/>
      <c r="AQ117" s="3"/>
      <c r="AR117" s="4"/>
      <c r="AS117" s="1"/>
      <c r="AT117" s="1"/>
      <c r="AU117" s="1"/>
      <c r="AV117" s="1"/>
      <c r="AW117" s="1"/>
      <c r="AX117" s="3"/>
      <c r="AY117" s="3"/>
      <c r="AZ117" s="5"/>
      <c r="BA117" s="5"/>
      <c r="BB117" s="5"/>
      <c r="BC117" s="5"/>
      <c r="BD117" s="6"/>
      <c r="BE117" s="6"/>
      <c r="BF117" s="12"/>
      <c r="BG117" s="12"/>
      <c r="BH117" s="12"/>
      <c r="BI117" s="12"/>
      <c r="BJ117" s="12"/>
    </row>
    <row r="118" spans="2:62" x14ac:dyDescent="0.25">
      <c r="B118" s="1" t="s">
        <v>1180</v>
      </c>
      <c r="C118" s="1" t="s">
        <v>1181</v>
      </c>
      <c r="D118" s="1" t="s">
        <v>1522</v>
      </c>
      <c r="E118" s="1" t="s">
        <v>1523</v>
      </c>
      <c r="F118" s="1" t="s">
        <v>1524</v>
      </c>
      <c r="G118" s="1" t="s">
        <v>1294</v>
      </c>
      <c r="H118" s="1" t="s">
        <v>1295</v>
      </c>
      <c r="I118" s="7" t="s">
        <v>1187</v>
      </c>
      <c r="J118" s="44">
        <v>1</v>
      </c>
      <c r="K118" s="45">
        <v>1</v>
      </c>
      <c r="L118" s="1">
        <v>997</v>
      </c>
      <c r="M118" s="1" t="s">
        <v>1188</v>
      </c>
      <c r="N118" s="1" t="s">
        <v>1141</v>
      </c>
      <c r="O118" s="1" t="s">
        <v>1189</v>
      </c>
      <c r="P118" s="7" t="s">
        <v>1073</v>
      </c>
      <c r="Q118" s="44">
        <f>IF($L118=996,Multipliers!C$174,IF($L118=997,Multipliers!C$175,IF($L118=998,Multipliers!C$176,"NONE")))</f>
        <v>1.3</v>
      </c>
      <c r="R118" s="44">
        <f>IF($L118=996,Multipliers!C$5,IF($L118=997,Multipliers!C$6,IF($L118=998,Multipliers!C$7,"NONE")))</f>
        <v>1.34</v>
      </c>
      <c r="S118" s="46">
        <f>IF(N118="Standard",$O$5*Q118*$O$7,IF(N118="Severe",$O$4*Q118*$O$7,IF(N118="Hostile",$O$3*Q118*$O$7)))</f>
        <v>576770.33050000016</v>
      </c>
      <c r="T118" s="46">
        <f>IF(N118="Standard",$P$5*R118*$O$7,IF(N118="Severe",$P$4*R118*$O$7,IF(N118="Hostile",$P$3*R118*$O$7)))</f>
        <v>595942.1664000001</v>
      </c>
      <c r="U118" s="46">
        <f t="shared" si="34"/>
        <v>589982.74473600008</v>
      </c>
      <c r="V118" s="46">
        <f t="shared" si="36"/>
        <v>670883.01826070005</v>
      </c>
      <c r="W118" s="47">
        <f t="shared" si="35"/>
        <v>670883.01826070005</v>
      </c>
      <c r="X118" s="47"/>
      <c r="Y118" s="48">
        <f t="shared" si="37"/>
        <v>537627.23286300001</v>
      </c>
      <c r="Z118" s="48">
        <f t="shared" si="38"/>
        <v>593892.8539060998</v>
      </c>
      <c r="AA118" s="48">
        <f t="shared" si="39"/>
        <v>670883.01826070005</v>
      </c>
      <c r="AB118" s="48">
        <f t="shared" si="40"/>
        <v>727154.03193440009</v>
      </c>
      <c r="AC118" s="48">
        <f t="shared" si="41"/>
        <v>784795.42359260004</v>
      </c>
      <c r="AD118" s="1"/>
      <c r="AE118" s="1"/>
      <c r="AF118" s="1"/>
      <c r="AI118" s="9"/>
      <c r="AJ118" s="1"/>
      <c r="AK118" s="1"/>
      <c r="AL118" s="1"/>
      <c r="AM118" s="1"/>
      <c r="AN118" s="1"/>
      <c r="AO118" s="1"/>
      <c r="AP118" s="9"/>
      <c r="AQ118" s="3"/>
      <c r="AR118" s="4"/>
      <c r="AS118" s="1"/>
      <c r="AT118" s="1"/>
      <c r="AU118" s="1"/>
      <c r="AV118" s="1"/>
      <c r="AW118" s="1"/>
      <c r="AX118" s="3"/>
      <c r="AY118" s="3"/>
      <c r="AZ118" s="5"/>
      <c r="BA118" s="5"/>
      <c r="BB118" s="5"/>
      <c r="BC118" s="5"/>
      <c r="BD118" s="6"/>
      <c r="BE118" s="6"/>
      <c r="BF118" s="12"/>
      <c r="BG118" s="12"/>
      <c r="BH118" s="12"/>
      <c r="BI118" s="12"/>
      <c r="BJ118" s="12"/>
    </row>
    <row r="119" spans="2:62" x14ac:dyDescent="0.25">
      <c r="B119" s="1" t="s">
        <v>1180</v>
      </c>
      <c r="C119" s="1"/>
      <c r="D119" s="1"/>
      <c r="E119" s="1"/>
      <c r="F119" s="1" t="s">
        <v>1525</v>
      </c>
      <c r="G119" s="84" t="s">
        <v>1223</v>
      </c>
      <c r="H119" s="84" t="s">
        <v>1224</v>
      </c>
      <c r="I119" s="7" t="s">
        <v>1187</v>
      </c>
      <c r="J119" s="44">
        <v>1</v>
      </c>
      <c r="K119" s="1">
        <v>1</v>
      </c>
      <c r="L119" s="7">
        <v>997</v>
      </c>
      <c r="M119" s="1" t="s">
        <v>1188</v>
      </c>
      <c r="N119" s="1" t="s">
        <v>1141</v>
      </c>
      <c r="O119" s="1" t="s">
        <v>1189</v>
      </c>
      <c r="P119" s="7" t="s">
        <v>1073</v>
      </c>
      <c r="Q119" s="44">
        <f>IF($L119=996,Multipliers!C$174,IF($L119=997,Multipliers!C$175,IF($L119=998,Multipliers!C$176,"NONE")))</f>
        <v>1.3</v>
      </c>
      <c r="R119" s="44">
        <f>IF($L119=996,Multipliers!C$5,IF($L119=997,Multipliers!C$6,IF($L119=998,Multipliers!C$7,"NONE")))</f>
        <v>1.34</v>
      </c>
      <c r="S119" s="46">
        <f>IF(N119="Standard",$O$5*Q119*$O$7,IF(N119="Severe",$O$4*Q119*$O$7,IF(N119="Hostile",$O$3*Q119*$O$7)))</f>
        <v>576770.33050000016</v>
      </c>
      <c r="T119" s="46">
        <f>IF(N119="Standard",$P$5*R119*$O$7,IF(N119="Severe",$P$4*R119*$O$7,IF(N119="Hostile",$P$3*R119*$O$7)))</f>
        <v>595942.1664000001</v>
      </c>
      <c r="U119" s="46">
        <f>IF(O119="E",$T$3*T119,IF(O119="C",$T$4*T119,IF(O119="W",$T$5*T119,1)))</f>
        <v>589982.74473600008</v>
      </c>
      <c r="V119" s="46">
        <f t="shared" si="36"/>
        <v>670883.01826070005</v>
      </c>
      <c r="W119" s="47">
        <f>IF(F119=F120,(V119+V120)/2,IF(F119=F118,(V119+V118)/2,IF(F119&lt;&gt;F118,V119)))</f>
        <v>670883.01826070005</v>
      </c>
      <c r="X119" s="47"/>
      <c r="Y119" s="48">
        <f t="shared" si="37"/>
        <v>537627.23286300001</v>
      </c>
      <c r="Z119" s="48">
        <f t="shared" si="38"/>
        <v>593892.8539060998</v>
      </c>
      <c r="AA119" s="48">
        <f t="shared" si="39"/>
        <v>670883.01826070005</v>
      </c>
      <c r="AB119" s="48">
        <f t="shared" si="40"/>
        <v>727154.03193440009</v>
      </c>
      <c r="AC119" s="48">
        <f t="shared" si="41"/>
        <v>784795.42359260004</v>
      </c>
      <c r="AD119" s="1"/>
      <c r="AE119" s="1"/>
      <c r="AF119" s="1"/>
    </row>
    <row r="120" spans="2:62" x14ac:dyDescent="0.25">
      <c r="B120" s="1" t="s">
        <v>1180</v>
      </c>
      <c r="C120" s="1" t="s">
        <v>1526</v>
      </c>
      <c r="D120" s="1" t="s">
        <v>1190</v>
      </c>
      <c r="E120" s="1" t="s">
        <v>1527</v>
      </c>
      <c r="F120" s="1" t="s">
        <v>1528</v>
      </c>
      <c r="G120" s="1" t="s">
        <v>1202</v>
      </c>
      <c r="H120" s="1" t="s">
        <v>1203</v>
      </c>
      <c r="I120" s="7" t="s">
        <v>1187</v>
      </c>
      <c r="J120" s="44">
        <v>1</v>
      </c>
      <c r="K120" s="45">
        <v>1</v>
      </c>
      <c r="L120" s="1">
        <v>997</v>
      </c>
      <c r="M120" s="1" t="s">
        <v>1188</v>
      </c>
      <c r="N120" s="1" t="s">
        <v>1141</v>
      </c>
      <c r="O120" s="1" t="s">
        <v>1189</v>
      </c>
      <c r="P120" s="7" t="s">
        <v>1073</v>
      </c>
      <c r="Q120" s="44">
        <f>IF($L120=996,Multipliers!C$174,IF($L120=997,Multipliers!C$175,IF($L120=998,Multipliers!C$176,"NONE")))</f>
        <v>1.3</v>
      </c>
      <c r="R120" s="44">
        <f>IF($L120=996,Multipliers!C$5,IF($L120=997,Multipliers!C$6,IF($L120=998,Multipliers!C$7,"NONE")))</f>
        <v>1.34</v>
      </c>
      <c r="S120" s="46">
        <f>IF(N120="Standard",$O$5*Q120*$O$7,IF(N120="Severe",$O$4*Q120*$O$7,IF(N120="Hostile",$O$3*Q120*$O$7)))</f>
        <v>576770.33050000016</v>
      </c>
      <c r="T120" s="46">
        <f>IF(N120="Standard",$P$5*R120*$O$7,IF(N120="Severe",$P$4*R120*$O$7,IF(N120="Hostile",$P$3*R120*$O$7)))</f>
        <v>595942.1664000001</v>
      </c>
      <c r="U120" s="46">
        <f t="shared" si="34"/>
        <v>589982.74473600008</v>
      </c>
      <c r="V120" s="46">
        <f t="shared" si="36"/>
        <v>670883.01826070005</v>
      </c>
      <c r="W120" s="47">
        <f t="shared" ref="W120:W128" si="42">IF(F120=F121,(V120+V121)/2,IF(F120=F119,(V120+V119)/2,IF(F120&lt;&gt;F119,V120)))</f>
        <v>670883.01826070005</v>
      </c>
      <c r="X120" s="47"/>
      <c r="Y120" s="48">
        <f t="shared" si="37"/>
        <v>537627.23286300001</v>
      </c>
      <c r="Z120" s="48">
        <f t="shared" si="38"/>
        <v>593892.8539060998</v>
      </c>
      <c r="AA120" s="48">
        <f t="shared" si="39"/>
        <v>670883.01826070005</v>
      </c>
      <c r="AB120" s="48">
        <f t="shared" si="40"/>
        <v>727154.03193440009</v>
      </c>
      <c r="AC120" s="48">
        <f t="shared" si="41"/>
        <v>784795.42359260004</v>
      </c>
      <c r="AD120" s="1"/>
      <c r="AE120" s="1"/>
      <c r="AF120" s="1"/>
      <c r="AI120" s="9"/>
      <c r="AJ120" s="1"/>
      <c r="AK120" s="1"/>
      <c r="AL120" s="1"/>
      <c r="AM120" s="1"/>
      <c r="AN120" s="1"/>
      <c r="AO120" s="1"/>
      <c r="AP120" s="9"/>
      <c r="AQ120" s="3"/>
      <c r="AR120" s="4"/>
      <c r="AS120" s="1"/>
      <c r="AT120" s="1"/>
      <c r="AU120" s="1"/>
      <c r="AV120" s="1"/>
      <c r="AW120" s="1"/>
      <c r="AX120" s="3"/>
      <c r="AY120" s="3"/>
      <c r="AZ120" s="5"/>
      <c r="BA120" s="5"/>
      <c r="BB120" s="5"/>
      <c r="BC120" s="5"/>
      <c r="BD120" s="6"/>
      <c r="BE120" s="6"/>
      <c r="BF120" s="12"/>
      <c r="BG120" s="12"/>
      <c r="BH120" s="12"/>
      <c r="BI120" s="12"/>
      <c r="BJ120" s="12"/>
    </row>
    <row r="121" spans="2:62" x14ac:dyDescent="0.25">
      <c r="B121" s="1" t="s">
        <v>1180</v>
      </c>
      <c r="C121" s="1" t="s">
        <v>1529</v>
      </c>
      <c r="D121" s="1" t="s">
        <v>1190</v>
      </c>
      <c r="E121" s="1" t="s">
        <v>1530</v>
      </c>
      <c r="F121" s="1" t="s">
        <v>1531</v>
      </c>
      <c r="G121" s="1" t="s">
        <v>1236</v>
      </c>
      <c r="H121" s="1" t="s">
        <v>1237</v>
      </c>
      <c r="I121" s="7" t="s">
        <v>1187</v>
      </c>
      <c r="J121" s="44">
        <v>1</v>
      </c>
      <c r="K121" s="45">
        <v>1</v>
      </c>
      <c r="L121" s="1">
        <v>997</v>
      </c>
      <c r="M121" s="1" t="s">
        <v>1188</v>
      </c>
      <c r="N121" s="1" t="s">
        <v>1141</v>
      </c>
      <c r="O121" s="1" t="s">
        <v>1189</v>
      </c>
      <c r="P121" s="7" t="s">
        <v>1073</v>
      </c>
      <c r="Q121" s="44">
        <f>IF($L121=996,Multipliers!C$174,IF($L121=997,Multipliers!C$175,IF($L121=998,Multipliers!C$176,"NONE")))</f>
        <v>1.3</v>
      </c>
      <c r="R121" s="44">
        <f>IF($L121=996,Multipliers!C$5,IF($L121=997,Multipliers!C$6,IF($L121=998,Multipliers!C$7,"NONE")))</f>
        <v>1.34</v>
      </c>
      <c r="S121" s="46">
        <f t="shared" si="32"/>
        <v>576770.33050000016</v>
      </c>
      <c r="T121" s="46">
        <f t="shared" si="33"/>
        <v>595942.1664000001</v>
      </c>
      <c r="U121" s="46">
        <f t="shared" si="34"/>
        <v>589982.74473600008</v>
      </c>
      <c r="V121" s="46">
        <f t="shared" si="36"/>
        <v>670883.01826070005</v>
      </c>
      <c r="W121" s="47">
        <f t="shared" si="42"/>
        <v>670883.01826070005</v>
      </c>
      <c r="X121" s="47"/>
      <c r="Y121" s="48">
        <f t="shared" si="37"/>
        <v>537627.23286300001</v>
      </c>
      <c r="Z121" s="48">
        <f t="shared" si="38"/>
        <v>593892.8539060998</v>
      </c>
      <c r="AA121" s="48">
        <f t="shared" si="39"/>
        <v>670883.01826070005</v>
      </c>
      <c r="AB121" s="48">
        <f t="shared" si="40"/>
        <v>727154.03193440009</v>
      </c>
      <c r="AC121" s="48">
        <f t="shared" si="41"/>
        <v>784795.42359260004</v>
      </c>
      <c r="AD121" s="1"/>
      <c r="AE121" s="1"/>
      <c r="AF121" s="1"/>
      <c r="AI121" s="9"/>
      <c r="AJ121" s="1"/>
      <c r="AK121" s="1"/>
      <c r="AL121" s="1"/>
      <c r="AM121" s="1"/>
      <c r="AN121" s="1"/>
      <c r="AO121" s="1"/>
      <c r="AP121" s="9"/>
      <c r="AQ121" s="3"/>
      <c r="AR121" s="4"/>
      <c r="AS121" s="1"/>
      <c r="AT121" s="1"/>
      <c r="AU121" s="1"/>
      <c r="AV121" s="1"/>
      <c r="AW121" s="1"/>
      <c r="AX121" s="3"/>
      <c r="AY121" s="3"/>
      <c r="AZ121" s="5"/>
      <c r="BA121" s="5"/>
      <c r="BB121" s="5"/>
      <c r="BC121" s="5"/>
      <c r="BD121" s="6"/>
      <c r="BE121" s="6"/>
      <c r="BF121" s="12"/>
      <c r="BG121" s="12"/>
      <c r="BH121" s="12"/>
      <c r="BI121" s="12"/>
      <c r="BJ121" s="12"/>
    </row>
    <row r="122" spans="2:62" x14ac:dyDescent="0.25">
      <c r="B122" s="1" t="s">
        <v>1180</v>
      </c>
      <c r="C122" s="1" t="s">
        <v>1532</v>
      </c>
      <c r="D122" s="1" t="s">
        <v>1190</v>
      </c>
      <c r="E122" s="1" t="s">
        <v>1533</v>
      </c>
      <c r="F122" s="1" t="s">
        <v>1539</v>
      </c>
      <c r="G122" s="1" t="s">
        <v>1249</v>
      </c>
      <c r="H122" s="1" t="s">
        <v>1250</v>
      </c>
      <c r="I122" s="7" t="s">
        <v>1187</v>
      </c>
      <c r="J122" s="44">
        <v>1</v>
      </c>
      <c r="K122" s="45">
        <v>1</v>
      </c>
      <c r="L122" s="1">
        <v>996</v>
      </c>
      <c r="M122" s="1" t="s">
        <v>1188</v>
      </c>
      <c r="N122" s="1" t="s">
        <v>1141</v>
      </c>
      <c r="O122" s="1" t="s">
        <v>1189</v>
      </c>
      <c r="P122" s="1" t="s">
        <v>1190</v>
      </c>
      <c r="Q122" s="44">
        <f>IF($L122=996,Multipliers!C$174,IF($L122=997,Multipliers!C$175,IF($L122=998,Multipliers!C$176,"NONE")))</f>
        <v>1.29</v>
      </c>
      <c r="R122" s="44">
        <f>IF($L122=996,Multipliers!C$5,IF($L122=997,Multipliers!C$6,IF($L122=998,Multipliers!C$7,"NONE")))</f>
        <v>1.34</v>
      </c>
      <c r="S122" s="46">
        <f t="shared" si="32"/>
        <v>572333.63565000007</v>
      </c>
      <c r="T122" s="46">
        <f t="shared" si="33"/>
        <v>595942.1664000001</v>
      </c>
      <c r="U122" s="46">
        <f t="shared" si="34"/>
        <v>589982.74473600008</v>
      </c>
      <c r="V122" s="46">
        <f>(S122+U122)/2</f>
        <v>581158.19019300002</v>
      </c>
      <c r="W122" s="47">
        <f t="shared" si="42"/>
        <v>581158.19019300002</v>
      </c>
      <c r="X122" s="47"/>
      <c r="Y122" s="48">
        <f>IF(N122="Standard",(((($Z$3*Q122)+($AD$3*R122*$T$5))/2)*$O$7),IF(N122="Severe",(((($AA$3*Q122)+($AE$3*R122*$T$5))/2)*$O$7),IF(N122="Hostile",(((($AB$3*Q122)+($AF$3*R122*$T$5))/2)*$O$7))))</f>
        <v>465666.31849500001</v>
      </c>
      <c r="Z122" s="48">
        <f>IF(N122="Standard",(((($Z$4*Q122)+($AD$4*R122*$T$5))/2)*$O$7),IF(N122="Severe",(((($AA$4*Q122)+($AE$4*R122*$T$5))/2)*$O$7),IF(N122="Hostile",(((($AB$4*Q122)+($AF$4*R122*$T$5))/2)*$O$7))))</f>
        <v>514428.62433899997</v>
      </c>
      <c r="AA122" s="48">
        <f>IF(N122="Standard",((($Z$5*Q122)+($AD$5*R122*$T$5))/2)*$O$7,IF(N122="Severe",((($AA$5*Q122)+($AE$5*R122*$T$5))/2)*$O$7,IF(N122="Hostile",((($AB$5*Q122)+($AF$5*R122*$T$5))/2)*$O$7)))</f>
        <v>581158.19019300013</v>
      </c>
      <c r="AB122" s="48">
        <f>IF(N122="Standard",((($Z$6*Q122)+($AD$6*R122*$T$5))/2)*$O$7,IF(N122="Severe",((($AA$6*Q122)+($AE$6*R122*$T$5))/2)*$O$7,IF(N122="Hostile",((($AB$6*Q122)+($AF$6*R122*$T$5))/2)*$O$7)))</f>
        <v>629926.37213100016</v>
      </c>
      <c r="AC122" s="48">
        <f>IF(N122="Standard",((($Z$7*Q122)+($AD$7*R122*$T$5))/2)*$O$7,IF(N122="Severe",((($AA$7*Q122)+($AE$7*R122*$T$5))/2)*$O$7,IF(N122="Hostile",((($AB$7*Q122)+($AF$7*R122*$T$5))/2)*$O$7)))</f>
        <v>679867.06659900001</v>
      </c>
      <c r="AD122" s="1"/>
      <c r="AE122" s="1"/>
      <c r="AF122" s="1"/>
      <c r="AI122" s="9"/>
      <c r="AJ122" s="1"/>
      <c r="AK122" s="1"/>
      <c r="AL122" s="1"/>
      <c r="AM122" s="1"/>
      <c r="AN122" s="1"/>
      <c r="AO122" s="1"/>
      <c r="AP122" s="9"/>
      <c r="AQ122" s="3"/>
      <c r="AR122" s="4"/>
      <c r="AS122" s="1"/>
      <c r="AT122" s="1"/>
      <c r="AU122" s="1"/>
      <c r="AV122" s="1"/>
      <c r="AW122" s="1"/>
      <c r="AX122" s="3"/>
      <c r="AY122" s="3"/>
      <c r="AZ122" s="5"/>
      <c r="BA122" s="5"/>
      <c r="BB122" s="5"/>
      <c r="BC122" s="5"/>
      <c r="BD122" s="6"/>
      <c r="BE122" s="6"/>
      <c r="BF122" s="12"/>
      <c r="BG122" s="12"/>
      <c r="BH122" s="12"/>
      <c r="BI122" s="12"/>
      <c r="BJ122" s="12"/>
    </row>
    <row r="123" spans="2:62" x14ac:dyDescent="0.25">
      <c r="B123" s="1" t="s">
        <v>1180</v>
      </c>
      <c r="C123" s="1" t="s">
        <v>1540</v>
      </c>
      <c r="D123" s="1" t="s">
        <v>1190</v>
      </c>
      <c r="E123" s="1" t="s">
        <v>1541</v>
      </c>
      <c r="F123" s="1" t="s">
        <v>1542</v>
      </c>
      <c r="G123" s="1" t="s">
        <v>1194</v>
      </c>
      <c r="H123" s="1" t="s">
        <v>1195</v>
      </c>
      <c r="I123" s="7" t="s">
        <v>1187</v>
      </c>
      <c r="J123" s="44">
        <v>1</v>
      </c>
      <c r="K123" s="45">
        <v>1</v>
      </c>
      <c r="L123" s="1">
        <v>996</v>
      </c>
      <c r="M123" s="1" t="s">
        <v>1188</v>
      </c>
      <c r="N123" s="1" t="s">
        <v>1141</v>
      </c>
      <c r="O123" s="1" t="s">
        <v>1189</v>
      </c>
      <c r="P123" s="1" t="s">
        <v>1190</v>
      </c>
      <c r="Q123" s="44">
        <f>IF($L123=996,Multipliers!C$174,IF($L123=997,Multipliers!C$175,IF($L123=998,Multipliers!C$176,"NONE")))</f>
        <v>1.29</v>
      </c>
      <c r="R123" s="44">
        <f>IF($L123=996,Multipliers!C$5,IF($L123=997,Multipliers!C$6,IF($L123=998,Multipliers!C$7,"NONE")))</f>
        <v>1.34</v>
      </c>
      <c r="S123" s="46">
        <f>IF(N123="Standard",$O$5*Q123*$O$7,IF(N123="Severe",$O$4*Q123*$O$7,IF(N123="Hostile",$O$3*Q123*$O$7)))</f>
        <v>572333.63565000007</v>
      </c>
      <c r="T123" s="46">
        <f>IF(N123="Standard",$P$5*R123*$O$7,IF(N123="Severe",$P$4*R123*$O$7,IF(N123="Hostile",$P$3*R123*$O$7)))</f>
        <v>595942.1664000001</v>
      </c>
      <c r="U123" s="46">
        <f t="shared" si="34"/>
        <v>589982.74473600008</v>
      </c>
      <c r="V123" s="46">
        <f>(S123+U123)/2</f>
        <v>581158.19019300002</v>
      </c>
      <c r="W123" s="47">
        <f t="shared" si="42"/>
        <v>581158.19019300002</v>
      </c>
      <c r="X123" s="47"/>
      <c r="Y123" s="48">
        <f>IF(N123="Standard",(((($Z$3*Q123)+($AD$3*R123*$T$5))/2)*$O$7),IF(N123="Severe",(((($AA$3*Q123)+($AE$3*R123*$T$5))/2)*$O$7),IF(N123="Hostile",(((($AB$3*Q123)+($AF$3*R123*$T$5))/2)*$O$7))))</f>
        <v>465666.31849500001</v>
      </c>
      <c r="Z123" s="48">
        <f>IF(N123="Standard",(((($Z$4*Q123)+($AD$4*R123*$T$5))/2)*$O$7),IF(N123="Severe",(((($AA$4*Q123)+($AE$4*R123*$T$5))/2)*$O$7),IF(N123="Hostile",(((($AB$4*Q123)+($AF$4*R123*$T$5))/2)*$O$7))))</f>
        <v>514428.62433899997</v>
      </c>
      <c r="AA123" s="48">
        <f>IF(N123="Standard",((($Z$5*Q123)+($AD$5*R123*$T$5))/2)*$O$7,IF(N123="Severe",((($AA$5*Q123)+($AE$5*R123*$T$5))/2)*$O$7,IF(N123="Hostile",((($AB$5*Q123)+($AF$5*R123*$T$5))/2)*$O$7)))</f>
        <v>581158.19019300013</v>
      </c>
      <c r="AB123" s="48">
        <f>IF(N123="Standard",((($Z$6*Q123)+($AD$6*R123*$T$5))/2)*$O$7,IF(N123="Severe",((($AA$6*Q123)+($AE$6*R123*$T$5))/2)*$O$7,IF(N123="Hostile",((($AB$6*Q123)+($AF$6*R123*$T$5))/2)*$O$7)))</f>
        <v>629926.37213100016</v>
      </c>
      <c r="AC123" s="48">
        <f>IF(N123="Standard",((($Z$7*Q123)+($AD$7*R123*$T$5))/2)*$O$7,IF(N123="Severe",((($AA$7*Q123)+($AE$7*R123*$T$5))/2)*$O$7,IF(N123="Hostile",((($AB$7*Q123)+($AF$7*R123*$T$5))/2)*$O$7)))</f>
        <v>679867.06659900001</v>
      </c>
      <c r="AD123" s="1"/>
      <c r="AE123" s="1"/>
      <c r="AF123" s="1"/>
      <c r="AI123" s="9"/>
      <c r="AJ123" s="1"/>
      <c r="AK123" s="1"/>
      <c r="AL123" s="1"/>
      <c r="AM123" s="1"/>
      <c r="AN123" s="1"/>
      <c r="AO123" s="1"/>
      <c r="AP123" s="9"/>
      <c r="AQ123" s="3"/>
      <c r="AR123" s="4"/>
      <c r="AS123" s="1"/>
      <c r="AT123" s="1"/>
      <c r="AU123" s="1"/>
      <c r="AV123" s="1"/>
      <c r="AW123" s="1"/>
      <c r="AX123" s="3"/>
      <c r="AY123" s="3"/>
      <c r="AZ123" s="5"/>
      <c r="BA123" s="5"/>
      <c r="BB123" s="5"/>
      <c r="BC123" s="5"/>
      <c r="BD123" s="6"/>
      <c r="BE123" s="6"/>
      <c r="BF123" s="12"/>
      <c r="BG123" s="12"/>
      <c r="BH123" s="12"/>
      <c r="BI123" s="12"/>
      <c r="BJ123" s="12"/>
    </row>
    <row r="124" spans="2:62" x14ac:dyDescent="0.25">
      <c r="B124" s="1" t="s">
        <v>1180</v>
      </c>
      <c r="C124" s="1" t="s">
        <v>1543</v>
      </c>
      <c r="D124" s="1" t="s">
        <v>1190</v>
      </c>
      <c r="E124" s="1" t="s">
        <v>1544</v>
      </c>
      <c r="F124" s="1" t="s">
        <v>1545</v>
      </c>
      <c r="G124" s="1" t="s">
        <v>1323</v>
      </c>
      <c r="H124" s="1" t="s">
        <v>1324</v>
      </c>
      <c r="I124" s="7" t="s">
        <v>1187</v>
      </c>
      <c r="J124" s="44">
        <v>1</v>
      </c>
      <c r="K124" s="45">
        <v>1</v>
      </c>
      <c r="L124" s="1">
        <v>996</v>
      </c>
      <c r="M124" s="1" t="s">
        <v>1188</v>
      </c>
      <c r="N124" s="1" t="s">
        <v>1141</v>
      </c>
      <c r="O124" s="1" t="s">
        <v>1189</v>
      </c>
      <c r="P124" s="1" t="s">
        <v>1190</v>
      </c>
      <c r="Q124" s="44">
        <f>IF($L124=996,Multipliers!C$174,IF($L124=997,Multipliers!C$175,IF($L124=998,Multipliers!C$176,"NONE")))</f>
        <v>1.29</v>
      </c>
      <c r="R124" s="44">
        <f>IF($L124=996,Multipliers!C$5,IF($L124=997,Multipliers!C$6,IF($L124=998,Multipliers!C$7,"NONE")))</f>
        <v>1.34</v>
      </c>
      <c r="S124" s="46">
        <f t="shared" si="32"/>
        <v>572333.63565000007</v>
      </c>
      <c r="T124" s="46">
        <f t="shared" si="33"/>
        <v>595942.1664000001</v>
      </c>
      <c r="U124" s="46">
        <f t="shared" si="34"/>
        <v>589982.74473600008</v>
      </c>
      <c r="V124" s="46">
        <f>(S124+U124)/2</f>
        <v>581158.19019300002</v>
      </c>
      <c r="W124" s="47">
        <f t="shared" si="42"/>
        <v>581158.19019300002</v>
      </c>
      <c r="X124" s="47"/>
      <c r="Y124" s="48">
        <f>IF(N124="Standard",(((($Z$3*Q124)+($AD$3*R124*$T$5))/2)*$O$7),IF(N124="Severe",(((($AA$3*Q124)+($AE$3*R124*$T$5))/2)*$O$7),IF(N124="Hostile",(((($AB$3*Q124)+($AF$3*R124*$T$5))/2)*$O$7))))</f>
        <v>465666.31849500001</v>
      </c>
      <c r="Z124" s="48">
        <f>IF(N124="Standard",(((($Z$4*Q124)+($AD$4*R124*$T$5))/2)*$O$7),IF(N124="Severe",(((($AA$4*Q124)+($AE$4*R124*$T$5))/2)*$O$7),IF(N124="Hostile",(((($AB$4*Q124)+($AF$4*R124*$T$5))/2)*$O$7))))</f>
        <v>514428.62433899997</v>
      </c>
      <c r="AA124" s="48">
        <f>IF(N124="Standard",((($Z$5*Q124)+($AD$5*R124*$T$5))/2)*$O$7,IF(N124="Severe",((($AA$5*Q124)+($AE$5*R124*$T$5))/2)*$O$7,IF(N124="Hostile",((($AB$5*Q124)+($AF$5*R124*$T$5))/2)*$O$7)))</f>
        <v>581158.19019300013</v>
      </c>
      <c r="AB124" s="48">
        <f>IF(N124="Standard",((($Z$6*Q124)+($AD$6*R124*$T$5))/2)*$O$7,IF(N124="Severe",((($AA$6*Q124)+($AE$6*R124*$T$5))/2)*$O$7,IF(N124="Hostile",((($AB$6*Q124)+($AF$6*R124*$T$5))/2)*$O$7)))</f>
        <v>629926.37213100016</v>
      </c>
      <c r="AC124" s="48">
        <f>IF(N124="Standard",((($Z$7*Q124)+($AD$7*R124*$T$5))/2)*$O$7,IF(N124="Severe",((($AA$7*Q124)+($AE$7*R124*$T$5))/2)*$O$7,IF(N124="Hostile",((($AB$7*Q124)+($AF$7*R124*$T$5))/2)*$O$7)))</f>
        <v>679867.06659900001</v>
      </c>
      <c r="AD124" s="1"/>
      <c r="AE124" s="1"/>
      <c r="AF124" s="1"/>
      <c r="AI124" s="9"/>
      <c r="AJ124" s="1"/>
      <c r="AK124" s="1"/>
      <c r="AL124" s="1"/>
      <c r="AM124" s="1"/>
      <c r="AN124" s="1"/>
      <c r="AO124" s="1"/>
      <c r="AP124" s="9"/>
      <c r="AQ124" s="3"/>
      <c r="AR124" s="4"/>
      <c r="AS124" s="1"/>
      <c r="AT124" s="1"/>
      <c r="AU124" s="1"/>
      <c r="AV124" s="1"/>
      <c r="AW124" s="1"/>
      <c r="AX124" s="3"/>
      <c r="AY124" s="3"/>
      <c r="AZ124" s="5"/>
      <c r="BA124" s="5"/>
      <c r="BB124" s="5"/>
      <c r="BC124" s="5"/>
      <c r="BD124" s="6"/>
      <c r="BE124" s="6"/>
      <c r="BF124" s="12"/>
      <c r="BG124" s="12"/>
      <c r="BH124" s="12"/>
      <c r="BI124" s="12"/>
      <c r="BJ124" s="12"/>
    </row>
    <row r="125" spans="2:62" x14ac:dyDescent="0.25">
      <c r="B125" s="1" t="s">
        <v>1180</v>
      </c>
      <c r="C125" s="1" t="s">
        <v>1546</v>
      </c>
      <c r="D125" s="1" t="s">
        <v>1190</v>
      </c>
      <c r="E125" s="1" t="s">
        <v>1547</v>
      </c>
      <c r="F125" s="1" t="s">
        <v>1548</v>
      </c>
      <c r="G125" s="1" t="s">
        <v>1236</v>
      </c>
      <c r="H125" s="1" t="s">
        <v>1237</v>
      </c>
      <c r="I125" s="7" t="s">
        <v>1187</v>
      </c>
      <c r="J125" s="44">
        <v>1</v>
      </c>
      <c r="K125" s="45">
        <v>1</v>
      </c>
      <c r="L125" s="1">
        <v>998</v>
      </c>
      <c r="M125" s="1" t="s">
        <v>1188</v>
      </c>
      <c r="N125" s="1" t="s">
        <v>1141</v>
      </c>
      <c r="O125" s="1" t="s">
        <v>1189</v>
      </c>
      <c r="P125" s="7" t="s">
        <v>1074</v>
      </c>
      <c r="Q125" s="44">
        <f>IF($L125=996,Multipliers!C$174,IF($L125=997,Multipliers!C$175,IF($L125=998,Multipliers!C$176,"NONE")))</f>
        <v>1.34</v>
      </c>
      <c r="R125" s="44">
        <f>IF($L125=996,Multipliers!C$5,IF($L125=997,Multipliers!C$6,IF($L125=998,Multipliers!C$7,"NONE")))</f>
        <v>1.36</v>
      </c>
      <c r="S125" s="46">
        <f t="shared" si="32"/>
        <v>594517.10990000016</v>
      </c>
      <c r="T125" s="46">
        <f t="shared" si="33"/>
        <v>604836.82559999998</v>
      </c>
      <c r="U125" s="46">
        <f t="shared" si="34"/>
        <v>598788.45734399999</v>
      </c>
      <c r="V125" s="46">
        <f>((S125+U125)/2*1.2)</f>
        <v>715983.34034640016</v>
      </c>
      <c r="W125" s="47">
        <f>IF(F125=F126,(V125+V126)/2,IF(F125=F124,(V125+V124)/2,IF(F125&lt;&gt;F124,V125)))</f>
        <v>715983.34034640016</v>
      </c>
      <c r="X125" s="47"/>
      <c r="Y125" s="48">
        <f>IF(N125="Standard",(((($Z$3*Q125)+($AD$3*R125*$T$5))/2)*$O$7*1.2),IF(N125="Severe",(((($AA$3*Q125)+($AE$3*R125*$T$5))/2)*$O$7*1.2),IF(N125="Hostile",(((($AB$3*Q125)+($AF$3*R125*$T$5))/2)*$O$7*1.2))))</f>
        <v>573912.50187599997</v>
      </c>
      <c r="Z125" s="48">
        <f>IF(N125="Standard",(((($Z$4*Q125)+($AD$4*R125*$T$5))/2)*$O$7*1.2),IF(N125="Severe",(((($AA$4*Q125)+($AE$4*R125*$T$5))/2)*$O$7*1.2),IF(N125="Hostile",(((($AB$4*Q125)+($AF$4*R125*$T$5))/2)*$O$7*1.2))))</f>
        <v>633906.89508719998</v>
      </c>
      <c r="AA125" s="48">
        <f>IF(N125="Standard",(((($Z$5*Q125)+($AD$5*R125*$T$5))/2)*$O$7*1.2),IF(N125="Severe",(((($AA$5*Q125)+($AE$5*R125*$T$5))/2)*$O$7*1.2),IF(N125="Hostile",((($AB$5*Q125)+($AF$5*R125*$T$5))/2)*$O$7*1.2)))</f>
        <v>715983.34034640016</v>
      </c>
      <c r="AB125" s="48">
        <f>IF(N125="Standard",(((($Z$6*Q125)+($AD$6*R125*$T$5))/2)*$O$7*1.2),IF(N125="Severe",(((($AA$6*Q125)+($AE$6*R125*$T$5))/2)*$O$7*1.2),IF(N125="Hostile",((($AB$6*Q125)+($AF$6*R125*$T$5))/2)*$O$7*1.2)))</f>
        <v>775980.51116880018</v>
      </c>
      <c r="AC125" s="48">
        <f>IF(N125="Standard",((($Z$7*Q125)+($AD$7*R125*$T$5))/2)*$O$7*1.2,IF(N125="Severe",((($AA$7*Q125)+($AE$7*R125*$T$5))/2)*$O$7*1.2,IF(N125="Hostile",((($AB$7*Q125)+($AF$7*R125*$T$5))/2)*$O$7*1.2)))</f>
        <v>837476.24333520012</v>
      </c>
      <c r="AD125" s="1"/>
      <c r="AE125" s="1"/>
      <c r="AF125" s="1"/>
      <c r="AI125" s="9"/>
      <c r="AJ125" s="1"/>
      <c r="AK125" s="1"/>
      <c r="AL125" s="1"/>
      <c r="AM125" s="1"/>
      <c r="AN125" s="1"/>
      <c r="AO125" s="1"/>
      <c r="AP125" s="9"/>
      <c r="AQ125" s="3"/>
      <c r="AR125" s="4"/>
      <c r="AS125" s="1"/>
      <c r="AT125" s="1"/>
      <c r="AU125" s="1"/>
      <c r="AV125" s="1"/>
      <c r="AW125" s="1"/>
      <c r="AX125" s="3"/>
      <c r="AY125" s="3"/>
      <c r="AZ125" s="5"/>
      <c r="BA125" s="5"/>
      <c r="BB125" s="5"/>
      <c r="BC125" s="5"/>
      <c r="BD125" s="6"/>
      <c r="BE125" s="6"/>
      <c r="BF125" s="12"/>
      <c r="BG125" s="12"/>
      <c r="BH125" s="12"/>
      <c r="BI125" s="12"/>
      <c r="BJ125" s="12"/>
    </row>
    <row r="126" spans="2:62" x14ac:dyDescent="0.25">
      <c r="B126" s="1" t="s">
        <v>1180</v>
      </c>
      <c r="C126" s="1" t="s">
        <v>1549</v>
      </c>
      <c r="D126" s="1" t="s">
        <v>1190</v>
      </c>
      <c r="E126" s="1" t="s">
        <v>1550</v>
      </c>
      <c r="F126" s="1" t="s">
        <v>1551</v>
      </c>
      <c r="G126" s="1" t="s">
        <v>1223</v>
      </c>
      <c r="H126" s="1" t="s">
        <v>1224</v>
      </c>
      <c r="I126" s="7" t="s">
        <v>1187</v>
      </c>
      <c r="J126" s="44">
        <v>1</v>
      </c>
      <c r="K126" s="45">
        <v>1</v>
      </c>
      <c r="L126" s="1">
        <v>997</v>
      </c>
      <c r="M126" s="1" t="s">
        <v>1188</v>
      </c>
      <c r="N126" s="1" t="s">
        <v>1141</v>
      </c>
      <c r="O126" s="1" t="s">
        <v>1189</v>
      </c>
      <c r="P126" s="7" t="s">
        <v>1073</v>
      </c>
      <c r="Q126" s="44">
        <f>IF($L126=996,Multipliers!C$174,IF($L126=997,Multipliers!C$175,IF($L126=998,Multipliers!C$176,"NONE")))</f>
        <v>1.3</v>
      </c>
      <c r="R126" s="44">
        <f>IF($L126=996,Multipliers!C$5,IF($L126=997,Multipliers!C$6,IF($L126=998,Multipliers!C$7,"NONE")))</f>
        <v>1.34</v>
      </c>
      <c r="S126" s="46">
        <f t="shared" si="32"/>
        <v>576770.33050000016</v>
      </c>
      <c r="T126" s="46">
        <f t="shared" si="33"/>
        <v>595942.1664000001</v>
      </c>
      <c r="U126" s="46">
        <f t="shared" si="34"/>
        <v>589982.74473600008</v>
      </c>
      <c r="V126" s="46">
        <f>((S126+U126)/2*1.15)</f>
        <v>670883.01826070005</v>
      </c>
      <c r="W126" s="47">
        <f t="shared" si="42"/>
        <v>670883.01826070005</v>
      </c>
      <c r="X126" s="47"/>
      <c r="Y126" s="48">
        <f>IF(N126="Standard",(((($Z$3*Q126)+($AD$3*R126*$T$5))/2)*$O$7*1.15),IF(N126="Severe",(((($AA$3*Q126)+($AE$3*R126*$T$5))/2)*$O$7*1.15),IF(N126="Hostile",(((($AB$3*Q126)+($AF$3*R126*$T$5))/2)*$O$7*1.15))))</f>
        <v>537627.23286300001</v>
      </c>
      <c r="Z126" s="48">
        <f>IF(N126="Standard",(((($Z$4*Q126)+($AD$4*R126*$T$5))/2)*$O$7*1.15),IF(N126="Severe",(((($AA$4*Q126)+($AE$4*R126*$T$5))/2)*$O$7*1.15),IF(N126="Hostile",(((($AB$4*Q126)+($AF$4*R126*$T$5))/2)*$O$7*1.15))))</f>
        <v>593892.8539060998</v>
      </c>
      <c r="AA126" s="48">
        <f>IF(N126="Standard",(((($Z$5*Q126)+($AD$5*R126*$T$5))/2)*$O$7*1.15),IF(N126="Severe",(((($AA$5*Q126)+($AE$5*R126*$T$5))/2)*$O$7*1.15),IF(N126="Hostile",(((($AB$5*Q126)+($AF$5*R126*$T$5))/2)*$O$7*1.15))))</f>
        <v>670883.01826070005</v>
      </c>
      <c r="AB126" s="48">
        <f>IF(N126="Standard",(((($Z$6*Q126)+($AD$6*R126*$T$5))/2)*$O$7*1.15),IF(N126="Severe",(((($AA$6*Q126)+($AE$6*R126*$T$5))/2)*$O$7*1.15),IF(N126="Hostile",(((($AB$6*Q126)+($AF$6*R126*$T$5))/2)*$O$7*1.15))))</f>
        <v>727154.03193440009</v>
      </c>
      <c r="AC126" s="48">
        <f>IF(N126="Standard",(((($Z$7*Q126)+($AD$7*R126*$T$5))/2)*$O$7*1.15),IF(N126="Severe",(((($AA$7*Q126)+($AE$7*R126*$T$5))/2)*$O$7*1.15),IF(N126="Hostile",(((($AB$7*Q126)+($AF$7*R126*$T$5))/2)*$O$7*1.15))))</f>
        <v>784795.42359260004</v>
      </c>
      <c r="AD126" s="1"/>
      <c r="AE126" s="1"/>
      <c r="AF126" s="1"/>
      <c r="AI126" s="9"/>
      <c r="AJ126" s="1"/>
      <c r="AK126" s="1"/>
      <c r="AL126" s="1"/>
      <c r="AM126" s="1"/>
      <c r="AN126" s="1"/>
      <c r="AO126" s="1"/>
      <c r="AP126" s="9"/>
      <c r="AQ126" s="3"/>
      <c r="AR126" s="4"/>
      <c r="AS126" s="1"/>
      <c r="AT126" s="1"/>
      <c r="AU126" s="1"/>
      <c r="AV126" s="1"/>
      <c r="AW126" s="1"/>
      <c r="AX126" s="3"/>
      <c r="AY126" s="3"/>
      <c r="AZ126" s="5"/>
      <c r="BA126" s="5"/>
      <c r="BB126" s="5"/>
      <c r="BC126" s="5"/>
      <c r="BD126" s="6"/>
      <c r="BE126" s="6"/>
      <c r="BF126" s="12"/>
      <c r="BG126" s="12"/>
      <c r="BH126" s="12"/>
      <c r="BI126" s="12"/>
      <c r="BJ126" s="12"/>
    </row>
    <row r="127" spans="2:62" x14ac:dyDescent="0.25">
      <c r="B127" s="1" t="s">
        <v>1180</v>
      </c>
      <c r="C127" s="1" t="s">
        <v>1552</v>
      </c>
      <c r="D127" s="1" t="s">
        <v>1190</v>
      </c>
      <c r="E127" s="1" t="s">
        <v>1553</v>
      </c>
      <c r="F127" s="1" t="s">
        <v>1554</v>
      </c>
      <c r="G127" s="1" t="s">
        <v>1223</v>
      </c>
      <c r="H127" s="1" t="s">
        <v>1224</v>
      </c>
      <c r="I127" s="7" t="s">
        <v>1187</v>
      </c>
      <c r="J127" s="44">
        <v>1</v>
      </c>
      <c r="K127" s="45">
        <v>1</v>
      </c>
      <c r="L127" s="1">
        <v>998</v>
      </c>
      <c r="M127" s="1" t="s">
        <v>1188</v>
      </c>
      <c r="N127" s="1" t="s">
        <v>1141</v>
      </c>
      <c r="O127" s="1" t="s">
        <v>1189</v>
      </c>
      <c r="P127" s="7" t="s">
        <v>1074</v>
      </c>
      <c r="Q127" s="44">
        <f>IF($L127=996,Multipliers!C$174,IF($L127=997,Multipliers!C$175,IF($L127=998,Multipliers!C$176,"NONE")))</f>
        <v>1.34</v>
      </c>
      <c r="R127" s="44">
        <f>IF($L127=996,Multipliers!C$5,IF($L127=997,Multipliers!C$6,IF($L127=998,Multipliers!C$7,"NONE")))</f>
        <v>1.36</v>
      </c>
      <c r="S127" s="46">
        <f t="shared" si="32"/>
        <v>594517.10990000016</v>
      </c>
      <c r="T127" s="46">
        <f t="shared" si="33"/>
        <v>604836.82559999998</v>
      </c>
      <c r="U127" s="46">
        <f t="shared" ref="U127:U141" si="43">IF(O127="E",$T$3*T127,IF(O127="C",$T$4*T127,IF(O127="W",$T$5*T127,1)))</f>
        <v>598788.45734399999</v>
      </c>
      <c r="V127" s="46">
        <f>((S127+U127)/2*1.2)</f>
        <v>715983.34034640016</v>
      </c>
      <c r="W127" s="47">
        <f t="shared" si="42"/>
        <v>715983.34034640016</v>
      </c>
      <c r="X127" s="47"/>
      <c r="Y127" s="48">
        <f>IF(N127="Standard",(((($Z$3*Q127)+($AD$3*R127*$T$5))/2)*$O$7*1.2),IF(N127="Severe",(((($AA$3*Q127)+($AE$3*R127*$T$5))/2)*$O$7*1.2),IF(N127="Hostile",(((($AB$3*Q127)+($AF$3*R127*$T$5))/2)*$O$7*1.2))))</f>
        <v>573912.50187599997</v>
      </c>
      <c r="Z127" s="48">
        <f>IF(N127="Standard",(((($Z$4*Q127)+($AD$4*R127*$T$5))/2)*$O$7*1.2),IF(N127="Severe",(((($AA$4*Q127)+($AE$4*R127*$T$5))/2)*$O$7*1.2),IF(N127="Hostile",(((($AB$4*Q127)+($AF$4*R127*$T$5))/2)*$O$7*1.2))))</f>
        <v>633906.89508719998</v>
      </c>
      <c r="AA127" s="48">
        <f>IF(N127="Standard",(((($Z$5*Q127)+($AD$5*R127*$T$5))/2)*$O$7*1.2),IF(N127="Severe",(((($AA$5*Q127)+($AE$5*R127*$T$5))/2)*$O$7*1.2),IF(N127="Hostile",((($AB$5*Q127)+($AF$5*R127*$T$5))/2)*$O$7*1.2)))</f>
        <v>715983.34034640016</v>
      </c>
      <c r="AB127" s="48">
        <f>IF(N127="Standard",(((($Z$6*Q127)+($AD$6*R127*$T$5))/2)*$O$7*1.2),IF(N127="Severe",(((($AA$6*Q127)+($AE$6*R127*$T$5))/2)*$O$7*1.2),IF(N127="Hostile",((($AB$6*Q127)+($AF$6*R127*$T$5))/2)*$O$7*1.2)))</f>
        <v>775980.51116880018</v>
      </c>
      <c r="AC127" s="48">
        <f>IF(N127="Standard",((($Z$7*Q127)+($AD$7*R127*$T$5))/2)*$O$7*1.2,IF(N127="Severe",((($AA$7*Q127)+($AE$7*R127*$T$5))/2)*$O$7*1.2,IF(N127="Hostile",((($AB$7*Q127)+($AF$7*R127*$T$5))/2)*$O$7*1.2)))</f>
        <v>837476.24333520012</v>
      </c>
      <c r="AD127" s="1"/>
      <c r="AE127" s="1"/>
      <c r="AF127" s="1"/>
      <c r="AI127" s="9"/>
      <c r="AJ127" s="1"/>
      <c r="AK127" s="1"/>
      <c r="AL127" s="1"/>
      <c r="AM127" s="1"/>
      <c r="AN127" s="1"/>
      <c r="AO127" s="1"/>
      <c r="AP127" s="9"/>
      <c r="AQ127" s="3"/>
      <c r="AR127" s="4"/>
      <c r="AS127" s="1"/>
      <c r="AT127" s="1"/>
      <c r="AU127" s="1"/>
      <c r="AV127" s="1"/>
      <c r="AW127" s="1"/>
      <c r="AX127" s="3"/>
      <c r="AY127" s="3"/>
      <c r="AZ127" s="5"/>
      <c r="BA127" s="5"/>
      <c r="BB127" s="5"/>
      <c r="BC127" s="5"/>
      <c r="BD127" s="6"/>
      <c r="BE127" s="6"/>
      <c r="BF127" s="12"/>
      <c r="BG127" s="12"/>
      <c r="BH127" s="12"/>
      <c r="BI127" s="12"/>
      <c r="BJ127" s="12"/>
    </row>
    <row r="128" spans="2:62" x14ac:dyDescent="0.25">
      <c r="B128" s="1" t="s">
        <v>1180</v>
      </c>
      <c r="C128" s="1" t="s">
        <v>1555</v>
      </c>
      <c r="D128" s="1" t="s">
        <v>1190</v>
      </c>
      <c r="E128" s="1" t="s">
        <v>1556</v>
      </c>
      <c r="F128" s="1" t="s">
        <v>1557</v>
      </c>
      <c r="G128" s="1" t="s">
        <v>1202</v>
      </c>
      <c r="H128" s="1" t="s">
        <v>1203</v>
      </c>
      <c r="I128" s="7" t="s">
        <v>1187</v>
      </c>
      <c r="J128" s="44">
        <v>1</v>
      </c>
      <c r="K128" s="45">
        <v>1</v>
      </c>
      <c r="L128" s="1">
        <v>997</v>
      </c>
      <c r="M128" s="1" t="s">
        <v>1188</v>
      </c>
      <c r="N128" s="1" t="s">
        <v>1141</v>
      </c>
      <c r="O128" s="1" t="s">
        <v>1189</v>
      </c>
      <c r="P128" s="7" t="s">
        <v>1073</v>
      </c>
      <c r="Q128" s="44">
        <f>IF($L128=996,Multipliers!C$174,IF($L128=997,Multipliers!C$175,IF($L128=998,Multipliers!C$176,"NONE")))</f>
        <v>1.3</v>
      </c>
      <c r="R128" s="44">
        <f>IF($L128=996,Multipliers!C$5,IF($L128=997,Multipliers!C$6,IF($L128=998,Multipliers!C$7,"NONE")))</f>
        <v>1.34</v>
      </c>
      <c r="S128" s="46">
        <f t="shared" si="32"/>
        <v>576770.33050000016</v>
      </c>
      <c r="T128" s="46">
        <f t="shared" si="33"/>
        <v>595942.1664000001</v>
      </c>
      <c r="U128" s="46">
        <f t="shared" si="43"/>
        <v>589982.74473600008</v>
      </c>
      <c r="V128" s="46">
        <f>((S128+U128)/2*1.15)</f>
        <v>670883.01826070005</v>
      </c>
      <c r="W128" s="47">
        <f t="shared" si="42"/>
        <v>670883.01826070005</v>
      </c>
      <c r="X128" s="47"/>
      <c r="Y128" s="48">
        <f>IF(N128="Standard",(((($Z$3*Q128)+($AD$3*R128*$T$5))/2)*$O$7*1.15),IF(N128="Severe",(((($AA$3*Q128)+($AE$3*R128*$T$5))/2)*$O$7*1.15),IF(N128="Hostile",(((($AB$3*Q128)+($AF$3*R128*$T$5))/2)*$O$7*1.15))))</f>
        <v>537627.23286300001</v>
      </c>
      <c r="Z128" s="48">
        <f>IF(N128="Standard",(((($Z$4*Q128)+($AD$4*R128*$T$5))/2)*$O$7*1.15),IF(N128="Severe",(((($AA$4*Q128)+($AE$4*R128*$T$5))/2)*$O$7*1.15),IF(N128="Hostile",(((($AB$4*Q128)+($AF$4*R128*$T$5))/2)*$O$7*1.15))))</f>
        <v>593892.8539060998</v>
      </c>
      <c r="AA128" s="48">
        <f>IF(N128="Standard",(((($Z$5*Q128)+($AD$5*R128*$T$5))/2)*$O$7*1.15),IF(N128="Severe",(((($AA$5*Q128)+($AE$5*R128*$T$5))/2)*$O$7*1.15),IF(N128="Hostile",(((($AB$5*Q128)+($AF$5*R128*$T$5))/2)*$O$7*1.15))))</f>
        <v>670883.01826070005</v>
      </c>
      <c r="AB128" s="48">
        <f>IF(N128="Standard",(((($Z$6*Q128)+($AD$6*R128*$T$5))/2)*$O$7*1.15),IF(N128="Severe",(((($AA$6*Q128)+($AE$6*R128*$T$5))/2)*$O$7*1.15),IF(N128="Hostile",(((($AB$6*Q128)+($AF$6*R128*$T$5))/2)*$O$7*1.15))))</f>
        <v>727154.03193440009</v>
      </c>
      <c r="AC128" s="48">
        <f>IF(N128="Standard",(((($Z$7*Q128)+($AD$7*R128*$T$5))/2)*$O$7*1.15),IF(N128="Severe",(((($AA$7*Q128)+($AE$7*R128*$T$5))/2)*$O$7*1.15),IF(N128="Hostile",(((($AB$7*Q128)+($AF$7*R128*$T$5))/2)*$O$7*1.15))))</f>
        <v>784795.42359260004</v>
      </c>
      <c r="AD128" s="1"/>
      <c r="AE128" s="1"/>
      <c r="AF128" s="1"/>
      <c r="AI128" s="9"/>
      <c r="AJ128" s="1"/>
      <c r="AK128" s="1"/>
      <c r="AL128" s="1"/>
      <c r="AM128" s="1"/>
      <c r="AN128" s="1"/>
      <c r="AO128" s="1"/>
      <c r="AP128" s="9"/>
      <c r="AQ128" s="3"/>
      <c r="AR128" s="4"/>
      <c r="AS128" s="1"/>
      <c r="AT128" s="1"/>
      <c r="AU128" s="1"/>
      <c r="AV128" s="1"/>
      <c r="AW128" s="1"/>
      <c r="AX128" s="3"/>
      <c r="AY128" s="3"/>
      <c r="AZ128" s="5"/>
      <c r="BA128" s="5"/>
      <c r="BB128" s="5"/>
      <c r="BC128" s="5"/>
      <c r="BD128" s="6"/>
      <c r="BE128" s="6"/>
      <c r="BF128" s="12"/>
      <c r="BG128" s="12"/>
      <c r="BH128" s="12"/>
      <c r="BI128" s="12"/>
      <c r="BJ128" s="12"/>
    </row>
    <row r="129" spans="2:62" x14ac:dyDescent="0.25">
      <c r="B129" s="1" t="s">
        <v>1180</v>
      </c>
      <c r="C129" s="1" t="s">
        <v>1181</v>
      </c>
      <c r="D129" s="1" t="s">
        <v>1558</v>
      </c>
      <c r="E129" s="1" t="s">
        <v>1192</v>
      </c>
      <c r="F129" s="1" t="s">
        <v>1559</v>
      </c>
      <c r="G129" s="1" t="s">
        <v>1185</v>
      </c>
      <c r="H129" s="1" t="s">
        <v>1186</v>
      </c>
      <c r="I129" s="7" t="s">
        <v>1187</v>
      </c>
      <c r="J129" s="44">
        <v>1</v>
      </c>
      <c r="K129" s="45">
        <v>4</v>
      </c>
      <c r="L129" s="1">
        <v>997</v>
      </c>
      <c r="M129" s="1" t="s">
        <v>1188</v>
      </c>
      <c r="N129" s="1" t="s">
        <v>1141</v>
      </c>
      <c r="O129" s="1" t="s">
        <v>1189</v>
      </c>
      <c r="P129" s="7" t="s">
        <v>1073</v>
      </c>
      <c r="Q129" s="44">
        <f>IF($L129=996,Multipliers!C$174,IF($L129=997,Multipliers!C$175,IF($L129=998,Multipliers!C$176,"NONE")))</f>
        <v>1.3</v>
      </c>
      <c r="R129" s="44">
        <f>IF($L129=996,Multipliers!C$5,IF($L129=997,Multipliers!C$6,IF($L129=998,Multipliers!C$7,"NONE")))</f>
        <v>1.34</v>
      </c>
      <c r="S129" s="46">
        <f>IF(N129="Standard",$O$5*Q129*$O$7,IF(N129="Severe",$O$4*Q129*$O$7,IF(N129="Hostile",$O$3*Q129*$O$7)))</f>
        <v>576770.33050000016</v>
      </c>
      <c r="T129" s="46">
        <f>IF(N129="Standard",$P$5*R129*$O$7,IF(N129="Severe",$P$4*R129*$O$7,IF(N129="Hostile",$P$3*R129*$O$7)))</f>
        <v>595942.1664000001</v>
      </c>
      <c r="U129" s="46">
        <f t="shared" si="43"/>
        <v>589982.74473600008</v>
      </c>
      <c r="V129" s="46">
        <f t="shared" ref="V129:V138" si="44">((S129+U129)/2*1.15)</f>
        <v>670883.01826070005</v>
      </c>
      <c r="W129" s="47">
        <f t="shared" ref="W129:W139" si="45">IF(F129=F130,(V129+V130)/2,IF(F129=F128,(V129+V128)/2,IF(F129&lt;&gt;F128,V129)))</f>
        <v>670883.01826070005</v>
      </c>
      <c r="X129" s="47"/>
      <c r="Y129" s="48">
        <f t="shared" ref="Y129:Y138" si="46">IF(N129="Standard",(((($Z$3*Q129)+($AD$3*R129*$T$5))/2)*$O$7*1.15),IF(N129="Severe",(((($AA$3*Q129)+($AE$3*R129*$T$5))/2)*$O$7*1.15),IF(N129="Hostile",(((($AB$3*Q129)+($AF$3*R129*$T$5))/2)*$O$7*1.15))))</f>
        <v>537627.23286300001</v>
      </c>
      <c r="Z129" s="48">
        <f t="shared" ref="Z129:Z138" si="47">IF(N129="Standard",(((($Z$4*Q129)+($AD$4*R129*$T$5))/2)*$O$7*1.15),IF(N129="Severe",(((($AA$4*Q129)+($AE$4*R129*$T$5))/2)*$O$7*1.15),IF(N129="Hostile",(((($AB$4*Q129)+($AF$4*R129*$T$5))/2)*$O$7*1.15))))</f>
        <v>593892.8539060998</v>
      </c>
      <c r="AA129" s="48">
        <f t="shared" ref="AA129:AA138" si="48">IF(N129="Standard",(((($Z$5*Q129)+($AD$5*R129*$T$5))/2)*$O$7*1.15),IF(N129="Severe",(((($AA$5*Q129)+($AE$5*R129*$T$5))/2)*$O$7*1.15),IF(N129="Hostile",(((($AB$5*Q129)+($AF$5*R129*$T$5))/2)*$O$7*1.15))))</f>
        <v>670883.01826070005</v>
      </c>
      <c r="AB129" s="48">
        <f t="shared" ref="AB129:AB138" si="49">IF(N129="Standard",(((($Z$6*Q129)+($AD$6*R129*$T$5))/2)*$O$7*1.15),IF(N129="Severe",(((($AA$6*Q129)+($AE$6*R129*$T$5))/2)*$O$7*1.15),IF(N129="Hostile",(((($AB$6*Q129)+($AF$6*R129*$T$5))/2)*$O$7*1.15))))</f>
        <v>727154.03193440009</v>
      </c>
      <c r="AC129" s="48">
        <f t="shared" ref="AC129:AC138" si="50">IF(N129="Standard",(((($Z$7*Q129)+($AD$7*R129*$T$5))/2)*$O$7*1.15),IF(N129="Severe",(((($AA$7*Q129)+($AE$7*R129*$T$5))/2)*$O$7*1.15),IF(N129="Hostile",(((($AB$7*Q129)+($AF$7*R129*$T$5))/2)*$O$7*1.15))))</f>
        <v>784795.42359260004</v>
      </c>
      <c r="AD129" s="1"/>
      <c r="AE129" s="1"/>
      <c r="AF129" s="1"/>
      <c r="AI129" s="9"/>
      <c r="AJ129" s="1"/>
      <c r="AK129" s="1"/>
      <c r="AL129" s="1"/>
      <c r="AM129" s="1"/>
      <c r="AN129" s="1"/>
      <c r="AO129" s="1"/>
      <c r="AP129" s="9"/>
      <c r="AQ129" s="3"/>
      <c r="AR129" s="4"/>
      <c r="AS129" s="1"/>
      <c r="AT129" s="1"/>
      <c r="AU129" s="1"/>
      <c r="AV129" s="1"/>
      <c r="AW129" s="1"/>
      <c r="AX129" s="3"/>
      <c r="AY129" s="3"/>
      <c r="AZ129" s="5"/>
      <c r="BA129" s="5"/>
      <c r="BB129" s="5"/>
      <c r="BC129" s="5"/>
      <c r="BD129" s="6"/>
      <c r="BE129" s="6"/>
      <c r="BF129" s="12"/>
      <c r="BG129" s="12"/>
      <c r="BH129" s="12"/>
      <c r="BI129" s="12"/>
      <c r="BJ129" s="12"/>
    </row>
    <row r="130" spans="2:62" x14ac:dyDescent="0.25">
      <c r="B130" s="1" t="s">
        <v>1180</v>
      </c>
      <c r="C130" s="1" t="s">
        <v>1560</v>
      </c>
      <c r="D130" s="1" t="s">
        <v>1190</v>
      </c>
      <c r="E130" s="1" t="s">
        <v>1561</v>
      </c>
      <c r="F130" s="1" t="s">
        <v>1562</v>
      </c>
      <c r="G130" s="1" t="s">
        <v>1202</v>
      </c>
      <c r="H130" s="1" t="s">
        <v>1203</v>
      </c>
      <c r="I130" s="7" t="s">
        <v>1187</v>
      </c>
      <c r="J130" s="44">
        <v>1</v>
      </c>
      <c r="K130" s="45">
        <v>1</v>
      </c>
      <c r="L130" s="1">
        <v>997</v>
      </c>
      <c r="M130" s="1" t="s">
        <v>1188</v>
      </c>
      <c r="N130" s="1" t="s">
        <v>1141</v>
      </c>
      <c r="O130" s="1" t="s">
        <v>1189</v>
      </c>
      <c r="P130" s="7" t="s">
        <v>1073</v>
      </c>
      <c r="Q130" s="44">
        <f>IF($L130=996,Multipliers!C$174,IF($L130=997,Multipliers!C$175,IF($L130=998,Multipliers!C$176,"NONE")))</f>
        <v>1.3</v>
      </c>
      <c r="R130" s="44">
        <f>IF($L130=996,Multipliers!C$5,IF($L130=997,Multipliers!C$6,IF($L130=998,Multipliers!C$7,"NONE")))</f>
        <v>1.34</v>
      </c>
      <c r="S130" s="46">
        <f t="shared" ref="S130:S146" si="51">IF(N130="Standard",$O$5*Q130*$O$7,IF(N130="Severe",$O$4*Q130*$O$7,IF(N130="Hostile",$O$3*Q130*$O$7)))</f>
        <v>576770.33050000016</v>
      </c>
      <c r="T130" s="46">
        <f t="shared" ref="T130:T146" si="52">IF(N130="Standard",$P$5*R130*$O$7,IF(N130="Severe",$P$4*R130*$O$7,IF(N130="Hostile",$P$3*R130*$O$7)))</f>
        <v>595942.1664000001</v>
      </c>
      <c r="U130" s="46">
        <f t="shared" si="43"/>
        <v>589982.74473600008</v>
      </c>
      <c r="V130" s="46">
        <f t="shared" si="44"/>
        <v>670883.01826070005</v>
      </c>
      <c r="W130" s="47">
        <f t="shared" si="45"/>
        <v>670883.01826070005</v>
      </c>
      <c r="X130" s="47"/>
      <c r="Y130" s="48">
        <f t="shared" si="46"/>
        <v>537627.23286300001</v>
      </c>
      <c r="Z130" s="48">
        <f t="shared" si="47"/>
        <v>593892.8539060998</v>
      </c>
      <c r="AA130" s="48">
        <f t="shared" si="48"/>
        <v>670883.01826070005</v>
      </c>
      <c r="AB130" s="48">
        <f t="shared" si="49"/>
        <v>727154.03193440009</v>
      </c>
      <c r="AC130" s="48">
        <f t="shared" si="50"/>
        <v>784795.42359260004</v>
      </c>
      <c r="AD130" s="1"/>
      <c r="AE130" s="1"/>
      <c r="AF130" s="1"/>
      <c r="AI130" s="9"/>
      <c r="AJ130" s="1"/>
      <c r="AK130" s="1"/>
      <c r="AL130" s="1"/>
      <c r="AM130" s="1"/>
      <c r="AN130" s="1"/>
      <c r="AO130" s="1"/>
      <c r="AP130" s="9"/>
      <c r="AQ130" s="3"/>
      <c r="AR130" s="4"/>
      <c r="AS130" s="1"/>
      <c r="AT130" s="1"/>
      <c r="AU130" s="1"/>
      <c r="AV130" s="1"/>
      <c r="AW130" s="1"/>
      <c r="AX130" s="3"/>
      <c r="AY130" s="3"/>
      <c r="AZ130" s="5"/>
      <c r="BA130" s="5"/>
      <c r="BB130" s="5"/>
      <c r="BC130" s="5"/>
      <c r="BD130" s="6"/>
      <c r="BE130" s="6"/>
      <c r="BF130" s="12"/>
      <c r="BG130" s="12"/>
      <c r="BH130" s="12"/>
      <c r="BI130" s="12"/>
      <c r="BJ130" s="12"/>
    </row>
    <row r="131" spans="2:62" x14ac:dyDescent="0.25">
      <c r="B131" s="1" t="s">
        <v>1180</v>
      </c>
      <c r="C131" s="1" t="s">
        <v>1563</v>
      </c>
      <c r="D131" s="1" t="s">
        <v>1190</v>
      </c>
      <c r="E131" s="1" t="s">
        <v>1564</v>
      </c>
      <c r="F131" s="1" t="s">
        <v>1565</v>
      </c>
      <c r="G131" s="1" t="s">
        <v>1236</v>
      </c>
      <c r="H131" s="1" t="s">
        <v>1237</v>
      </c>
      <c r="I131" s="7" t="s">
        <v>1187</v>
      </c>
      <c r="J131" s="44">
        <v>1</v>
      </c>
      <c r="K131" s="45">
        <v>1</v>
      </c>
      <c r="L131" s="1">
        <v>997</v>
      </c>
      <c r="M131" s="1" t="s">
        <v>1188</v>
      </c>
      <c r="N131" s="1" t="s">
        <v>1141</v>
      </c>
      <c r="O131" s="1" t="s">
        <v>1189</v>
      </c>
      <c r="P131" s="7" t="s">
        <v>1073</v>
      </c>
      <c r="Q131" s="44">
        <f>IF($L131=996,Multipliers!C$174,IF($L131=997,Multipliers!C$175,IF($L131=998,Multipliers!C$176,"NONE")))</f>
        <v>1.3</v>
      </c>
      <c r="R131" s="44">
        <f>IF($L131=996,Multipliers!C$5,IF($L131=997,Multipliers!C$6,IF($L131=998,Multipliers!C$7,"NONE")))</f>
        <v>1.34</v>
      </c>
      <c r="S131" s="46">
        <f t="shared" si="51"/>
        <v>576770.33050000016</v>
      </c>
      <c r="T131" s="46">
        <f t="shared" si="52"/>
        <v>595942.1664000001</v>
      </c>
      <c r="U131" s="46">
        <f t="shared" si="43"/>
        <v>589982.74473600008</v>
      </c>
      <c r="V131" s="46">
        <f t="shared" si="44"/>
        <v>670883.01826070005</v>
      </c>
      <c r="W131" s="47">
        <f t="shared" si="45"/>
        <v>670883.01826070005</v>
      </c>
      <c r="X131" s="47"/>
      <c r="Y131" s="48">
        <f t="shared" si="46"/>
        <v>537627.23286300001</v>
      </c>
      <c r="Z131" s="48">
        <f t="shared" si="47"/>
        <v>593892.8539060998</v>
      </c>
      <c r="AA131" s="48">
        <f t="shared" si="48"/>
        <v>670883.01826070005</v>
      </c>
      <c r="AB131" s="48">
        <f t="shared" si="49"/>
        <v>727154.03193440009</v>
      </c>
      <c r="AC131" s="48">
        <f t="shared" si="50"/>
        <v>784795.42359260004</v>
      </c>
      <c r="AD131" s="1"/>
      <c r="AE131" s="1"/>
      <c r="AF131" s="1"/>
      <c r="AI131" s="9"/>
      <c r="AJ131" s="1"/>
      <c r="AK131" s="1"/>
      <c r="AL131" s="1"/>
      <c r="AM131" s="1"/>
      <c r="AN131" s="1"/>
      <c r="AO131" s="1"/>
      <c r="AP131" s="9"/>
      <c r="AQ131" s="3"/>
      <c r="AR131" s="4"/>
      <c r="AS131" s="1"/>
      <c r="AT131" s="1"/>
      <c r="AU131" s="1"/>
      <c r="AV131" s="1"/>
      <c r="AW131" s="1"/>
      <c r="AX131" s="3"/>
      <c r="AY131" s="3"/>
      <c r="AZ131" s="5"/>
      <c r="BA131" s="5"/>
      <c r="BB131" s="5"/>
      <c r="BC131" s="5"/>
      <c r="BD131" s="6"/>
      <c r="BE131" s="6"/>
      <c r="BF131" s="12"/>
      <c r="BG131" s="12"/>
      <c r="BH131" s="12"/>
      <c r="BI131" s="12"/>
      <c r="BJ131" s="12"/>
    </row>
    <row r="132" spans="2:62" x14ac:dyDescent="0.25">
      <c r="B132" s="1" t="s">
        <v>1180</v>
      </c>
      <c r="C132" s="1" t="s">
        <v>1566</v>
      </c>
      <c r="D132" s="1" t="s">
        <v>1190</v>
      </c>
      <c r="E132" s="1" t="s">
        <v>1567</v>
      </c>
      <c r="F132" s="1" t="s">
        <v>1568</v>
      </c>
      <c r="G132" s="1" t="s">
        <v>1294</v>
      </c>
      <c r="H132" s="1" t="s">
        <v>1295</v>
      </c>
      <c r="I132" s="7" t="s">
        <v>1187</v>
      </c>
      <c r="J132" s="44">
        <v>1</v>
      </c>
      <c r="K132" s="45">
        <v>1</v>
      </c>
      <c r="L132" s="1">
        <v>997</v>
      </c>
      <c r="M132" s="1" t="s">
        <v>1188</v>
      </c>
      <c r="N132" s="1" t="s">
        <v>1141</v>
      </c>
      <c r="O132" s="1" t="s">
        <v>1189</v>
      </c>
      <c r="P132" s="7" t="s">
        <v>1073</v>
      </c>
      <c r="Q132" s="44">
        <f>IF($L132=996,Multipliers!C$174,IF($L132=997,Multipliers!C$175,IF($L132=998,Multipliers!C$176,"NONE")))</f>
        <v>1.3</v>
      </c>
      <c r="R132" s="44">
        <f>IF($L132=996,Multipliers!C$5,IF($L132=997,Multipliers!C$6,IF($L132=998,Multipliers!C$7,"NONE")))</f>
        <v>1.34</v>
      </c>
      <c r="S132" s="46">
        <f t="shared" si="51"/>
        <v>576770.33050000016</v>
      </c>
      <c r="T132" s="46">
        <f t="shared" si="52"/>
        <v>595942.1664000001</v>
      </c>
      <c r="U132" s="46">
        <f t="shared" si="43"/>
        <v>589982.74473600008</v>
      </c>
      <c r="V132" s="46">
        <f t="shared" si="44"/>
        <v>670883.01826070005</v>
      </c>
      <c r="W132" s="47">
        <f t="shared" si="45"/>
        <v>670883.01826070005</v>
      </c>
      <c r="X132" s="47"/>
      <c r="Y132" s="48">
        <f t="shared" si="46"/>
        <v>537627.23286300001</v>
      </c>
      <c r="Z132" s="48">
        <f t="shared" si="47"/>
        <v>593892.8539060998</v>
      </c>
      <c r="AA132" s="48">
        <f t="shared" si="48"/>
        <v>670883.01826070005</v>
      </c>
      <c r="AB132" s="48">
        <f t="shared" si="49"/>
        <v>727154.03193440009</v>
      </c>
      <c r="AC132" s="48">
        <f t="shared" si="50"/>
        <v>784795.42359260004</v>
      </c>
      <c r="AD132" s="1"/>
      <c r="AE132" s="1"/>
      <c r="AF132" s="1"/>
      <c r="AI132" s="9"/>
      <c r="AJ132" s="1"/>
      <c r="AK132" s="1"/>
      <c r="AL132" s="1"/>
      <c r="AM132" s="1"/>
      <c r="AN132" s="1"/>
      <c r="AO132" s="1"/>
      <c r="AP132" s="9"/>
      <c r="AQ132" s="3"/>
      <c r="AR132" s="4"/>
      <c r="AS132" s="1"/>
      <c r="AT132" s="1"/>
      <c r="AU132" s="1"/>
      <c r="AV132" s="1"/>
      <c r="AW132" s="1"/>
      <c r="AX132" s="3"/>
      <c r="AY132" s="3"/>
      <c r="AZ132" s="5"/>
      <c r="BA132" s="5"/>
      <c r="BB132" s="5"/>
      <c r="BC132" s="5"/>
      <c r="BD132" s="6"/>
      <c r="BE132" s="6"/>
      <c r="BF132" s="12"/>
      <c r="BG132" s="12"/>
      <c r="BH132" s="12"/>
      <c r="BI132" s="12"/>
      <c r="BJ132" s="12"/>
    </row>
    <row r="133" spans="2:62" x14ac:dyDescent="0.25">
      <c r="B133" s="1" t="s">
        <v>1180</v>
      </c>
      <c r="C133" s="1" t="s">
        <v>1569</v>
      </c>
      <c r="D133" s="1" t="s">
        <v>1190</v>
      </c>
      <c r="E133" s="1" t="s">
        <v>1570</v>
      </c>
      <c r="F133" s="1" t="s">
        <v>1571</v>
      </c>
      <c r="G133" s="1" t="s">
        <v>1218</v>
      </c>
      <c r="H133" s="1" t="s">
        <v>1219</v>
      </c>
      <c r="I133" s="7" t="s">
        <v>1187</v>
      </c>
      <c r="J133" s="44">
        <v>1</v>
      </c>
      <c r="K133" s="45">
        <v>1</v>
      </c>
      <c r="L133" s="1">
        <v>997</v>
      </c>
      <c r="M133" s="1" t="s">
        <v>1188</v>
      </c>
      <c r="N133" s="1" t="s">
        <v>1141</v>
      </c>
      <c r="O133" s="1" t="s">
        <v>1189</v>
      </c>
      <c r="P133" s="7" t="s">
        <v>1073</v>
      </c>
      <c r="Q133" s="44">
        <f>IF($L133=996,Multipliers!C$174,IF($L133=997,Multipliers!C$175,IF($L133=998,Multipliers!C$176,"NONE")))</f>
        <v>1.3</v>
      </c>
      <c r="R133" s="44">
        <f>IF($L133=996,Multipliers!C$5,IF($L133=997,Multipliers!C$6,IF($L133=998,Multipliers!C$7,"NONE")))</f>
        <v>1.34</v>
      </c>
      <c r="S133" s="46">
        <f t="shared" si="51"/>
        <v>576770.33050000016</v>
      </c>
      <c r="T133" s="46">
        <f t="shared" si="52"/>
        <v>595942.1664000001</v>
      </c>
      <c r="U133" s="46">
        <f t="shared" si="43"/>
        <v>589982.74473600008</v>
      </c>
      <c r="V133" s="46">
        <f t="shared" si="44"/>
        <v>670883.01826070005</v>
      </c>
      <c r="W133" s="47">
        <f t="shared" si="45"/>
        <v>670883.01826070005</v>
      </c>
      <c r="X133" s="47"/>
      <c r="Y133" s="48">
        <f t="shared" si="46"/>
        <v>537627.23286300001</v>
      </c>
      <c r="Z133" s="48">
        <f t="shared" si="47"/>
        <v>593892.8539060998</v>
      </c>
      <c r="AA133" s="48">
        <f t="shared" si="48"/>
        <v>670883.01826070005</v>
      </c>
      <c r="AB133" s="48">
        <f t="shared" si="49"/>
        <v>727154.03193440009</v>
      </c>
      <c r="AC133" s="48">
        <f t="shared" si="50"/>
        <v>784795.42359260004</v>
      </c>
      <c r="AD133" s="1"/>
      <c r="AE133" s="1"/>
      <c r="AF133" s="1"/>
      <c r="AI133" s="9"/>
      <c r="AJ133" s="1"/>
      <c r="AK133" s="1"/>
      <c r="AL133" s="1"/>
      <c r="AM133" s="1"/>
      <c r="AN133" s="1"/>
      <c r="AO133" s="1"/>
      <c r="AP133" s="9"/>
      <c r="AQ133" s="3"/>
      <c r="AR133" s="4"/>
      <c r="AS133" s="1"/>
      <c r="AT133" s="1"/>
      <c r="AU133" s="1"/>
      <c r="AV133" s="1"/>
      <c r="AW133" s="1"/>
      <c r="AX133" s="3"/>
      <c r="AY133" s="3"/>
      <c r="AZ133" s="5"/>
      <c r="BA133" s="5"/>
      <c r="BB133" s="5"/>
      <c r="BC133" s="5"/>
      <c r="BD133" s="6"/>
      <c r="BE133" s="6"/>
      <c r="BF133" s="12"/>
      <c r="BG133" s="12"/>
      <c r="BH133" s="12"/>
      <c r="BI133" s="12"/>
      <c r="BJ133" s="12"/>
    </row>
    <row r="134" spans="2:62" x14ac:dyDescent="0.25">
      <c r="B134" s="1" t="s">
        <v>1180</v>
      </c>
      <c r="C134" s="1" t="s">
        <v>1572</v>
      </c>
      <c r="D134" s="1" t="s">
        <v>1190</v>
      </c>
      <c r="E134" s="1" t="s">
        <v>1573</v>
      </c>
      <c r="F134" s="1" t="s">
        <v>1574</v>
      </c>
      <c r="G134" s="1" t="s">
        <v>1202</v>
      </c>
      <c r="H134" s="1" t="s">
        <v>1203</v>
      </c>
      <c r="I134" s="7" t="s">
        <v>1187</v>
      </c>
      <c r="J134" s="44">
        <v>1</v>
      </c>
      <c r="K134" s="45">
        <v>1</v>
      </c>
      <c r="L134" s="1">
        <v>997</v>
      </c>
      <c r="M134" s="1" t="s">
        <v>1188</v>
      </c>
      <c r="N134" s="1" t="s">
        <v>1141</v>
      </c>
      <c r="O134" s="1" t="s">
        <v>1189</v>
      </c>
      <c r="P134" s="7" t="s">
        <v>1073</v>
      </c>
      <c r="Q134" s="44">
        <f>IF($L134=996,Multipliers!C$174,IF($L134=997,Multipliers!C$175,IF($L134=998,Multipliers!C$176,"NONE")))</f>
        <v>1.3</v>
      </c>
      <c r="R134" s="44">
        <f>IF($L134=996,Multipliers!C$5,IF($L134=997,Multipliers!C$6,IF($L134=998,Multipliers!C$7,"NONE")))</f>
        <v>1.34</v>
      </c>
      <c r="S134" s="46">
        <f t="shared" si="51"/>
        <v>576770.33050000016</v>
      </c>
      <c r="T134" s="46">
        <f t="shared" si="52"/>
        <v>595942.1664000001</v>
      </c>
      <c r="U134" s="46">
        <f t="shared" si="43"/>
        <v>589982.74473600008</v>
      </c>
      <c r="V134" s="46">
        <f t="shared" si="44"/>
        <v>670883.01826070005</v>
      </c>
      <c r="W134" s="47">
        <f t="shared" si="45"/>
        <v>670883.01826070005</v>
      </c>
      <c r="X134" s="47"/>
      <c r="Y134" s="48">
        <f t="shared" si="46"/>
        <v>537627.23286300001</v>
      </c>
      <c r="Z134" s="48">
        <f t="shared" si="47"/>
        <v>593892.8539060998</v>
      </c>
      <c r="AA134" s="48">
        <f t="shared" si="48"/>
        <v>670883.01826070005</v>
      </c>
      <c r="AB134" s="48">
        <f t="shared" si="49"/>
        <v>727154.03193440009</v>
      </c>
      <c r="AC134" s="48">
        <f t="shared" si="50"/>
        <v>784795.42359260004</v>
      </c>
      <c r="AD134" s="1"/>
      <c r="AE134" s="1"/>
      <c r="AF134" s="1"/>
      <c r="AI134" s="9"/>
      <c r="AJ134" s="1"/>
      <c r="AK134" s="1"/>
      <c r="AL134" s="1"/>
      <c r="AM134" s="1"/>
      <c r="AN134" s="1"/>
      <c r="AO134" s="1"/>
      <c r="AP134" s="9"/>
      <c r="AQ134" s="3"/>
      <c r="AR134" s="4"/>
      <c r="AS134" s="1"/>
      <c r="AT134" s="1"/>
      <c r="AU134" s="1"/>
      <c r="AV134" s="1"/>
      <c r="AW134" s="1"/>
      <c r="AX134" s="3"/>
      <c r="AY134" s="3"/>
      <c r="AZ134" s="5"/>
      <c r="BA134" s="5"/>
      <c r="BB134" s="5"/>
      <c r="BC134" s="5"/>
      <c r="BD134" s="6"/>
      <c r="BE134" s="6"/>
      <c r="BF134" s="12"/>
      <c r="BG134" s="12"/>
      <c r="BH134" s="12"/>
      <c r="BI134" s="12"/>
      <c r="BJ134" s="12"/>
    </row>
    <row r="135" spans="2:62" x14ac:dyDescent="0.25">
      <c r="B135" s="1" t="s">
        <v>1180</v>
      </c>
      <c r="C135" s="1" t="s">
        <v>1575</v>
      </c>
      <c r="D135" s="1" t="s">
        <v>1190</v>
      </c>
      <c r="E135" s="1" t="s">
        <v>1576</v>
      </c>
      <c r="F135" s="1" t="s">
        <v>1577</v>
      </c>
      <c r="G135" s="1" t="s">
        <v>1202</v>
      </c>
      <c r="H135" s="1" t="s">
        <v>1203</v>
      </c>
      <c r="I135" s="7" t="s">
        <v>1187</v>
      </c>
      <c r="J135" s="44">
        <v>1</v>
      </c>
      <c r="K135" s="45">
        <v>1</v>
      </c>
      <c r="L135" s="1">
        <v>997</v>
      </c>
      <c r="M135" s="1" t="s">
        <v>1188</v>
      </c>
      <c r="N135" s="1" t="s">
        <v>1141</v>
      </c>
      <c r="O135" s="1" t="s">
        <v>1189</v>
      </c>
      <c r="P135" s="7" t="s">
        <v>1073</v>
      </c>
      <c r="Q135" s="44">
        <f>IF($L135=996,Multipliers!C$174,IF($L135=997,Multipliers!C$175,IF($L135=998,Multipliers!C$176,"NONE")))</f>
        <v>1.3</v>
      </c>
      <c r="R135" s="44">
        <f>IF($L135=996,Multipliers!C$5,IF($L135=997,Multipliers!C$6,IF($L135=998,Multipliers!C$7,"NONE")))</f>
        <v>1.34</v>
      </c>
      <c r="S135" s="46">
        <f t="shared" si="51"/>
        <v>576770.33050000016</v>
      </c>
      <c r="T135" s="46">
        <f t="shared" si="52"/>
        <v>595942.1664000001</v>
      </c>
      <c r="U135" s="46">
        <f t="shared" si="43"/>
        <v>589982.74473600008</v>
      </c>
      <c r="V135" s="46">
        <f t="shared" si="44"/>
        <v>670883.01826070005</v>
      </c>
      <c r="W135" s="47">
        <f t="shared" si="45"/>
        <v>670883.01826070005</v>
      </c>
      <c r="X135" s="47"/>
      <c r="Y135" s="48">
        <f t="shared" si="46"/>
        <v>537627.23286300001</v>
      </c>
      <c r="Z135" s="48">
        <f t="shared" si="47"/>
        <v>593892.8539060998</v>
      </c>
      <c r="AA135" s="48">
        <f t="shared" si="48"/>
        <v>670883.01826070005</v>
      </c>
      <c r="AB135" s="48">
        <f t="shared" si="49"/>
        <v>727154.03193440009</v>
      </c>
      <c r="AC135" s="48">
        <f t="shared" si="50"/>
        <v>784795.42359260004</v>
      </c>
      <c r="AD135" s="1"/>
      <c r="AE135" s="1"/>
      <c r="AF135" s="1"/>
      <c r="AI135" s="9"/>
      <c r="AJ135" s="1"/>
      <c r="AK135" s="1"/>
      <c r="AL135" s="1"/>
      <c r="AM135" s="1"/>
      <c r="AN135" s="1"/>
      <c r="AO135" s="1"/>
      <c r="AP135" s="9"/>
      <c r="AQ135" s="3"/>
      <c r="AR135" s="4"/>
      <c r="AS135" s="1"/>
      <c r="AT135" s="1"/>
      <c r="AU135" s="1"/>
      <c r="AV135" s="1"/>
      <c r="AW135" s="1"/>
      <c r="AX135" s="3"/>
      <c r="AY135" s="3"/>
      <c r="AZ135" s="5"/>
      <c r="BA135" s="5"/>
      <c r="BB135" s="5"/>
      <c r="BC135" s="5"/>
      <c r="BD135" s="6"/>
      <c r="BE135" s="6"/>
      <c r="BF135" s="12"/>
      <c r="BG135" s="12"/>
      <c r="BH135" s="12"/>
      <c r="BI135" s="12"/>
      <c r="BJ135" s="12"/>
    </row>
    <row r="136" spans="2:62" x14ac:dyDescent="0.25">
      <c r="B136" s="1" t="s">
        <v>1180</v>
      </c>
      <c r="C136" s="1" t="s">
        <v>1578</v>
      </c>
      <c r="D136" s="1" t="s">
        <v>1190</v>
      </c>
      <c r="E136" s="1" t="s">
        <v>1579</v>
      </c>
      <c r="F136" s="1" t="s">
        <v>1580</v>
      </c>
      <c r="G136" s="1" t="s">
        <v>1202</v>
      </c>
      <c r="H136" s="1" t="s">
        <v>1203</v>
      </c>
      <c r="I136" s="7" t="s">
        <v>1187</v>
      </c>
      <c r="J136" s="44">
        <v>1</v>
      </c>
      <c r="K136" s="45">
        <v>1</v>
      </c>
      <c r="L136" s="1">
        <v>997</v>
      </c>
      <c r="M136" s="1" t="s">
        <v>1188</v>
      </c>
      <c r="N136" s="1" t="s">
        <v>1141</v>
      </c>
      <c r="O136" s="1" t="s">
        <v>1189</v>
      </c>
      <c r="P136" s="7" t="s">
        <v>1073</v>
      </c>
      <c r="Q136" s="44">
        <f>IF($L136=996,Multipliers!C$174,IF($L136=997,Multipliers!C$175,IF($L136=998,Multipliers!C$176,"NONE")))</f>
        <v>1.3</v>
      </c>
      <c r="R136" s="44">
        <f>IF($L136=996,Multipliers!C$5,IF($L136=997,Multipliers!C$6,IF($L136=998,Multipliers!C$7,"NONE")))</f>
        <v>1.34</v>
      </c>
      <c r="S136" s="46">
        <f>IF(N136="Standard",$O$5*Q136*$O$7,IF(N136="Severe",$O$4*Q136*$O$7,IF(N136="Hostile",$O$3*Q136*$O$7)))</f>
        <v>576770.33050000016</v>
      </c>
      <c r="T136" s="46">
        <f>IF(N136="Standard",$P$5*R136*$O$7,IF(N136="Severe",$P$4*R136*$O$7,IF(N136="Hostile",$P$3*R136*$O$7)))</f>
        <v>595942.1664000001</v>
      </c>
      <c r="U136" s="46">
        <f t="shared" si="43"/>
        <v>589982.74473600008</v>
      </c>
      <c r="V136" s="46">
        <f t="shared" si="44"/>
        <v>670883.01826070005</v>
      </c>
      <c r="W136" s="47">
        <f t="shared" si="45"/>
        <v>670883.01826070005</v>
      </c>
      <c r="X136" s="47"/>
      <c r="Y136" s="48">
        <f t="shared" si="46"/>
        <v>537627.23286300001</v>
      </c>
      <c r="Z136" s="48">
        <f t="shared" si="47"/>
        <v>593892.8539060998</v>
      </c>
      <c r="AA136" s="48">
        <f t="shared" si="48"/>
        <v>670883.01826070005</v>
      </c>
      <c r="AB136" s="48">
        <f t="shared" si="49"/>
        <v>727154.03193440009</v>
      </c>
      <c r="AC136" s="48">
        <f t="shared" si="50"/>
        <v>784795.42359260004</v>
      </c>
      <c r="AD136" s="1"/>
      <c r="AE136" s="1"/>
      <c r="AF136" s="1"/>
      <c r="AI136" s="9"/>
      <c r="AJ136" s="1"/>
      <c r="AK136" s="1"/>
      <c r="AL136" s="1"/>
      <c r="AM136" s="1"/>
      <c r="AN136" s="1"/>
      <c r="AO136" s="1"/>
      <c r="AP136" s="9"/>
      <c r="AQ136" s="3"/>
      <c r="AR136" s="4"/>
      <c r="AS136" s="1"/>
      <c r="AT136" s="1"/>
      <c r="AU136" s="1"/>
      <c r="AV136" s="1"/>
      <c r="AW136" s="1"/>
      <c r="AX136" s="3"/>
      <c r="AY136" s="3"/>
      <c r="AZ136" s="5"/>
      <c r="BA136" s="5"/>
      <c r="BB136" s="5"/>
      <c r="BC136" s="5"/>
      <c r="BD136" s="6"/>
      <c r="BE136" s="6"/>
      <c r="BF136" s="12"/>
      <c r="BG136" s="12"/>
      <c r="BH136" s="12"/>
      <c r="BI136" s="12"/>
      <c r="BJ136" s="12"/>
    </row>
    <row r="137" spans="2:62" x14ac:dyDescent="0.25">
      <c r="B137" s="1" t="s">
        <v>1180</v>
      </c>
      <c r="C137" s="1" t="s">
        <v>1581</v>
      </c>
      <c r="D137" s="1" t="s">
        <v>1190</v>
      </c>
      <c r="E137" s="1" t="s">
        <v>1582</v>
      </c>
      <c r="F137" s="1" t="s">
        <v>1583</v>
      </c>
      <c r="G137" s="1" t="s">
        <v>1185</v>
      </c>
      <c r="H137" s="1" t="s">
        <v>1186</v>
      </c>
      <c r="I137" s="7" t="s">
        <v>1187</v>
      </c>
      <c r="J137" s="44">
        <v>1</v>
      </c>
      <c r="K137" s="45">
        <v>1</v>
      </c>
      <c r="L137" s="1">
        <v>997</v>
      </c>
      <c r="M137" s="1" t="s">
        <v>1188</v>
      </c>
      <c r="N137" s="1" t="s">
        <v>1141</v>
      </c>
      <c r="O137" s="1" t="s">
        <v>1189</v>
      </c>
      <c r="P137" s="7" t="s">
        <v>1073</v>
      </c>
      <c r="Q137" s="44">
        <f>IF($L137=996,Multipliers!C$174,IF($L137=997,Multipliers!C$175,IF($L137=998,Multipliers!C$176,"NONE")))</f>
        <v>1.3</v>
      </c>
      <c r="R137" s="44">
        <f>IF($L137=996,Multipliers!C$5,IF($L137=997,Multipliers!C$6,IF($L137=998,Multipliers!C$7,"NONE")))</f>
        <v>1.34</v>
      </c>
      <c r="S137" s="46">
        <f t="shared" si="51"/>
        <v>576770.33050000016</v>
      </c>
      <c r="T137" s="46">
        <f t="shared" si="52"/>
        <v>595942.1664000001</v>
      </c>
      <c r="U137" s="46">
        <f t="shared" si="43"/>
        <v>589982.74473600008</v>
      </c>
      <c r="V137" s="46">
        <f t="shared" si="44"/>
        <v>670883.01826070005</v>
      </c>
      <c r="W137" s="47" t="e">
        <f>IF(F137=#REF!,(V137+#REF!)/2,IF(F137=F136,(V137+V136)/2,IF(F137&lt;&gt;F136,V137)))</f>
        <v>#REF!</v>
      </c>
      <c r="X137" s="47"/>
      <c r="Y137" s="48">
        <f t="shared" si="46"/>
        <v>537627.23286300001</v>
      </c>
      <c r="Z137" s="48">
        <f t="shared" si="47"/>
        <v>593892.8539060998</v>
      </c>
      <c r="AA137" s="48">
        <f t="shared" si="48"/>
        <v>670883.01826070005</v>
      </c>
      <c r="AB137" s="48">
        <f t="shared" si="49"/>
        <v>727154.03193440009</v>
      </c>
      <c r="AC137" s="48">
        <f t="shared" si="50"/>
        <v>784795.42359260004</v>
      </c>
      <c r="AD137" s="1"/>
      <c r="AE137" s="1"/>
      <c r="AF137" s="1"/>
      <c r="AI137" s="9"/>
      <c r="AJ137" s="1"/>
      <c r="AK137" s="1"/>
      <c r="AL137" s="1"/>
      <c r="AM137" s="1"/>
      <c r="AN137" s="1"/>
      <c r="AO137" s="1"/>
      <c r="AP137" s="9"/>
      <c r="AQ137" s="3"/>
      <c r="AR137" s="4"/>
      <c r="AS137" s="1"/>
      <c r="AT137" s="1"/>
      <c r="AU137" s="1"/>
      <c r="AV137" s="1"/>
      <c r="AW137" s="1"/>
      <c r="AX137" s="3"/>
      <c r="AY137" s="3"/>
      <c r="AZ137" s="5"/>
      <c r="BA137" s="5"/>
      <c r="BB137" s="5"/>
      <c r="BC137" s="5"/>
      <c r="BD137" s="6"/>
      <c r="BE137" s="6"/>
      <c r="BF137" s="12"/>
      <c r="BG137" s="12"/>
      <c r="BH137" s="12"/>
      <c r="BI137" s="12"/>
      <c r="BJ137" s="12"/>
    </row>
    <row r="138" spans="2:62" x14ac:dyDescent="0.25">
      <c r="B138" s="1" t="s">
        <v>1180</v>
      </c>
      <c r="C138" s="1" t="s">
        <v>1586</v>
      </c>
      <c r="D138" s="1" t="s">
        <v>1190</v>
      </c>
      <c r="E138" s="1" t="s">
        <v>1587</v>
      </c>
      <c r="F138" s="1" t="s">
        <v>1588</v>
      </c>
      <c r="G138" s="1" t="s">
        <v>1223</v>
      </c>
      <c r="H138" s="1" t="s">
        <v>1224</v>
      </c>
      <c r="I138" s="7" t="s">
        <v>1187</v>
      </c>
      <c r="J138" s="44">
        <v>1</v>
      </c>
      <c r="K138" s="45">
        <v>1</v>
      </c>
      <c r="L138" s="1">
        <v>997</v>
      </c>
      <c r="M138" s="1" t="s">
        <v>1188</v>
      </c>
      <c r="N138" s="1" t="s">
        <v>1141</v>
      </c>
      <c r="O138" s="1" t="s">
        <v>1189</v>
      </c>
      <c r="P138" s="7" t="s">
        <v>1073</v>
      </c>
      <c r="Q138" s="44">
        <f>IF($L138=996,Multipliers!C$174,IF($L138=997,Multipliers!C$175,IF($L138=998,Multipliers!C$176,"NONE")))</f>
        <v>1.3</v>
      </c>
      <c r="R138" s="44">
        <f>IF($L138=996,Multipliers!C$5,IF($L138=997,Multipliers!C$6,IF($L138=998,Multipliers!C$7,"NONE")))</f>
        <v>1.34</v>
      </c>
      <c r="S138" s="46">
        <f t="shared" si="51"/>
        <v>576770.33050000016</v>
      </c>
      <c r="T138" s="46">
        <f t="shared" si="52"/>
        <v>595942.1664000001</v>
      </c>
      <c r="U138" s="46">
        <f t="shared" si="43"/>
        <v>589982.74473600008</v>
      </c>
      <c r="V138" s="46">
        <f t="shared" si="44"/>
        <v>670883.01826070005</v>
      </c>
      <c r="W138" s="47" t="e">
        <f>IF(F138=F139,(V138+V139)/2,IF(F138=#REF!,(V138+#REF!)/2,IF(F138&lt;&gt;#REF!,V138)))</f>
        <v>#REF!</v>
      </c>
      <c r="X138" s="47"/>
      <c r="Y138" s="48">
        <f t="shared" si="46"/>
        <v>537627.23286300001</v>
      </c>
      <c r="Z138" s="48">
        <f t="shared" si="47"/>
        <v>593892.8539060998</v>
      </c>
      <c r="AA138" s="48">
        <f t="shared" si="48"/>
        <v>670883.01826070005</v>
      </c>
      <c r="AB138" s="48">
        <f t="shared" si="49"/>
        <v>727154.03193440009</v>
      </c>
      <c r="AC138" s="48">
        <f t="shared" si="50"/>
        <v>784795.42359260004</v>
      </c>
      <c r="AD138" s="1"/>
      <c r="AE138" s="1"/>
      <c r="AF138" s="1"/>
      <c r="AI138" s="9"/>
      <c r="AJ138" s="1"/>
      <c r="AK138" s="1"/>
      <c r="AL138" s="1"/>
      <c r="AM138" s="1"/>
      <c r="AN138" s="1"/>
      <c r="AO138" s="1"/>
      <c r="AP138" s="9"/>
      <c r="AQ138" s="3"/>
      <c r="AR138" s="4"/>
      <c r="AS138" s="1"/>
      <c r="AT138" s="1"/>
      <c r="AU138" s="1"/>
      <c r="AV138" s="1"/>
      <c r="AW138" s="1"/>
      <c r="AX138" s="3"/>
      <c r="AY138" s="3"/>
      <c r="AZ138" s="5"/>
      <c r="BA138" s="5"/>
      <c r="BB138" s="5"/>
      <c r="BC138" s="5"/>
      <c r="BD138" s="6"/>
      <c r="BE138" s="6"/>
      <c r="BF138" s="12"/>
      <c r="BG138" s="12"/>
      <c r="BH138" s="12"/>
      <c r="BI138" s="12"/>
      <c r="BJ138" s="12"/>
    </row>
    <row r="139" spans="2:62" x14ac:dyDescent="0.25">
      <c r="B139" s="1" t="s">
        <v>1180</v>
      </c>
      <c r="C139" s="1" t="s">
        <v>1589</v>
      </c>
      <c r="D139" s="1" t="s">
        <v>1190</v>
      </c>
      <c r="E139" s="1" t="s">
        <v>1590</v>
      </c>
      <c r="F139" s="1" t="s">
        <v>1591</v>
      </c>
      <c r="G139" s="1" t="s">
        <v>1202</v>
      </c>
      <c r="H139" s="1" t="s">
        <v>1203</v>
      </c>
      <c r="I139" s="7" t="s">
        <v>1187</v>
      </c>
      <c r="J139" s="44">
        <v>1</v>
      </c>
      <c r="K139" s="45">
        <v>1</v>
      </c>
      <c r="L139" s="1">
        <v>998</v>
      </c>
      <c r="M139" s="1" t="s">
        <v>1188</v>
      </c>
      <c r="N139" s="1" t="s">
        <v>1141</v>
      </c>
      <c r="O139" s="1" t="s">
        <v>1189</v>
      </c>
      <c r="P139" s="7" t="s">
        <v>1074</v>
      </c>
      <c r="Q139" s="44">
        <f>IF($L139=996,Multipliers!C$174,IF($L139=997,Multipliers!C$175,IF($L139=998,Multipliers!C$176,"NONE")))</f>
        <v>1.34</v>
      </c>
      <c r="R139" s="44">
        <f>IF($L139=996,Multipliers!C$5,IF($L139=997,Multipliers!C$6,IF($L139=998,Multipliers!C$7,"NONE")))</f>
        <v>1.36</v>
      </c>
      <c r="S139" s="46">
        <f t="shared" si="51"/>
        <v>594517.10990000016</v>
      </c>
      <c r="T139" s="46">
        <f t="shared" si="52"/>
        <v>604836.82559999998</v>
      </c>
      <c r="U139" s="46">
        <f t="shared" si="43"/>
        <v>598788.45734399999</v>
      </c>
      <c r="V139" s="46">
        <f>((S139+U139)/2*1.2)</f>
        <v>715983.34034640016</v>
      </c>
      <c r="W139" s="47">
        <f t="shared" si="45"/>
        <v>715983.34034640016</v>
      </c>
      <c r="X139" s="47"/>
      <c r="Y139" s="48">
        <f>IF(N139="Standard",(((($Z$3*Q139)+($AD$3*R139*$T$5))/2)*$O$7*1.2),IF(N139="Severe",(((($AA$3*Q139)+($AE$3*R139*$T$5))/2)*$O$7*1.2),IF(N139="Hostile",(((($AB$3*Q139)+($AF$3*R139*$T$5))/2)*$O$7*1.2))))</f>
        <v>573912.50187599997</v>
      </c>
      <c r="Z139" s="48">
        <f>IF(N139="Standard",(((($Z$4*Q139)+($AD$4*R139*$T$5))/2)*$O$7*1.2),IF(N139="Severe",(((($AA$4*Q139)+($AE$4*R139*$T$5))/2)*$O$7*1.2),IF(N139="Hostile",(((($AB$4*Q139)+($AF$4*R139*$T$5))/2)*$O$7*1.2))))</f>
        <v>633906.89508719998</v>
      </c>
      <c r="AA139" s="48">
        <f>IF(N139="Standard",(((($Z$5*Q139)+($AD$5*R139*$T$5))/2)*$O$7*1.2),IF(N139="Severe",(((($AA$5*Q139)+($AE$5*R139*$T$5))/2)*$O$7*1.2),IF(N139="Hostile",((($AB$5*Q139)+($AF$5*R139*$T$5))/2)*$O$7*1.2)))</f>
        <v>715983.34034640016</v>
      </c>
      <c r="AB139" s="48">
        <f>IF(N139="Standard",(((($Z$6*Q139)+($AD$6*R139*$T$5))/2)*$O$7*1.2),IF(N139="Severe",(((($AA$6*Q139)+($AE$6*R139*$T$5))/2)*$O$7*1.2),IF(N139="Hostile",((($AB$6*Q139)+($AF$6*R139*$T$5))/2)*$O$7*1.2)))</f>
        <v>775980.51116880018</v>
      </c>
      <c r="AC139" s="48">
        <f>IF(N139="Standard",((($Z$7*Q139)+($AD$7*R139*$T$5))/2)*$O$7*1.2,IF(N139="Severe",((($AA$7*Q139)+($AE$7*R139*$T$5))/2)*$O$7*1.2,IF(N139="Hostile",((($AB$7*Q139)+($AF$7*R139*$T$5))/2)*$O$7*1.2)))</f>
        <v>837476.24333520012</v>
      </c>
      <c r="AD139" s="1"/>
      <c r="AE139" s="1"/>
      <c r="AF139" s="1"/>
      <c r="AI139" s="9"/>
      <c r="AJ139" s="1"/>
      <c r="AK139" s="1"/>
      <c r="AL139" s="1"/>
      <c r="AM139" s="1"/>
      <c r="AN139" s="1"/>
      <c r="AO139" s="1"/>
      <c r="AP139" s="9"/>
      <c r="AQ139" s="3"/>
      <c r="AR139" s="4"/>
      <c r="AS139" s="1"/>
      <c r="AT139" s="1"/>
      <c r="AU139" s="1"/>
      <c r="AV139" s="1"/>
      <c r="AW139" s="1"/>
      <c r="AX139" s="3"/>
      <c r="AY139" s="3"/>
      <c r="AZ139" s="5"/>
      <c r="BA139" s="5"/>
      <c r="BB139" s="5"/>
      <c r="BC139" s="5"/>
      <c r="BD139" s="6"/>
      <c r="BE139" s="6"/>
      <c r="BF139" s="12"/>
      <c r="BG139" s="12"/>
      <c r="BH139" s="12"/>
      <c r="BI139" s="12"/>
      <c r="BJ139" s="12"/>
    </row>
    <row r="140" spans="2:62" x14ac:dyDescent="0.25">
      <c r="B140" s="1" t="s">
        <v>1180</v>
      </c>
      <c r="C140" s="1" t="s">
        <v>1592</v>
      </c>
      <c r="D140" s="1" t="s">
        <v>1190</v>
      </c>
      <c r="E140" s="1" t="s">
        <v>1593</v>
      </c>
      <c r="F140" s="1" t="s">
        <v>1594</v>
      </c>
      <c r="G140" s="1" t="s">
        <v>1202</v>
      </c>
      <c r="H140" s="1" t="s">
        <v>1203</v>
      </c>
      <c r="I140" s="7" t="s">
        <v>1187</v>
      </c>
      <c r="J140" s="44">
        <v>1</v>
      </c>
      <c r="K140" s="45">
        <v>1</v>
      </c>
      <c r="L140" s="1">
        <v>997</v>
      </c>
      <c r="M140" s="1" t="s">
        <v>1188</v>
      </c>
      <c r="N140" s="1" t="s">
        <v>1141</v>
      </c>
      <c r="O140" s="1" t="s">
        <v>1189</v>
      </c>
      <c r="P140" s="7" t="s">
        <v>1073</v>
      </c>
      <c r="Q140" s="44">
        <f>IF($L140=996,Multipliers!C$174,IF($L140=997,Multipliers!C$175,IF($L140=998,Multipliers!C$176,"NONE")))</f>
        <v>1.3</v>
      </c>
      <c r="R140" s="44">
        <f>IF($L140=996,Multipliers!C$5,IF($L140=997,Multipliers!C$6,IF($L140=998,Multipliers!C$7,"NONE")))</f>
        <v>1.34</v>
      </c>
      <c r="S140" s="46">
        <f t="shared" si="51"/>
        <v>576770.33050000016</v>
      </c>
      <c r="T140" s="46">
        <f t="shared" si="52"/>
        <v>595942.1664000001</v>
      </c>
      <c r="U140" s="46">
        <f t="shared" si="43"/>
        <v>589982.74473600008</v>
      </c>
      <c r="V140" s="46">
        <f>((S140+U140)/2*1.15)</f>
        <v>670883.01826070005</v>
      </c>
      <c r="W140" s="47">
        <f t="shared" ref="W140:W171" si="53">IF(F140=F141,(V140+V141)/2,IF(F140=F139,(V140+V139)/2,IF(F140&lt;&gt;F139,V140)))</f>
        <v>670883.01826070005</v>
      </c>
      <c r="X140" s="47"/>
      <c r="Y140" s="48">
        <f>IF(N140="Standard",(((($Z$3*Q140)+($AD$3*R140*$T$5))/2)*$O$7*1.15),IF(N140="Severe",(((($AA$3*Q140)+($AE$3*R140*$T$5))/2)*$O$7*1.15),IF(N140="Hostile",(((($AB$3*Q140)+($AF$3*R140*$T$5))/2)*$O$7*1.15))))</f>
        <v>537627.23286300001</v>
      </c>
      <c r="Z140" s="48">
        <f>IF(N140="Standard",(((($Z$4*Q140)+($AD$4*R140*$T$5))/2)*$O$7*1.15),IF(N140="Severe",(((($AA$4*Q140)+($AE$4*R140*$T$5))/2)*$O$7*1.15),IF(N140="Hostile",(((($AB$4*Q140)+($AF$4*R140*$T$5))/2)*$O$7*1.15))))</f>
        <v>593892.8539060998</v>
      </c>
      <c r="AA140" s="48">
        <f>IF(N140="Standard",(((($Z$5*Q140)+($AD$5*R140*$T$5))/2)*$O$7*1.15),IF(N140="Severe",(((($AA$5*Q140)+($AE$5*R140*$T$5))/2)*$O$7*1.15),IF(N140="Hostile",(((($AB$5*Q140)+($AF$5*R140*$T$5))/2)*$O$7*1.15))))</f>
        <v>670883.01826070005</v>
      </c>
      <c r="AB140" s="48">
        <f>IF(N140="Standard",(((($Z$6*Q140)+($AD$6*R140*$T$5))/2)*$O$7*1.15),IF(N140="Severe",(((($AA$6*Q140)+($AE$6*R140*$T$5))/2)*$O$7*1.15),IF(N140="Hostile",(((($AB$6*Q140)+($AF$6*R140*$T$5))/2)*$O$7*1.15))))</f>
        <v>727154.03193440009</v>
      </c>
      <c r="AC140" s="48">
        <f>IF(N140="Standard",(((($Z$7*Q140)+($AD$7*R140*$T$5))/2)*$O$7*1.15),IF(N140="Severe",(((($AA$7*Q140)+($AE$7*R140*$T$5))/2)*$O$7*1.15),IF(N140="Hostile",(((($AB$7*Q140)+($AF$7*R140*$T$5))/2)*$O$7*1.15))))</f>
        <v>784795.42359260004</v>
      </c>
      <c r="AD140" s="1"/>
      <c r="AE140" s="1"/>
      <c r="AF140" s="1"/>
      <c r="AI140" s="9"/>
      <c r="AJ140" s="1"/>
      <c r="AK140" s="1"/>
      <c r="AL140" s="1"/>
      <c r="AM140" s="1"/>
      <c r="AN140" s="1"/>
      <c r="AO140" s="1"/>
      <c r="AP140" s="9"/>
      <c r="AQ140" s="3"/>
      <c r="AR140" s="4"/>
      <c r="AS140" s="1"/>
      <c r="AT140" s="1"/>
      <c r="AU140" s="1"/>
      <c r="AV140" s="1"/>
      <c r="AW140" s="1"/>
      <c r="AX140" s="3"/>
      <c r="AY140" s="3"/>
      <c r="AZ140" s="5"/>
      <c r="BA140" s="5"/>
      <c r="BB140" s="5"/>
      <c r="BC140" s="5"/>
      <c r="BD140" s="6"/>
      <c r="BE140" s="6"/>
      <c r="BF140" s="12"/>
      <c r="BG140" s="12"/>
      <c r="BH140" s="12"/>
      <c r="BI140" s="12"/>
      <c r="BJ140" s="12"/>
    </row>
    <row r="141" spans="2:62" x14ac:dyDescent="0.25">
      <c r="B141" s="1" t="s">
        <v>1180</v>
      </c>
      <c r="C141" s="1" t="s">
        <v>1595</v>
      </c>
      <c r="D141" s="1" t="s">
        <v>1190</v>
      </c>
      <c r="E141" s="1" t="s">
        <v>1596</v>
      </c>
      <c r="F141" s="1" t="s">
        <v>1597</v>
      </c>
      <c r="G141" s="1" t="s">
        <v>1218</v>
      </c>
      <c r="H141" s="1" t="s">
        <v>1219</v>
      </c>
      <c r="I141" s="7" t="s">
        <v>1187</v>
      </c>
      <c r="J141" s="44">
        <v>1</v>
      </c>
      <c r="K141" s="45">
        <v>1</v>
      </c>
      <c r="L141" s="1">
        <v>997</v>
      </c>
      <c r="M141" s="1" t="s">
        <v>1188</v>
      </c>
      <c r="N141" s="1" t="s">
        <v>1141</v>
      </c>
      <c r="O141" s="1" t="s">
        <v>1189</v>
      </c>
      <c r="P141" s="7" t="s">
        <v>1073</v>
      </c>
      <c r="Q141" s="44">
        <f>IF($L141=996,Multipliers!C$174,IF($L141=997,Multipliers!C$175,IF($L141=998,Multipliers!C$176,"NONE")))</f>
        <v>1.3</v>
      </c>
      <c r="R141" s="44">
        <f>IF($L141=996,Multipliers!C$5,IF($L141=997,Multipliers!C$6,IF($L141=998,Multipliers!C$7,"NONE")))</f>
        <v>1.34</v>
      </c>
      <c r="S141" s="46">
        <f t="shared" si="51"/>
        <v>576770.33050000016</v>
      </c>
      <c r="T141" s="46">
        <f t="shared" si="52"/>
        <v>595942.1664000001</v>
      </c>
      <c r="U141" s="46">
        <f t="shared" si="43"/>
        <v>589982.74473600008</v>
      </c>
      <c r="V141" s="46">
        <f>((S141+U141)/2*1.15)</f>
        <v>670883.01826070005</v>
      </c>
      <c r="W141" s="47">
        <f t="shared" si="53"/>
        <v>670883.01826070005</v>
      </c>
      <c r="X141" s="47"/>
      <c r="Y141" s="48">
        <f>IF(N141="Standard",(((($Z$3*Q141)+($AD$3*R141*$T$5))/2)*$O$7*1.15),IF(N141="Severe",(((($AA$3*Q141)+($AE$3*R141*$T$5))/2)*$O$7*1.15),IF(N141="Hostile",(((($AB$3*Q141)+($AF$3*R141*$T$5))/2)*$O$7*1.15))))</f>
        <v>537627.23286300001</v>
      </c>
      <c r="Z141" s="48">
        <f>IF(N141="Standard",(((($Z$4*Q141)+($AD$4*R141*$T$5))/2)*$O$7*1.15),IF(N141="Severe",(((($AA$4*Q141)+($AE$4*R141*$T$5))/2)*$O$7*1.15),IF(N141="Hostile",(((($AB$4*Q141)+($AF$4*R141*$T$5))/2)*$O$7*1.15))))</f>
        <v>593892.8539060998</v>
      </c>
      <c r="AA141" s="48">
        <f>IF(N141="Standard",(((($Z$5*Q141)+($AD$5*R141*$T$5))/2)*$O$7*1.15),IF(N141="Severe",(((($AA$5*Q141)+($AE$5*R141*$T$5))/2)*$O$7*1.15),IF(N141="Hostile",(((($AB$5*Q141)+($AF$5*R141*$T$5))/2)*$O$7*1.15))))</f>
        <v>670883.01826070005</v>
      </c>
      <c r="AB141" s="48">
        <f>IF(N141="Standard",(((($Z$6*Q141)+($AD$6*R141*$T$5))/2)*$O$7*1.15),IF(N141="Severe",(((($AA$6*Q141)+($AE$6*R141*$T$5))/2)*$O$7*1.15),IF(N141="Hostile",(((($AB$6*Q141)+($AF$6*R141*$T$5))/2)*$O$7*1.15))))</f>
        <v>727154.03193440009</v>
      </c>
      <c r="AC141" s="48">
        <f>IF(N141="Standard",(((($Z$7*Q141)+($AD$7*R141*$T$5))/2)*$O$7*1.15),IF(N141="Severe",(((($AA$7*Q141)+($AE$7*R141*$T$5))/2)*$O$7*1.15),IF(N141="Hostile",(((($AB$7*Q141)+($AF$7*R141*$T$5))/2)*$O$7*1.15))))</f>
        <v>784795.42359260004</v>
      </c>
      <c r="AD141" s="1"/>
      <c r="AE141" s="1"/>
      <c r="AF141" s="1"/>
      <c r="AI141" s="9"/>
      <c r="AJ141" s="1"/>
      <c r="AK141" s="1"/>
      <c r="AL141" s="1"/>
      <c r="AM141" s="1"/>
      <c r="AN141" s="1"/>
      <c r="AO141" s="1"/>
      <c r="AP141" s="9"/>
      <c r="AQ141" s="3"/>
      <c r="AR141" s="4"/>
      <c r="AS141" s="1"/>
      <c r="AT141" s="1"/>
      <c r="AU141" s="1"/>
      <c r="AV141" s="1"/>
      <c r="AW141" s="1"/>
      <c r="AX141" s="3"/>
      <c r="AY141" s="3"/>
      <c r="AZ141" s="5"/>
      <c r="BA141" s="5"/>
      <c r="BB141" s="5"/>
      <c r="BC141" s="5"/>
      <c r="BD141" s="6"/>
      <c r="BE141" s="6"/>
      <c r="BF141" s="12"/>
      <c r="BG141" s="12"/>
      <c r="BH141" s="12"/>
      <c r="BI141" s="12"/>
      <c r="BJ141" s="12"/>
    </row>
    <row r="142" spans="2:62" x14ac:dyDescent="0.25">
      <c r="B142" s="1" t="s">
        <v>1180</v>
      </c>
      <c r="C142" s="1" t="s">
        <v>1598</v>
      </c>
      <c r="D142" s="1" t="s">
        <v>1190</v>
      </c>
      <c r="E142" s="1" t="s">
        <v>1599</v>
      </c>
      <c r="F142" s="1" t="s">
        <v>1600</v>
      </c>
      <c r="G142" s="1" t="s">
        <v>1223</v>
      </c>
      <c r="H142" s="1" t="s">
        <v>1224</v>
      </c>
      <c r="I142" s="7" t="s">
        <v>1187</v>
      </c>
      <c r="J142" s="44">
        <v>1</v>
      </c>
      <c r="K142" s="45">
        <v>1</v>
      </c>
      <c r="L142" s="1">
        <v>997</v>
      </c>
      <c r="M142" s="1" t="s">
        <v>1188</v>
      </c>
      <c r="N142" s="1" t="s">
        <v>1141</v>
      </c>
      <c r="O142" s="1" t="s">
        <v>1189</v>
      </c>
      <c r="P142" s="7" t="s">
        <v>1073</v>
      </c>
      <c r="Q142" s="44">
        <f>IF($L142=996,Multipliers!C$174,IF($L142=997,Multipliers!C$175,IF($L142=998,Multipliers!C$176,"NONE")))</f>
        <v>1.3</v>
      </c>
      <c r="R142" s="44">
        <f>IF($L142=996,Multipliers!C$5,IF($L142=997,Multipliers!C$6,IF($L142=998,Multipliers!C$7,"NONE")))</f>
        <v>1.34</v>
      </c>
      <c r="S142" s="46">
        <f t="shared" si="51"/>
        <v>576770.33050000016</v>
      </c>
      <c r="T142" s="46">
        <f t="shared" si="52"/>
        <v>595942.1664000001</v>
      </c>
      <c r="U142" s="46">
        <f t="shared" ref="U142:U157" si="54">IF(O142="E",$T$3*T142,IF(O142="C",$T$4*T142,IF(O142="W",$T$5*T142,1)))</f>
        <v>589982.74473600008</v>
      </c>
      <c r="V142" s="46">
        <f>((S142+U142)/2*1.15)</f>
        <v>670883.01826070005</v>
      </c>
      <c r="W142" s="47">
        <f t="shared" si="53"/>
        <v>670883.01826070005</v>
      </c>
      <c r="X142" s="47"/>
      <c r="Y142" s="48">
        <f>IF(N142="Standard",(((($Z$3*Q142)+($AD$3*R142*$T$5))/2)*$O$7*1.15),IF(N142="Severe",(((($AA$3*Q142)+($AE$3*R142*$T$5))/2)*$O$7*1.15),IF(N142="Hostile",(((($AB$3*Q142)+($AF$3*R142*$T$5))/2)*$O$7*1.15))))</f>
        <v>537627.23286300001</v>
      </c>
      <c r="Z142" s="48">
        <f>IF(N142="Standard",(((($Z$4*Q142)+($AD$4*R142*$T$5))/2)*$O$7*1.15),IF(N142="Severe",(((($AA$4*Q142)+($AE$4*R142*$T$5))/2)*$O$7*1.15),IF(N142="Hostile",(((($AB$4*Q142)+($AF$4*R142*$T$5))/2)*$O$7*1.15))))</f>
        <v>593892.8539060998</v>
      </c>
      <c r="AA142" s="48">
        <f>IF(N142="Standard",(((($Z$5*Q142)+($AD$5*R142*$T$5))/2)*$O$7*1.15),IF(N142="Severe",(((($AA$5*Q142)+($AE$5*R142*$T$5))/2)*$O$7*1.15),IF(N142="Hostile",(((($AB$5*Q142)+($AF$5*R142*$T$5))/2)*$O$7*1.15))))</f>
        <v>670883.01826070005</v>
      </c>
      <c r="AB142" s="48">
        <f>IF(N142="Standard",(((($Z$6*Q142)+($AD$6*R142*$T$5))/2)*$O$7*1.15),IF(N142="Severe",(((($AA$6*Q142)+($AE$6*R142*$T$5))/2)*$O$7*1.15),IF(N142="Hostile",(((($AB$6*Q142)+($AF$6*R142*$T$5))/2)*$O$7*1.15))))</f>
        <v>727154.03193440009</v>
      </c>
      <c r="AC142" s="48">
        <f>IF(N142="Standard",(((($Z$7*Q142)+($AD$7*R142*$T$5))/2)*$O$7*1.15),IF(N142="Severe",(((($AA$7*Q142)+($AE$7*R142*$T$5))/2)*$O$7*1.15),IF(N142="Hostile",(((($AB$7*Q142)+($AF$7*R142*$T$5))/2)*$O$7*1.15))))</f>
        <v>784795.42359260004</v>
      </c>
      <c r="AD142" s="1"/>
      <c r="AE142" s="1"/>
      <c r="AF142" s="1"/>
      <c r="AI142" s="9"/>
      <c r="AJ142" s="1"/>
      <c r="AK142" s="1"/>
      <c r="AL142" s="1"/>
      <c r="AM142" s="1"/>
      <c r="AN142" s="1"/>
      <c r="AO142" s="1"/>
      <c r="AP142" s="9"/>
      <c r="AQ142" s="3"/>
      <c r="AR142" s="4"/>
      <c r="AS142" s="1"/>
      <c r="AT142" s="1"/>
      <c r="AU142" s="1"/>
      <c r="AV142" s="1"/>
      <c r="AW142" s="1"/>
      <c r="AX142" s="3"/>
      <c r="AY142" s="3"/>
      <c r="AZ142" s="5"/>
      <c r="BA142" s="5"/>
      <c r="BB142" s="5"/>
      <c r="BC142" s="5"/>
      <c r="BD142" s="6"/>
      <c r="BE142" s="6"/>
      <c r="BF142" s="12"/>
      <c r="BG142" s="12"/>
      <c r="BH142" s="12"/>
      <c r="BI142" s="12"/>
      <c r="BJ142" s="12"/>
    </row>
    <row r="143" spans="2:62" x14ac:dyDescent="0.25">
      <c r="B143" s="1" t="s">
        <v>1180</v>
      </c>
      <c r="C143" s="1" t="s">
        <v>1601</v>
      </c>
      <c r="D143" s="1" t="s">
        <v>1190</v>
      </c>
      <c r="E143" s="1" t="s">
        <v>1602</v>
      </c>
      <c r="F143" s="1" t="s">
        <v>1603</v>
      </c>
      <c r="G143" s="1" t="s">
        <v>1202</v>
      </c>
      <c r="H143" s="1" t="s">
        <v>1203</v>
      </c>
      <c r="I143" s="7" t="s">
        <v>1187</v>
      </c>
      <c r="J143" s="44">
        <v>1</v>
      </c>
      <c r="K143" s="45">
        <v>1</v>
      </c>
      <c r="L143" s="1">
        <v>997</v>
      </c>
      <c r="M143" s="1" t="s">
        <v>1188</v>
      </c>
      <c r="N143" s="1" t="s">
        <v>1141</v>
      </c>
      <c r="O143" s="1" t="s">
        <v>1189</v>
      </c>
      <c r="P143" s="7" t="s">
        <v>1073</v>
      </c>
      <c r="Q143" s="44">
        <f>IF($L143=996,Multipliers!C$174,IF($L143=997,Multipliers!C$175,IF($L143=998,Multipliers!C$176,"NONE")))</f>
        <v>1.3</v>
      </c>
      <c r="R143" s="44">
        <f>IF($L143=996,Multipliers!C$5,IF($L143=997,Multipliers!C$6,IF($L143=998,Multipliers!C$7,"NONE")))</f>
        <v>1.34</v>
      </c>
      <c r="S143" s="46">
        <f t="shared" si="51"/>
        <v>576770.33050000016</v>
      </c>
      <c r="T143" s="46">
        <f t="shared" si="52"/>
        <v>595942.1664000001</v>
      </c>
      <c r="U143" s="46">
        <f t="shared" si="54"/>
        <v>589982.74473600008</v>
      </c>
      <c r="V143" s="46">
        <f>((S143+U143)/2*1.15)</f>
        <v>670883.01826070005</v>
      </c>
      <c r="W143" s="47">
        <f t="shared" si="53"/>
        <v>670883.01826070005</v>
      </c>
      <c r="X143" s="47"/>
      <c r="Y143" s="48">
        <f>IF(N143="Standard",(((($Z$3*Q143)+($AD$3*R143*$T$5))/2)*$O$7*1.15),IF(N143="Severe",(((($AA$3*Q143)+($AE$3*R143*$T$5))/2)*$O$7*1.15),IF(N143="Hostile",(((($AB$3*Q143)+($AF$3*R143*$T$5))/2)*$O$7*1.15))))</f>
        <v>537627.23286300001</v>
      </c>
      <c r="Z143" s="48">
        <f>IF(N143="Standard",(((($Z$4*Q143)+($AD$4*R143*$T$5))/2)*$O$7*1.15),IF(N143="Severe",(((($AA$4*Q143)+($AE$4*R143*$T$5))/2)*$O$7*1.15),IF(N143="Hostile",(((($AB$4*Q143)+($AF$4*R143*$T$5))/2)*$O$7*1.15))))</f>
        <v>593892.8539060998</v>
      </c>
      <c r="AA143" s="48">
        <f>IF(N143="Standard",(((($Z$5*Q143)+($AD$5*R143*$T$5))/2)*$O$7*1.15),IF(N143="Severe",(((($AA$5*Q143)+($AE$5*R143*$T$5))/2)*$O$7*1.15),IF(N143="Hostile",(((($AB$5*Q143)+($AF$5*R143*$T$5))/2)*$O$7*1.15))))</f>
        <v>670883.01826070005</v>
      </c>
      <c r="AB143" s="48">
        <f>IF(N143="Standard",(((($Z$6*Q143)+($AD$6*R143*$T$5))/2)*$O$7*1.15),IF(N143="Severe",(((($AA$6*Q143)+($AE$6*R143*$T$5))/2)*$O$7*1.15),IF(N143="Hostile",(((($AB$6*Q143)+($AF$6*R143*$T$5))/2)*$O$7*1.15))))</f>
        <v>727154.03193440009</v>
      </c>
      <c r="AC143" s="48">
        <f>IF(N143="Standard",(((($Z$7*Q143)+($AD$7*R143*$T$5))/2)*$O$7*1.15),IF(N143="Severe",(((($AA$7*Q143)+($AE$7*R143*$T$5))/2)*$O$7*1.15),IF(N143="Hostile",(((($AB$7*Q143)+($AF$7*R143*$T$5))/2)*$O$7*1.15))))</f>
        <v>784795.42359260004</v>
      </c>
      <c r="AD143" s="1"/>
      <c r="AE143" s="1"/>
      <c r="AF143" s="1"/>
      <c r="AI143" s="9"/>
      <c r="AJ143" s="1"/>
      <c r="AK143" s="1"/>
      <c r="AL143" s="1"/>
      <c r="AM143" s="1"/>
      <c r="AN143" s="1"/>
      <c r="AO143" s="1"/>
      <c r="AP143" s="9"/>
      <c r="AQ143" s="3"/>
      <c r="AR143" s="4"/>
      <c r="AS143" s="1"/>
      <c r="AT143" s="1"/>
      <c r="AU143" s="1"/>
      <c r="AV143" s="1"/>
      <c r="AW143" s="1"/>
      <c r="AX143" s="3"/>
      <c r="AY143" s="3"/>
      <c r="AZ143" s="5"/>
      <c r="BA143" s="5"/>
      <c r="BB143" s="5"/>
      <c r="BC143" s="5"/>
      <c r="BD143" s="6"/>
      <c r="BE143" s="6"/>
      <c r="BF143" s="12"/>
      <c r="BG143" s="12"/>
      <c r="BH143" s="12"/>
      <c r="BI143" s="12"/>
      <c r="BJ143" s="12"/>
    </row>
    <row r="144" spans="2:62" x14ac:dyDescent="0.25">
      <c r="B144" s="1" t="s">
        <v>1180</v>
      </c>
      <c r="C144" s="1" t="s">
        <v>1604</v>
      </c>
      <c r="D144" s="1" t="s">
        <v>1190</v>
      </c>
      <c r="E144" s="1" t="s">
        <v>1605</v>
      </c>
      <c r="F144" s="1" t="s">
        <v>1606</v>
      </c>
      <c r="G144" s="1" t="s">
        <v>1294</v>
      </c>
      <c r="H144" s="1" t="s">
        <v>1295</v>
      </c>
      <c r="I144" s="7" t="s">
        <v>1187</v>
      </c>
      <c r="J144" s="44">
        <v>1</v>
      </c>
      <c r="K144" s="45">
        <v>1</v>
      </c>
      <c r="L144" s="1">
        <v>997</v>
      </c>
      <c r="M144" s="1" t="s">
        <v>1188</v>
      </c>
      <c r="N144" s="1" t="s">
        <v>1141</v>
      </c>
      <c r="O144" s="1" t="s">
        <v>1189</v>
      </c>
      <c r="P144" s="7" t="s">
        <v>1073</v>
      </c>
      <c r="Q144" s="44">
        <f>IF($L144=996,Multipliers!C$174,IF($L144=997,Multipliers!C$175,IF($L144=998,Multipliers!C$176,"NONE")))</f>
        <v>1.3</v>
      </c>
      <c r="R144" s="44">
        <f>IF($L144=996,Multipliers!C$5,IF($L144=997,Multipliers!C$6,IF($L144=998,Multipliers!C$7,"NONE")))</f>
        <v>1.34</v>
      </c>
      <c r="S144" s="46">
        <f t="shared" si="51"/>
        <v>576770.33050000016</v>
      </c>
      <c r="T144" s="46">
        <f t="shared" si="52"/>
        <v>595942.1664000001</v>
      </c>
      <c r="U144" s="46">
        <f t="shared" si="54"/>
        <v>589982.74473600008</v>
      </c>
      <c r="V144" s="46">
        <f>((S144+U144)/2*1.15)</f>
        <v>670883.01826070005</v>
      </c>
      <c r="W144" s="47">
        <f t="shared" si="53"/>
        <v>670883.01826070005</v>
      </c>
      <c r="X144" s="47"/>
      <c r="Y144" s="48">
        <f>IF(N144="Standard",(((($Z$3*Q144)+($AD$3*R144*$T$5))/2)*$O$7*1.15),IF(N144="Severe",(((($AA$3*Q144)+($AE$3*R144*$T$5))/2)*$O$7*1.15),IF(N144="Hostile",(((($AB$3*Q144)+($AF$3*R144*$T$5))/2)*$O$7*1.15))))</f>
        <v>537627.23286300001</v>
      </c>
      <c r="Z144" s="48">
        <f>IF(N144="Standard",(((($Z$4*Q144)+($AD$4*R144*$T$5))/2)*$O$7*1.15),IF(N144="Severe",(((($AA$4*Q144)+($AE$4*R144*$T$5))/2)*$O$7*1.15),IF(N144="Hostile",(((($AB$4*Q144)+($AF$4*R144*$T$5))/2)*$O$7*1.15))))</f>
        <v>593892.8539060998</v>
      </c>
      <c r="AA144" s="48">
        <f>IF(N144="Standard",(((($Z$5*Q144)+($AD$5*R144*$T$5))/2)*$O$7*1.15),IF(N144="Severe",(((($AA$5*Q144)+($AE$5*R144*$T$5))/2)*$O$7*1.15),IF(N144="Hostile",(((($AB$5*Q144)+($AF$5*R144*$T$5))/2)*$O$7*1.15))))</f>
        <v>670883.01826070005</v>
      </c>
      <c r="AB144" s="48">
        <f>IF(N144="Standard",(((($Z$6*Q144)+($AD$6*R144*$T$5))/2)*$O$7*1.15),IF(N144="Severe",(((($AA$6*Q144)+($AE$6*R144*$T$5))/2)*$O$7*1.15),IF(N144="Hostile",(((($AB$6*Q144)+($AF$6*R144*$T$5))/2)*$O$7*1.15))))</f>
        <v>727154.03193440009</v>
      </c>
      <c r="AC144" s="48">
        <f>IF(N144="Standard",(((($Z$7*Q144)+($AD$7*R144*$T$5))/2)*$O$7*1.15),IF(N144="Severe",(((($AA$7*Q144)+($AE$7*R144*$T$5))/2)*$O$7*1.15),IF(N144="Hostile",(((($AB$7*Q144)+($AF$7*R144*$T$5))/2)*$O$7*1.15))))</f>
        <v>784795.42359260004</v>
      </c>
      <c r="AD144" s="1"/>
      <c r="AE144" s="1"/>
      <c r="AF144" s="1"/>
      <c r="AI144" s="9"/>
      <c r="AJ144" s="1"/>
      <c r="AK144" s="1"/>
      <c r="AL144" s="1"/>
      <c r="AM144" s="1"/>
      <c r="AN144" s="1"/>
      <c r="AO144" s="1"/>
      <c r="AP144" s="9"/>
      <c r="AQ144" s="3"/>
      <c r="AR144" s="4"/>
      <c r="AS144" s="1"/>
      <c r="AT144" s="1"/>
      <c r="AU144" s="1"/>
      <c r="AV144" s="1"/>
      <c r="AW144" s="1"/>
      <c r="AX144" s="3"/>
      <c r="AY144" s="3"/>
      <c r="AZ144" s="5"/>
      <c r="BA144" s="5"/>
      <c r="BB144" s="5"/>
      <c r="BC144" s="5"/>
      <c r="BD144" s="6"/>
      <c r="BE144" s="6"/>
      <c r="BF144" s="12"/>
      <c r="BG144" s="12"/>
      <c r="BH144" s="12"/>
      <c r="BI144" s="12"/>
      <c r="BJ144" s="12"/>
    </row>
    <row r="145" spans="2:62" x14ac:dyDescent="0.25">
      <c r="B145" s="1" t="s">
        <v>1180</v>
      </c>
      <c r="C145" s="1" t="s">
        <v>1607</v>
      </c>
      <c r="D145" s="1" t="s">
        <v>1190</v>
      </c>
      <c r="E145" s="1" t="s">
        <v>1608</v>
      </c>
      <c r="F145" s="1" t="s">
        <v>1609</v>
      </c>
      <c r="G145" s="1" t="s">
        <v>1218</v>
      </c>
      <c r="H145" s="1" t="s">
        <v>1219</v>
      </c>
      <c r="I145" s="7" t="s">
        <v>1187</v>
      </c>
      <c r="J145" s="44">
        <v>1</v>
      </c>
      <c r="K145" s="45">
        <v>1</v>
      </c>
      <c r="L145" s="1">
        <v>998</v>
      </c>
      <c r="M145" s="1" t="s">
        <v>1188</v>
      </c>
      <c r="N145" s="1" t="s">
        <v>1141</v>
      </c>
      <c r="O145" s="1" t="s">
        <v>1189</v>
      </c>
      <c r="P145" s="7" t="s">
        <v>1074</v>
      </c>
      <c r="Q145" s="44">
        <f>IF($L145=996,Multipliers!C$174,IF($L145=997,Multipliers!C$175,IF($L145=998,Multipliers!C$176,"NONE")))</f>
        <v>1.34</v>
      </c>
      <c r="R145" s="44">
        <f>IF($L145=996,Multipliers!C$5,IF($L145=997,Multipliers!C$6,IF($L145=998,Multipliers!C$7,"NONE")))</f>
        <v>1.36</v>
      </c>
      <c r="S145" s="46">
        <f t="shared" si="51"/>
        <v>594517.10990000016</v>
      </c>
      <c r="T145" s="46">
        <f t="shared" si="52"/>
        <v>604836.82559999998</v>
      </c>
      <c r="U145" s="46">
        <f t="shared" si="54"/>
        <v>598788.45734399999</v>
      </c>
      <c r="V145" s="46">
        <f>((S145+U145)/2*1.2)</f>
        <v>715983.34034640016</v>
      </c>
      <c r="W145" s="47">
        <f t="shared" si="53"/>
        <v>715983.34034640016</v>
      </c>
      <c r="X145" s="47"/>
      <c r="Y145" s="48">
        <f>IF(N145="Standard",(((($Z$3*Q145)+($AD$3*R145*$T$5))/2)*$O$7*1.2),IF(N145="Severe",(((($AA$3*Q145)+($AE$3*R145*$T$5))/2)*$O$7*1.2),IF(N145="Hostile",(((($AB$3*Q145)+($AF$3*R145*$T$5))/2)*$O$7*1.2))))</f>
        <v>573912.50187599997</v>
      </c>
      <c r="Z145" s="48">
        <f>IF(N145="Standard",(((($Z$4*Q145)+($AD$4*R145*$T$5))/2)*$O$7*1.2),IF(N145="Severe",(((($AA$4*Q145)+($AE$4*R145*$T$5))/2)*$O$7*1.2),IF(N145="Hostile",(((($AB$4*Q145)+($AF$4*R145*$T$5))/2)*$O$7*1.2))))</f>
        <v>633906.89508719998</v>
      </c>
      <c r="AA145" s="48">
        <f>IF(N145="Standard",(((($Z$5*Q145)+($AD$5*R145*$T$5))/2)*$O$7*1.2),IF(N145="Severe",(((($AA$5*Q145)+($AE$5*R145*$T$5))/2)*$O$7*1.2),IF(N145="Hostile",((($AB$5*Q145)+($AF$5*R145*$T$5))/2)*$O$7*1.2)))</f>
        <v>715983.34034640016</v>
      </c>
      <c r="AB145" s="48">
        <f>IF(N145="Standard",(((($Z$6*Q145)+($AD$6*R145*$T$5))/2)*$O$7*1.2),IF(N145="Severe",(((($AA$6*Q145)+($AE$6*R145*$T$5))/2)*$O$7*1.2),IF(N145="Hostile",((($AB$6*Q145)+($AF$6*R145*$T$5))/2)*$O$7*1.2)))</f>
        <v>775980.51116880018</v>
      </c>
      <c r="AC145" s="48">
        <f>IF(N145="Standard",((($Z$7*Q145)+($AD$7*R145*$T$5))/2)*$O$7*1.2,IF(N145="Severe",((($AA$7*Q145)+($AE$7*R145*$T$5))/2)*$O$7*1.2,IF(N145="Hostile",((($AB$7*Q145)+($AF$7*R145*$T$5))/2)*$O$7*1.2)))</f>
        <v>837476.24333520012</v>
      </c>
      <c r="AD145" s="1"/>
      <c r="AE145" s="1"/>
      <c r="AF145" s="1"/>
      <c r="AI145" s="9"/>
      <c r="AJ145" s="1"/>
      <c r="AK145" s="1"/>
      <c r="AL145" s="1"/>
      <c r="AM145" s="1"/>
      <c r="AN145" s="1"/>
      <c r="AO145" s="1"/>
      <c r="AP145" s="9"/>
      <c r="AQ145" s="3"/>
      <c r="AR145" s="4"/>
      <c r="AS145" s="1"/>
      <c r="AT145" s="1"/>
      <c r="AU145" s="1"/>
      <c r="AV145" s="1"/>
      <c r="AW145" s="1"/>
      <c r="AX145" s="3"/>
      <c r="AY145" s="3"/>
      <c r="AZ145" s="5"/>
      <c r="BA145" s="5"/>
      <c r="BB145" s="5"/>
      <c r="BC145" s="5"/>
      <c r="BD145" s="6"/>
      <c r="BE145" s="6"/>
      <c r="BF145" s="12"/>
      <c r="BG145" s="12"/>
      <c r="BH145" s="12"/>
      <c r="BI145" s="12"/>
      <c r="BJ145" s="12"/>
    </row>
    <row r="146" spans="2:62" x14ac:dyDescent="0.25">
      <c r="B146" s="1" t="s">
        <v>1180</v>
      </c>
      <c r="C146" s="1" t="s">
        <v>1610</v>
      </c>
      <c r="D146" s="1" t="s">
        <v>1190</v>
      </c>
      <c r="E146" s="1" t="s">
        <v>1611</v>
      </c>
      <c r="F146" s="1" t="s">
        <v>1612</v>
      </c>
      <c r="G146" s="1" t="s">
        <v>1202</v>
      </c>
      <c r="H146" s="1" t="s">
        <v>1203</v>
      </c>
      <c r="I146" s="7" t="s">
        <v>1187</v>
      </c>
      <c r="J146" s="44">
        <v>1</v>
      </c>
      <c r="K146" s="45">
        <v>1</v>
      </c>
      <c r="L146" s="1">
        <v>997</v>
      </c>
      <c r="M146" s="1" t="s">
        <v>1188</v>
      </c>
      <c r="N146" s="1" t="s">
        <v>1141</v>
      </c>
      <c r="O146" s="1" t="s">
        <v>1189</v>
      </c>
      <c r="P146" s="7" t="s">
        <v>1073</v>
      </c>
      <c r="Q146" s="44">
        <f>IF($L146=996,Multipliers!C$174,IF($L146=997,Multipliers!C$175,IF($L146=998,Multipliers!C$176,"NONE")))</f>
        <v>1.3</v>
      </c>
      <c r="R146" s="44">
        <f>IF($L146=996,Multipliers!C$5,IF($L146=997,Multipliers!C$6,IF($L146=998,Multipliers!C$7,"NONE")))</f>
        <v>1.34</v>
      </c>
      <c r="S146" s="46">
        <f t="shared" si="51"/>
        <v>576770.33050000016</v>
      </c>
      <c r="T146" s="46">
        <f t="shared" si="52"/>
        <v>595942.1664000001</v>
      </c>
      <c r="U146" s="46">
        <f t="shared" si="54"/>
        <v>589982.74473600008</v>
      </c>
      <c r="V146" s="46">
        <f>((S146+U146)/2*1.15)</f>
        <v>670883.01826070005</v>
      </c>
      <c r="W146" s="47">
        <f t="shared" si="53"/>
        <v>670883.01826070005</v>
      </c>
      <c r="X146" s="47"/>
      <c r="Y146" s="48">
        <f>IF(N146="Standard",(((($Z$3*Q146)+($AD$3*R146*$T$5))/2)*$O$7*1.15),IF(N146="Severe",(((($AA$3*Q146)+($AE$3*R146*$T$5))/2)*$O$7*1.15),IF(N146="Hostile",(((($AB$3*Q146)+($AF$3*R146*$T$5))/2)*$O$7*1.15))))</f>
        <v>537627.23286300001</v>
      </c>
      <c r="Z146" s="48">
        <f>IF(N146="Standard",(((($Z$4*Q146)+($AD$4*R146*$T$5))/2)*$O$7*1.15),IF(N146="Severe",(((($AA$4*Q146)+($AE$4*R146*$T$5))/2)*$O$7*1.15),IF(N146="Hostile",(((($AB$4*Q146)+($AF$4*R146*$T$5))/2)*$O$7*1.15))))</f>
        <v>593892.8539060998</v>
      </c>
      <c r="AA146" s="48">
        <f>IF(N146="Standard",(((($Z$5*Q146)+($AD$5*R146*$T$5))/2)*$O$7*1.15),IF(N146="Severe",(((($AA$5*Q146)+($AE$5*R146*$T$5))/2)*$O$7*1.15),IF(N146="Hostile",(((($AB$5*Q146)+($AF$5*R146*$T$5))/2)*$O$7*1.15))))</f>
        <v>670883.01826070005</v>
      </c>
      <c r="AB146" s="48">
        <f>IF(N146="Standard",(((($Z$6*Q146)+($AD$6*R146*$T$5))/2)*$O$7*1.15),IF(N146="Severe",(((($AA$6*Q146)+($AE$6*R146*$T$5))/2)*$O$7*1.15),IF(N146="Hostile",(((($AB$6*Q146)+($AF$6*R146*$T$5))/2)*$O$7*1.15))))</f>
        <v>727154.03193440009</v>
      </c>
      <c r="AC146" s="48">
        <f>IF(N146="Standard",(((($Z$7*Q146)+($AD$7*R146*$T$5))/2)*$O$7*1.15),IF(N146="Severe",(((($AA$7*Q146)+($AE$7*R146*$T$5))/2)*$O$7*1.15),IF(N146="Hostile",(((($AB$7*Q146)+($AF$7*R146*$T$5))/2)*$O$7*1.15))))</f>
        <v>784795.42359260004</v>
      </c>
      <c r="AD146" s="1"/>
      <c r="AE146" s="1"/>
      <c r="AF146" s="1"/>
      <c r="AI146" s="9"/>
      <c r="AJ146" s="1"/>
      <c r="AK146" s="1"/>
      <c r="AL146" s="1"/>
      <c r="AM146" s="1"/>
      <c r="AN146" s="1"/>
      <c r="AO146" s="1"/>
      <c r="AP146" s="9"/>
      <c r="AQ146" s="3"/>
      <c r="AR146" s="4"/>
      <c r="AS146" s="1"/>
      <c r="AT146" s="1"/>
      <c r="AU146" s="1"/>
      <c r="AV146" s="1"/>
      <c r="AW146" s="1"/>
      <c r="AX146" s="3"/>
      <c r="AY146" s="3"/>
      <c r="AZ146" s="5"/>
      <c r="BA146" s="5"/>
      <c r="BB146" s="5"/>
      <c r="BC146" s="5"/>
      <c r="BD146" s="6"/>
      <c r="BE146" s="6"/>
      <c r="BF146" s="12"/>
      <c r="BG146" s="12"/>
      <c r="BH146" s="12"/>
      <c r="BI146" s="12"/>
      <c r="BJ146" s="12"/>
    </row>
    <row r="147" spans="2:62" x14ac:dyDescent="0.25">
      <c r="B147" s="1" t="s">
        <v>1180</v>
      </c>
      <c r="C147" s="1" t="s">
        <v>1613</v>
      </c>
      <c r="D147" s="1" t="s">
        <v>1190</v>
      </c>
      <c r="E147" s="1" t="s">
        <v>1614</v>
      </c>
      <c r="F147" s="1" t="s">
        <v>1615</v>
      </c>
      <c r="G147" s="1" t="s">
        <v>1194</v>
      </c>
      <c r="H147" s="1" t="s">
        <v>1195</v>
      </c>
      <c r="I147" s="7" t="s">
        <v>1187</v>
      </c>
      <c r="J147" s="44">
        <v>1</v>
      </c>
      <c r="K147" s="45">
        <v>1</v>
      </c>
      <c r="L147" s="1">
        <v>997</v>
      </c>
      <c r="M147" s="1" t="s">
        <v>1188</v>
      </c>
      <c r="N147" s="1" t="s">
        <v>1141</v>
      </c>
      <c r="O147" s="1" t="s">
        <v>1189</v>
      </c>
      <c r="P147" s="7" t="s">
        <v>1073</v>
      </c>
      <c r="Q147" s="44">
        <f>IF($L147=996,Multipliers!C$174,IF($L147=997,Multipliers!C$175,IF($L147=998,Multipliers!C$176,"NONE")))</f>
        <v>1.3</v>
      </c>
      <c r="R147" s="44">
        <f>IF($L147=996,Multipliers!C$5,IF($L147=997,Multipliers!C$6,IF($L147=998,Multipliers!C$7,"NONE")))</f>
        <v>1.34</v>
      </c>
      <c r="S147" s="46">
        <f t="shared" ref="S147:S164" si="55">IF(N147="Standard",$O$5*Q147*$O$7,IF(N147="Severe",$O$4*Q147*$O$7,IF(N147="Hostile",$O$3*Q147*$O$7)))</f>
        <v>576770.33050000016</v>
      </c>
      <c r="T147" s="46">
        <f t="shared" ref="T147:T164" si="56">IF(N147="Standard",$P$5*R147*$O$7,IF(N147="Severe",$P$4*R147*$O$7,IF(N147="Hostile",$P$3*R147*$O$7)))</f>
        <v>595942.1664000001</v>
      </c>
      <c r="U147" s="46">
        <f t="shared" si="54"/>
        <v>589982.74473600008</v>
      </c>
      <c r="V147" s="46">
        <f>((S147+U147)/2*1.15)</f>
        <v>670883.01826070005</v>
      </c>
      <c r="W147" s="47">
        <f t="shared" si="53"/>
        <v>670883.01826070005</v>
      </c>
      <c r="X147" s="47"/>
      <c r="Y147" s="48">
        <f>IF(N147="Standard",(((($Z$3*Q147)+($AD$3*R147*$T$5))/2)*$O$7*1.15),IF(N147="Severe",(((($AA$3*Q147)+($AE$3*R147*$T$5))/2)*$O$7*1.15),IF(N147="Hostile",(((($AB$3*Q147)+($AF$3*R147*$T$5))/2)*$O$7*1.15))))</f>
        <v>537627.23286300001</v>
      </c>
      <c r="Z147" s="48">
        <f>IF(N147="Standard",(((($Z$4*Q147)+($AD$4*R147*$T$5))/2)*$O$7*1.15),IF(N147="Severe",(((($AA$4*Q147)+($AE$4*R147*$T$5))/2)*$O$7*1.15),IF(N147="Hostile",(((($AB$4*Q147)+($AF$4*R147*$T$5))/2)*$O$7*1.15))))</f>
        <v>593892.8539060998</v>
      </c>
      <c r="AA147" s="48">
        <f>IF(N147="Standard",(((($Z$5*Q147)+($AD$5*R147*$T$5))/2)*$O$7*1.15),IF(N147="Severe",(((($AA$5*Q147)+($AE$5*R147*$T$5))/2)*$O$7*1.15),IF(N147="Hostile",(((($AB$5*Q147)+($AF$5*R147*$T$5))/2)*$O$7*1.15))))</f>
        <v>670883.01826070005</v>
      </c>
      <c r="AB147" s="48">
        <f>IF(N147="Standard",(((($Z$6*Q147)+($AD$6*R147*$T$5))/2)*$O$7*1.15),IF(N147="Severe",(((($AA$6*Q147)+($AE$6*R147*$T$5))/2)*$O$7*1.15),IF(N147="Hostile",(((($AB$6*Q147)+($AF$6*R147*$T$5))/2)*$O$7*1.15))))</f>
        <v>727154.03193440009</v>
      </c>
      <c r="AC147" s="48">
        <f>IF(N147="Standard",(((($Z$7*Q147)+($AD$7*R147*$T$5))/2)*$O$7*1.15),IF(N147="Severe",(((($AA$7*Q147)+($AE$7*R147*$T$5))/2)*$O$7*1.15),IF(N147="Hostile",(((($AB$7*Q147)+($AF$7*R147*$T$5))/2)*$O$7*1.15))))</f>
        <v>784795.42359260004</v>
      </c>
      <c r="AD147" s="1"/>
      <c r="AE147" s="1"/>
      <c r="AF147" s="1"/>
      <c r="AI147" s="9"/>
      <c r="AJ147" s="1"/>
      <c r="AK147" s="1"/>
      <c r="AL147" s="1"/>
      <c r="AM147" s="1"/>
      <c r="AN147" s="1"/>
      <c r="AO147" s="1"/>
      <c r="AP147" s="9"/>
      <c r="AQ147" s="3"/>
      <c r="AR147" s="4"/>
      <c r="AS147" s="1"/>
      <c r="AT147" s="1"/>
      <c r="AU147" s="1"/>
      <c r="AV147" s="1"/>
      <c r="AW147" s="1"/>
      <c r="AX147" s="3"/>
      <c r="AY147" s="3"/>
      <c r="AZ147" s="5"/>
      <c r="BA147" s="5"/>
      <c r="BB147" s="5"/>
      <c r="BC147" s="5"/>
      <c r="BD147" s="6"/>
      <c r="BE147" s="6"/>
      <c r="BF147" s="12"/>
      <c r="BG147" s="12"/>
      <c r="BH147" s="12"/>
      <c r="BI147" s="12"/>
      <c r="BJ147" s="12"/>
    </row>
    <row r="148" spans="2:62" x14ac:dyDescent="0.25">
      <c r="B148" s="1" t="s">
        <v>1180</v>
      </c>
      <c r="C148" s="1" t="s">
        <v>1616</v>
      </c>
      <c r="D148" s="1" t="s">
        <v>1190</v>
      </c>
      <c r="E148" s="1" t="s">
        <v>1617</v>
      </c>
      <c r="F148" s="1" t="s">
        <v>1618</v>
      </c>
      <c r="G148" s="1" t="s">
        <v>1218</v>
      </c>
      <c r="H148" s="1" t="s">
        <v>1219</v>
      </c>
      <c r="I148" s="7" t="s">
        <v>1187</v>
      </c>
      <c r="J148" s="44">
        <v>1</v>
      </c>
      <c r="K148" s="45">
        <v>1</v>
      </c>
      <c r="L148" s="1">
        <v>997</v>
      </c>
      <c r="M148" s="1" t="s">
        <v>1188</v>
      </c>
      <c r="N148" s="1" t="s">
        <v>1141</v>
      </c>
      <c r="O148" s="1" t="s">
        <v>1189</v>
      </c>
      <c r="P148" s="7" t="s">
        <v>1073</v>
      </c>
      <c r="Q148" s="44">
        <f>IF($L148=996,Multipliers!C$174,IF($L148=997,Multipliers!C$175,IF($L148=998,Multipliers!C$176,"NONE")))</f>
        <v>1.3</v>
      </c>
      <c r="R148" s="44">
        <f>IF($L148=996,Multipliers!C$5,IF($L148=997,Multipliers!C$6,IF($L148=998,Multipliers!C$7,"NONE")))</f>
        <v>1.34</v>
      </c>
      <c r="S148" s="46">
        <f t="shared" si="55"/>
        <v>576770.33050000016</v>
      </c>
      <c r="T148" s="46">
        <f t="shared" si="56"/>
        <v>595942.1664000001</v>
      </c>
      <c r="U148" s="46">
        <f t="shared" si="54"/>
        <v>589982.74473600008</v>
      </c>
      <c r="V148" s="46">
        <f>((S148+U148)/2*1.15)</f>
        <v>670883.01826070005</v>
      </c>
      <c r="W148" s="47">
        <f t="shared" si="53"/>
        <v>670883.01826070005</v>
      </c>
      <c r="X148" s="47"/>
      <c r="Y148" s="48">
        <f>IF(N148="Standard",(((($Z$3*Q148)+($AD$3*R148*$T$5))/2)*$O$7*1.15),IF(N148="Severe",(((($AA$3*Q148)+($AE$3*R148*$T$5))/2)*$O$7*1.15),IF(N148="Hostile",(((($AB$3*Q148)+($AF$3*R148*$T$5))/2)*$O$7*1.15))))</f>
        <v>537627.23286300001</v>
      </c>
      <c r="Z148" s="48">
        <f>IF(N148="Standard",(((($Z$4*Q148)+($AD$4*R148*$T$5))/2)*$O$7*1.15),IF(N148="Severe",(((($AA$4*Q148)+($AE$4*R148*$T$5))/2)*$O$7*1.15),IF(N148="Hostile",(((($AB$4*Q148)+($AF$4*R148*$T$5))/2)*$O$7*1.15))))</f>
        <v>593892.8539060998</v>
      </c>
      <c r="AA148" s="48">
        <f>IF(N148="Standard",(((($Z$5*Q148)+($AD$5*R148*$T$5))/2)*$O$7*1.15),IF(N148="Severe",(((($AA$5*Q148)+($AE$5*R148*$T$5))/2)*$O$7*1.15),IF(N148="Hostile",(((($AB$5*Q148)+($AF$5*R148*$T$5))/2)*$O$7*1.15))))</f>
        <v>670883.01826070005</v>
      </c>
      <c r="AB148" s="48">
        <f>IF(N148="Standard",(((($Z$6*Q148)+($AD$6*R148*$T$5))/2)*$O$7*1.15),IF(N148="Severe",(((($AA$6*Q148)+($AE$6*R148*$T$5))/2)*$O$7*1.15),IF(N148="Hostile",(((($AB$6*Q148)+($AF$6*R148*$T$5))/2)*$O$7*1.15))))</f>
        <v>727154.03193440009</v>
      </c>
      <c r="AC148" s="48">
        <f>IF(N148="Standard",(((($Z$7*Q148)+($AD$7*R148*$T$5))/2)*$O$7*1.15),IF(N148="Severe",(((($AA$7*Q148)+($AE$7*R148*$T$5))/2)*$O$7*1.15),IF(N148="Hostile",(((($AB$7*Q148)+($AF$7*R148*$T$5))/2)*$O$7*1.15))))</f>
        <v>784795.42359260004</v>
      </c>
      <c r="AD148" s="1"/>
      <c r="AE148" s="1"/>
      <c r="AF148" s="1"/>
      <c r="AI148" s="9"/>
      <c r="AJ148" s="1"/>
      <c r="AK148" s="1"/>
      <c r="AL148" s="1"/>
      <c r="AM148" s="1"/>
      <c r="AN148" s="1"/>
      <c r="AO148" s="1"/>
      <c r="AP148" s="9"/>
      <c r="AQ148" s="3"/>
      <c r="AR148" s="4"/>
      <c r="AS148" s="1"/>
      <c r="AT148" s="1"/>
      <c r="AU148" s="1"/>
      <c r="AV148" s="1"/>
      <c r="AW148" s="1"/>
      <c r="AX148" s="3"/>
      <c r="AY148" s="3"/>
      <c r="AZ148" s="5"/>
      <c r="BA148" s="5"/>
      <c r="BB148" s="5"/>
      <c r="BC148" s="5"/>
      <c r="BD148" s="6"/>
      <c r="BE148" s="6"/>
      <c r="BF148" s="12"/>
      <c r="BG148" s="12"/>
      <c r="BH148" s="12"/>
      <c r="BI148" s="12"/>
      <c r="BJ148" s="12"/>
    </row>
    <row r="149" spans="2:62" x14ac:dyDescent="0.25">
      <c r="B149" s="1" t="s">
        <v>1180</v>
      </c>
      <c r="C149" s="1" t="s">
        <v>1619</v>
      </c>
      <c r="D149" s="1" t="s">
        <v>1190</v>
      </c>
      <c r="E149" s="1" t="s">
        <v>1620</v>
      </c>
      <c r="F149" s="1" t="s">
        <v>1621</v>
      </c>
      <c r="G149" s="1" t="s">
        <v>1202</v>
      </c>
      <c r="H149" s="1" t="s">
        <v>1203</v>
      </c>
      <c r="I149" s="7" t="s">
        <v>1187</v>
      </c>
      <c r="J149" s="44">
        <v>1</v>
      </c>
      <c r="K149" s="45">
        <v>1</v>
      </c>
      <c r="L149" s="1">
        <v>997</v>
      </c>
      <c r="M149" s="1" t="s">
        <v>1188</v>
      </c>
      <c r="N149" s="1" t="s">
        <v>1141</v>
      </c>
      <c r="O149" s="1" t="s">
        <v>1189</v>
      </c>
      <c r="P149" s="7" t="s">
        <v>1073</v>
      </c>
      <c r="Q149" s="44">
        <f>IF($L149=996,Multipliers!C$174,IF($L149=997,Multipliers!C$175,IF($L149=998,Multipliers!C$176,"NONE")))</f>
        <v>1.3</v>
      </c>
      <c r="R149" s="44">
        <f>IF($L149=996,Multipliers!C$5,IF($L149=997,Multipliers!C$6,IF($L149=998,Multipliers!C$7,"NONE")))</f>
        <v>1.34</v>
      </c>
      <c r="S149" s="46">
        <f t="shared" si="55"/>
        <v>576770.33050000016</v>
      </c>
      <c r="T149" s="46">
        <f t="shared" si="56"/>
        <v>595942.1664000001</v>
      </c>
      <c r="U149" s="46">
        <f t="shared" si="54"/>
        <v>589982.74473600008</v>
      </c>
      <c r="V149" s="46">
        <f>((S149+U149)/2*1.15)</f>
        <v>670883.01826070005</v>
      </c>
      <c r="W149" s="47">
        <f t="shared" si="53"/>
        <v>670883.01826070005</v>
      </c>
      <c r="X149" s="47"/>
      <c r="Y149" s="48">
        <f>IF(N149="Standard",(((($Z$3*Q149)+($AD$3*R149*$T$5))/2)*$O$7*1.15),IF(N149="Severe",(((($AA$3*Q149)+($AE$3*R149*$T$5))/2)*$O$7*1.15),IF(N149="Hostile",(((($AB$3*Q149)+($AF$3*R149*$T$5))/2)*$O$7*1.15))))</f>
        <v>537627.23286300001</v>
      </c>
      <c r="Z149" s="48">
        <f>IF(N149="Standard",(((($Z$4*Q149)+($AD$4*R149*$T$5))/2)*$O$7*1.15),IF(N149="Severe",(((($AA$4*Q149)+($AE$4*R149*$T$5))/2)*$O$7*1.15),IF(N149="Hostile",(((($AB$4*Q149)+($AF$4*R149*$T$5))/2)*$O$7*1.15))))</f>
        <v>593892.8539060998</v>
      </c>
      <c r="AA149" s="48">
        <f>IF(N149="Standard",(((($Z$5*Q149)+($AD$5*R149*$T$5))/2)*$O$7*1.15),IF(N149="Severe",(((($AA$5*Q149)+($AE$5*R149*$T$5))/2)*$O$7*1.15),IF(N149="Hostile",(((($AB$5*Q149)+($AF$5*R149*$T$5))/2)*$O$7*1.15))))</f>
        <v>670883.01826070005</v>
      </c>
      <c r="AB149" s="48">
        <f>IF(N149="Standard",(((($Z$6*Q149)+($AD$6*R149*$T$5))/2)*$O$7*1.15),IF(N149="Severe",(((($AA$6*Q149)+($AE$6*R149*$T$5))/2)*$O$7*1.15),IF(N149="Hostile",(((($AB$6*Q149)+($AF$6*R149*$T$5))/2)*$O$7*1.15))))</f>
        <v>727154.03193440009</v>
      </c>
      <c r="AC149" s="48">
        <f>IF(N149="Standard",(((($Z$7*Q149)+($AD$7*R149*$T$5))/2)*$O$7*1.15),IF(N149="Severe",(((($AA$7*Q149)+($AE$7*R149*$T$5))/2)*$O$7*1.15),IF(N149="Hostile",(((($AB$7*Q149)+($AF$7*R149*$T$5))/2)*$O$7*1.15))))</f>
        <v>784795.42359260004</v>
      </c>
      <c r="AD149" s="1"/>
      <c r="AE149" s="1"/>
      <c r="AF149" s="1"/>
      <c r="AI149" s="9"/>
      <c r="AJ149" s="1"/>
      <c r="AK149" s="1"/>
      <c r="AL149" s="1"/>
      <c r="AM149" s="1"/>
      <c r="AN149" s="1"/>
      <c r="AO149" s="1"/>
      <c r="AP149" s="9"/>
      <c r="AQ149" s="3"/>
      <c r="AR149" s="4"/>
      <c r="AS149" s="1"/>
      <c r="AT149" s="1"/>
      <c r="AU149" s="1"/>
      <c r="AV149" s="1"/>
      <c r="AW149" s="1"/>
      <c r="AX149" s="3"/>
      <c r="AY149" s="3"/>
      <c r="AZ149" s="5"/>
      <c r="BA149" s="5"/>
      <c r="BB149" s="5"/>
      <c r="BC149" s="5"/>
      <c r="BD149" s="6"/>
      <c r="BE149" s="6"/>
      <c r="BF149" s="12"/>
      <c r="BG149" s="12"/>
      <c r="BH149" s="12"/>
      <c r="BI149" s="12"/>
      <c r="BJ149" s="12"/>
    </row>
    <row r="150" spans="2:62" x14ac:dyDescent="0.25">
      <c r="B150" s="1" t="s">
        <v>1180</v>
      </c>
      <c r="C150" s="1" t="s">
        <v>1622</v>
      </c>
      <c r="D150" s="1" t="s">
        <v>1190</v>
      </c>
      <c r="E150" s="1" t="s">
        <v>1623</v>
      </c>
      <c r="F150" s="1" t="s">
        <v>1624</v>
      </c>
      <c r="G150" s="1" t="s">
        <v>1223</v>
      </c>
      <c r="H150" s="1" t="s">
        <v>1224</v>
      </c>
      <c r="I150" s="7" t="s">
        <v>1187</v>
      </c>
      <c r="J150" s="44">
        <v>1</v>
      </c>
      <c r="K150" s="45">
        <v>1</v>
      </c>
      <c r="L150" s="1">
        <v>997</v>
      </c>
      <c r="M150" s="1" t="s">
        <v>1188</v>
      </c>
      <c r="N150" s="1" t="s">
        <v>1141</v>
      </c>
      <c r="O150" s="1" t="s">
        <v>1189</v>
      </c>
      <c r="P150" s="7" t="s">
        <v>1073</v>
      </c>
      <c r="Q150" s="44">
        <f>IF($L150=996,Multipliers!C$174,IF($L150=997,Multipliers!C$175,IF($L150=998,Multipliers!C$176,"NONE")))</f>
        <v>1.3</v>
      </c>
      <c r="R150" s="44">
        <f>IF($L150=996,Multipliers!C$5,IF($L150=997,Multipliers!C$6,IF($L150=998,Multipliers!C$7,"NONE")))</f>
        <v>1.34</v>
      </c>
      <c r="S150" s="46">
        <f t="shared" si="55"/>
        <v>576770.33050000016</v>
      </c>
      <c r="T150" s="46">
        <f t="shared" si="56"/>
        <v>595942.1664000001</v>
      </c>
      <c r="U150" s="46">
        <f t="shared" si="54"/>
        <v>589982.74473600008</v>
      </c>
      <c r="V150" s="46">
        <f>((S150+U150)/2*1.15)</f>
        <v>670883.01826070005</v>
      </c>
      <c r="W150" s="47">
        <f t="shared" si="53"/>
        <v>670883.01826070005</v>
      </c>
      <c r="X150" s="47"/>
      <c r="Y150" s="48">
        <f>IF(N150="Standard",(((($Z$3*Q150)+($AD$3*R150*$T$5))/2)*$O$7*1.15),IF(N150="Severe",(((($AA$3*Q150)+($AE$3*R150*$T$5))/2)*$O$7*1.15),IF(N150="Hostile",(((($AB$3*Q150)+($AF$3*R150*$T$5))/2)*$O$7*1.15))))</f>
        <v>537627.23286300001</v>
      </c>
      <c r="Z150" s="48">
        <f>IF(N150="Standard",(((($Z$4*Q150)+($AD$4*R150*$T$5))/2)*$O$7*1.15),IF(N150="Severe",(((($AA$4*Q150)+($AE$4*R150*$T$5))/2)*$O$7*1.15),IF(N150="Hostile",(((($AB$4*Q150)+($AF$4*R150*$T$5))/2)*$O$7*1.15))))</f>
        <v>593892.8539060998</v>
      </c>
      <c r="AA150" s="48">
        <f>IF(N150="Standard",(((($Z$5*Q150)+($AD$5*R150*$T$5))/2)*$O$7*1.15),IF(N150="Severe",(((($AA$5*Q150)+($AE$5*R150*$T$5))/2)*$O$7*1.15),IF(N150="Hostile",(((($AB$5*Q150)+($AF$5*R150*$T$5))/2)*$O$7*1.15))))</f>
        <v>670883.01826070005</v>
      </c>
      <c r="AB150" s="48">
        <f>IF(N150="Standard",(((($Z$6*Q150)+($AD$6*R150*$T$5))/2)*$O$7*1.15),IF(N150="Severe",(((($AA$6*Q150)+($AE$6*R150*$T$5))/2)*$O$7*1.15),IF(N150="Hostile",(((($AB$6*Q150)+($AF$6*R150*$T$5))/2)*$O$7*1.15))))</f>
        <v>727154.03193440009</v>
      </c>
      <c r="AC150" s="48">
        <f>IF(N150="Standard",(((($Z$7*Q150)+($AD$7*R150*$T$5))/2)*$O$7*1.15),IF(N150="Severe",(((($AA$7*Q150)+($AE$7*R150*$T$5))/2)*$O$7*1.15),IF(N150="Hostile",(((($AB$7*Q150)+($AF$7*R150*$T$5))/2)*$O$7*1.15))))</f>
        <v>784795.42359260004</v>
      </c>
      <c r="AD150" s="1"/>
      <c r="AE150" s="1"/>
      <c r="AF150" s="1"/>
      <c r="AI150" s="9"/>
      <c r="AJ150" s="1"/>
      <c r="AK150" s="1"/>
      <c r="AL150" s="1"/>
      <c r="AM150" s="1"/>
      <c r="AN150" s="1"/>
      <c r="AO150" s="1"/>
      <c r="AP150" s="9"/>
      <c r="AQ150" s="3"/>
      <c r="AR150" s="4"/>
      <c r="AS150" s="1"/>
      <c r="AT150" s="1"/>
      <c r="AU150" s="1"/>
      <c r="AV150" s="1"/>
      <c r="AW150" s="1"/>
      <c r="AX150" s="3"/>
      <c r="AY150" s="3"/>
      <c r="AZ150" s="5"/>
      <c r="BA150" s="5"/>
      <c r="BB150" s="5"/>
      <c r="BC150" s="5"/>
      <c r="BD150" s="6"/>
      <c r="BE150" s="6"/>
      <c r="BF150" s="12"/>
      <c r="BG150" s="12"/>
      <c r="BH150" s="12"/>
      <c r="BI150" s="12"/>
      <c r="BJ150" s="12"/>
    </row>
    <row r="151" spans="2:62" x14ac:dyDescent="0.25">
      <c r="B151" s="1" t="s">
        <v>1180</v>
      </c>
      <c r="C151" s="1" t="s">
        <v>1181</v>
      </c>
      <c r="D151" s="1" t="s">
        <v>1625</v>
      </c>
      <c r="E151" s="1" t="s">
        <v>1192</v>
      </c>
      <c r="F151" s="1" t="s">
        <v>1626</v>
      </c>
      <c r="G151" s="1" t="s">
        <v>1236</v>
      </c>
      <c r="H151" s="1" t="s">
        <v>1237</v>
      </c>
      <c r="I151" s="7" t="s">
        <v>1187</v>
      </c>
      <c r="J151" s="44">
        <v>1</v>
      </c>
      <c r="K151" s="45">
        <v>4</v>
      </c>
      <c r="L151" s="1">
        <v>998</v>
      </c>
      <c r="M151" s="1" t="s">
        <v>1188</v>
      </c>
      <c r="N151" s="1" t="s">
        <v>1141</v>
      </c>
      <c r="O151" s="1" t="s">
        <v>1189</v>
      </c>
      <c r="P151" s="7" t="s">
        <v>1074</v>
      </c>
      <c r="Q151" s="44">
        <f>IF($L151=996,Multipliers!C$174,IF($L151=997,Multipliers!C$175,IF($L151=998,Multipliers!C$176,"NONE")))</f>
        <v>1.34</v>
      </c>
      <c r="R151" s="44">
        <f>IF($L151=996,Multipliers!C$5,IF($L151=997,Multipliers!C$6,IF($L151=998,Multipliers!C$7,"NONE")))</f>
        <v>1.36</v>
      </c>
      <c r="S151" s="46">
        <f>IF(N151="Standard",$O$5*Q151*$O$7,IF(N151="Severe",$O$4*Q151*$O$7,IF(N151="Hostile",$O$3*Q151*$O$7)))</f>
        <v>594517.10990000016</v>
      </c>
      <c r="T151" s="46">
        <f>IF(N151="Standard",$P$5*R151*$O$7,IF(N151="Severe",$P$4*R151*$O$7,IF(N151="Hostile",$P$3*R151*$O$7)))</f>
        <v>604836.82559999998</v>
      </c>
      <c r="U151" s="46">
        <f t="shared" si="54"/>
        <v>598788.45734399999</v>
      </c>
      <c r="V151" s="46">
        <f>((S151+U151)/2*1.2)</f>
        <v>715983.34034640016</v>
      </c>
      <c r="W151" s="47">
        <f t="shared" si="53"/>
        <v>715983.34034640016</v>
      </c>
      <c r="X151" s="47"/>
      <c r="Y151" s="48">
        <f>IF(N151="Standard",(((($Z$3*Q151)+($AD$3*R151*$T$5))/2)*$O$7*1.2),IF(N151="Severe",(((($AA$3*Q151)+($AE$3*R151*$T$5))/2)*$O$7*1.2),IF(N151="Hostile",(((($AB$3*Q151)+($AF$3*R151*$T$5))/2)*$O$7*1.2))))</f>
        <v>573912.50187599997</v>
      </c>
      <c r="Z151" s="48">
        <f>IF(N151="Standard",(((($Z$4*Q151)+($AD$4*R151*$T$5))/2)*$O$7*1.2),IF(N151="Severe",(((($AA$4*Q151)+($AE$4*R151*$T$5))/2)*$O$7*1.2),IF(N151="Hostile",(((($AB$4*Q151)+($AF$4*R151*$T$5))/2)*$O$7*1.2))))</f>
        <v>633906.89508719998</v>
      </c>
      <c r="AA151" s="48">
        <f>IF(N151="Standard",(((($Z$5*Q151)+($AD$5*R151*$T$5))/2)*$O$7*1.2),IF(N151="Severe",(((($AA$5*Q151)+($AE$5*R151*$T$5))/2)*$O$7*1.2),IF(N151="Hostile",((($AB$5*Q151)+($AF$5*R151*$T$5))/2)*$O$7*1.2)))</f>
        <v>715983.34034640016</v>
      </c>
      <c r="AB151" s="48">
        <f>IF(N151="Standard",(((($Z$6*Q151)+($AD$6*R151*$T$5))/2)*$O$7*1.2),IF(N151="Severe",(((($AA$6*Q151)+($AE$6*R151*$T$5))/2)*$O$7*1.2),IF(N151="Hostile",((($AB$6*Q151)+($AF$6*R151*$T$5))/2)*$O$7*1.2)))</f>
        <v>775980.51116880018</v>
      </c>
      <c r="AC151" s="48">
        <f>IF(N151="Standard",((($Z$7*Q151)+($AD$7*R151*$T$5))/2)*$O$7*1.2,IF(N151="Severe",((($AA$7*Q151)+($AE$7*R151*$T$5))/2)*$O$7*1.2,IF(N151="Hostile",((($AB$7*Q151)+($AF$7*R151*$T$5))/2)*$O$7*1.2)))</f>
        <v>837476.24333520012</v>
      </c>
      <c r="AD151" s="1"/>
      <c r="AE151" s="1"/>
      <c r="AF151" s="1"/>
      <c r="AI151" s="9"/>
      <c r="AJ151" s="1"/>
      <c r="AK151" s="1"/>
      <c r="AL151" s="1"/>
      <c r="AM151" s="1"/>
      <c r="AN151" s="1"/>
      <c r="AO151" s="1"/>
      <c r="AP151" s="9"/>
      <c r="AQ151" s="3"/>
      <c r="AR151" s="4"/>
      <c r="AS151" s="1"/>
      <c r="AT151" s="1"/>
      <c r="AU151" s="1"/>
      <c r="AV151" s="1"/>
      <c r="AW151" s="1"/>
      <c r="AX151" s="3"/>
      <c r="AY151" s="3"/>
      <c r="AZ151" s="5"/>
      <c r="BA151" s="5"/>
      <c r="BB151" s="5"/>
      <c r="BC151" s="5"/>
      <c r="BD151" s="6"/>
      <c r="BE151" s="6"/>
      <c r="BF151" s="12"/>
      <c r="BG151" s="12"/>
      <c r="BH151" s="12"/>
      <c r="BI151" s="12"/>
      <c r="BJ151" s="12"/>
    </row>
    <row r="152" spans="2:62" x14ac:dyDescent="0.25">
      <c r="B152" s="1" t="s">
        <v>1180</v>
      </c>
      <c r="C152" s="1" t="s">
        <v>1627</v>
      </c>
      <c r="D152" s="1" t="s">
        <v>1190</v>
      </c>
      <c r="E152" s="1" t="s">
        <v>1628</v>
      </c>
      <c r="F152" s="84" t="s">
        <v>2649</v>
      </c>
      <c r="G152" s="1" t="s">
        <v>1312</v>
      </c>
      <c r="H152" s="1" t="s">
        <v>1313</v>
      </c>
      <c r="I152" s="7" t="s">
        <v>1187</v>
      </c>
      <c r="J152" s="44">
        <v>1</v>
      </c>
      <c r="K152" s="45">
        <v>1</v>
      </c>
      <c r="L152" s="1">
        <v>996</v>
      </c>
      <c r="M152" s="1" t="s">
        <v>1188</v>
      </c>
      <c r="N152" s="1" t="s">
        <v>1141</v>
      </c>
      <c r="O152" s="1" t="s">
        <v>1189</v>
      </c>
      <c r="P152" s="1" t="s">
        <v>1190</v>
      </c>
      <c r="Q152" s="44">
        <f>IF($L152=996,Multipliers!C$174,IF($L152=997,Multipliers!C$175,IF($L152=998,Multipliers!C$176,"NONE")))</f>
        <v>1.29</v>
      </c>
      <c r="R152" s="44">
        <f>IF($L152=996,Multipliers!C$5,IF($L152=997,Multipliers!C$6,IF($L152=998,Multipliers!C$7,"NONE")))</f>
        <v>1.34</v>
      </c>
      <c r="S152" s="46">
        <f>IF(N152="Standard",$O$5*Q152*$O$7,IF(N152="Severe",$O$4*Q152*$O$7,IF(N152="Hostile",$O$3*Q152*$O$7)))</f>
        <v>572333.63565000007</v>
      </c>
      <c r="T152" s="46">
        <f>IF(N152="Standard",$P$5*R152*$O$7,IF(N152="Severe",$P$4*R152*$O$7,IF(N152="Hostile",$P$3*R152*$O$7)))</f>
        <v>595942.1664000001</v>
      </c>
      <c r="U152" s="46">
        <f t="shared" si="54"/>
        <v>589982.74473600008</v>
      </c>
      <c r="V152" s="46">
        <f>(S152+U152)/2</f>
        <v>581158.19019300002</v>
      </c>
      <c r="W152" s="47">
        <f t="shared" si="53"/>
        <v>581158.19019300002</v>
      </c>
      <c r="X152" s="47"/>
      <c r="Y152" s="48">
        <f>IF(N152="Standard",(((($Z$3*Q152)+($AD$3*R152*$T$5))/2)*$O$7),IF(N152="Severe",(((($AA$3*Q152)+($AE$3*R152*$T$5))/2)*$O$7),IF(N152="Hostile",(((($AB$3*Q152)+($AF$3*R152*$T$5))/2)*$O$7))))</f>
        <v>465666.31849500001</v>
      </c>
      <c r="Z152" s="48">
        <f>IF(N152="Standard",(((($Z$4*Q152)+($AD$4*R152*$T$5))/2)*$O$7),IF(N152="Severe",(((($AA$4*Q152)+($AE$4*R152*$T$5))/2)*$O$7),IF(N152="Hostile",(((($AB$4*Q152)+($AF$4*R152*$T$5))/2)*$O$7))))</f>
        <v>514428.62433899997</v>
      </c>
      <c r="AA152" s="48">
        <f>IF(N152="Standard",((($Z$5*Q152)+($AD$5*R152*$T$5))/2)*$O$7,IF(N152="Severe",((($AA$5*Q152)+($AE$5*R152*$T$5))/2)*$O$7,IF(N152="Hostile",((($AB$5*Q152)+($AF$5*R152*$T$5))/2)*$O$7)))</f>
        <v>581158.19019300013</v>
      </c>
      <c r="AB152" s="48">
        <f>IF(N152="Standard",((($Z$6*Q152)+($AD$6*R152*$T$5))/2)*$O$7,IF(N152="Severe",((($AA$6*Q152)+($AE$6*R152*$T$5))/2)*$O$7,IF(N152="Hostile",((($AB$6*Q152)+($AF$6*R152*$T$5))/2)*$O$7)))</f>
        <v>629926.37213100016</v>
      </c>
      <c r="AC152" s="48">
        <f>IF(N152="Standard",((($Z$7*Q152)+($AD$7*R152*$T$5))/2)*$O$7,IF(N152="Severe",((($AA$7*Q152)+($AE$7*R152*$T$5))/2)*$O$7,IF(N152="Hostile",((($AB$7*Q152)+($AF$7*R152*$T$5))/2)*$O$7)))</f>
        <v>679867.06659900001</v>
      </c>
      <c r="AD152" s="1"/>
      <c r="AE152" s="1"/>
      <c r="AF152" s="1"/>
      <c r="AI152" s="9"/>
      <c r="AJ152" s="1"/>
      <c r="AK152" s="1"/>
      <c r="AL152" s="1"/>
      <c r="AM152" s="1"/>
      <c r="AN152" s="1"/>
      <c r="AO152" s="1"/>
      <c r="AP152" s="9"/>
      <c r="AQ152" s="3"/>
      <c r="AR152" s="4"/>
      <c r="AS152" s="1"/>
      <c r="AT152" s="1"/>
      <c r="AU152" s="1"/>
      <c r="AV152" s="1"/>
      <c r="AW152" s="1"/>
      <c r="AX152" s="3"/>
      <c r="AY152" s="3"/>
      <c r="AZ152" s="5"/>
      <c r="BA152" s="5"/>
      <c r="BB152" s="5"/>
      <c r="BC152" s="5"/>
      <c r="BD152" s="6"/>
      <c r="BE152" s="6"/>
      <c r="BF152" s="12"/>
      <c r="BG152" s="12"/>
      <c r="BH152" s="12"/>
      <c r="BI152" s="12"/>
      <c r="BJ152" s="12"/>
    </row>
    <row r="153" spans="2:62" x14ac:dyDescent="0.25">
      <c r="B153" s="1" t="s">
        <v>1180</v>
      </c>
      <c r="C153" s="1" t="s">
        <v>1629</v>
      </c>
      <c r="D153" s="1" t="s">
        <v>1190</v>
      </c>
      <c r="E153" s="1" t="s">
        <v>1630</v>
      </c>
      <c r="F153" s="1" t="s">
        <v>1631</v>
      </c>
      <c r="G153" s="1" t="s">
        <v>1202</v>
      </c>
      <c r="H153" s="1" t="s">
        <v>1203</v>
      </c>
      <c r="I153" s="7" t="s">
        <v>1187</v>
      </c>
      <c r="J153" s="44">
        <v>1</v>
      </c>
      <c r="K153" s="45">
        <v>1</v>
      </c>
      <c r="L153" s="1">
        <v>997</v>
      </c>
      <c r="M153" s="1" t="s">
        <v>1188</v>
      </c>
      <c r="N153" s="1" t="s">
        <v>1141</v>
      </c>
      <c r="O153" s="1" t="s">
        <v>1189</v>
      </c>
      <c r="P153" s="7" t="s">
        <v>1073</v>
      </c>
      <c r="Q153" s="44">
        <f>IF($L153=996,Multipliers!C$174,IF($L153=997,Multipliers!C$175,IF($L153=998,Multipliers!C$176,"NONE")))</f>
        <v>1.3</v>
      </c>
      <c r="R153" s="44">
        <f>IF($L153=996,Multipliers!C$5,IF($L153=997,Multipliers!C$6,IF($L153=998,Multipliers!C$7,"NONE")))</f>
        <v>1.34</v>
      </c>
      <c r="S153" s="46">
        <f t="shared" si="55"/>
        <v>576770.33050000016</v>
      </c>
      <c r="T153" s="46">
        <f t="shared" si="56"/>
        <v>595942.1664000001</v>
      </c>
      <c r="U153" s="46">
        <f t="shared" si="54"/>
        <v>589982.74473600008</v>
      </c>
      <c r="V153" s="46">
        <f>((S153+U153)/2*1.15)</f>
        <v>670883.01826070005</v>
      </c>
      <c r="W153" s="47">
        <f t="shared" si="53"/>
        <v>670883.01826070005</v>
      </c>
      <c r="X153" s="47"/>
      <c r="Y153" s="48">
        <f>IF(N153="Standard",(((($Z$3*Q153)+($AD$3*R153*$T$5))/2)*$O$7*1.15),IF(N153="Severe",(((($AA$3*Q153)+($AE$3*R153*$T$5))/2)*$O$7*1.15),IF(N153="Hostile",(((($AB$3*Q153)+($AF$3*R153*$T$5))/2)*$O$7*1.15))))</f>
        <v>537627.23286300001</v>
      </c>
      <c r="Z153" s="48">
        <f>IF(N153="Standard",(((($Z$4*Q153)+($AD$4*R153*$T$5))/2)*$O$7*1.15),IF(N153="Severe",(((($AA$4*Q153)+($AE$4*R153*$T$5))/2)*$O$7*1.15),IF(N153="Hostile",(((($AB$4*Q153)+($AF$4*R153*$T$5))/2)*$O$7*1.15))))</f>
        <v>593892.8539060998</v>
      </c>
      <c r="AA153" s="48">
        <f>IF(N153="Standard",(((($Z$5*Q153)+($AD$5*R153*$T$5))/2)*$O$7*1.15),IF(N153="Severe",(((($AA$5*Q153)+($AE$5*R153*$T$5))/2)*$O$7*1.15),IF(N153="Hostile",(((($AB$5*Q153)+($AF$5*R153*$T$5))/2)*$O$7*1.15))))</f>
        <v>670883.01826070005</v>
      </c>
      <c r="AB153" s="48">
        <f>IF(N153="Standard",(((($Z$6*Q153)+($AD$6*R153*$T$5))/2)*$O$7*1.15),IF(N153="Severe",(((($AA$6*Q153)+($AE$6*R153*$T$5))/2)*$O$7*1.15),IF(N153="Hostile",(((($AB$6*Q153)+($AF$6*R153*$T$5))/2)*$O$7*1.15))))</f>
        <v>727154.03193440009</v>
      </c>
      <c r="AC153" s="48">
        <f>IF(N153="Standard",(((($Z$7*Q153)+($AD$7*R153*$T$5))/2)*$O$7*1.15),IF(N153="Severe",(((($AA$7*Q153)+($AE$7*R153*$T$5))/2)*$O$7*1.15),IF(N153="Hostile",(((($AB$7*Q153)+($AF$7*R153*$T$5))/2)*$O$7*1.15))))</f>
        <v>784795.42359260004</v>
      </c>
      <c r="AD153" s="1"/>
      <c r="AE153" s="1"/>
      <c r="AF153" s="1"/>
      <c r="AI153" s="9"/>
      <c r="AJ153" s="1"/>
      <c r="AK153" s="1"/>
      <c r="AL153" s="1"/>
      <c r="AM153" s="1"/>
      <c r="AN153" s="1"/>
      <c r="AO153" s="1"/>
      <c r="AP153" s="9"/>
      <c r="AQ153" s="3"/>
      <c r="AR153" s="4"/>
      <c r="AS153" s="1"/>
      <c r="AT153" s="1"/>
      <c r="AU153" s="1"/>
      <c r="AV153" s="1"/>
      <c r="AW153" s="1"/>
      <c r="AX153" s="3"/>
      <c r="AY153" s="3"/>
      <c r="AZ153" s="5"/>
      <c r="BA153" s="5"/>
      <c r="BB153" s="5"/>
      <c r="BC153" s="5"/>
      <c r="BD153" s="6"/>
      <c r="BE153" s="6"/>
      <c r="BF153" s="12"/>
      <c r="BG153" s="12"/>
      <c r="BH153" s="12"/>
      <c r="BI153" s="12"/>
      <c r="BJ153" s="12"/>
    </row>
    <row r="154" spans="2:62" x14ac:dyDescent="0.25">
      <c r="B154" s="1" t="s">
        <v>1180</v>
      </c>
      <c r="C154" s="1" t="s">
        <v>1632</v>
      </c>
      <c r="D154" s="1" t="s">
        <v>1190</v>
      </c>
      <c r="E154" s="1" t="s">
        <v>1633</v>
      </c>
      <c r="F154" s="1" t="s">
        <v>1634</v>
      </c>
      <c r="G154" s="1" t="s">
        <v>1202</v>
      </c>
      <c r="H154" s="1" t="s">
        <v>1203</v>
      </c>
      <c r="I154" s="7" t="s">
        <v>1187</v>
      </c>
      <c r="J154" s="44">
        <v>1</v>
      </c>
      <c r="K154" s="45">
        <v>1</v>
      </c>
      <c r="L154" s="1">
        <v>997</v>
      </c>
      <c r="M154" s="1" t="s">
        <v>1188</v>
      </c>
      <c r="N154" s="1" t="s">
        <v>1141</v>
      </c>
      <c r="O154" s="1" t="s">
        <v>1189</v>
      </c>
      <c r="P154" s="7" t="s">
        <v>1073</v>
      </c>
      <c r="Q154" s="44">
        <f>IF($L154=996,Multipliers!C$174,IF($L154=997,Multipliers!C$175,IF($L154=998,Multipliers!C$176,"NONE")))</f>
        <v>1.3</v>
      </c>
      <c r="R154" s="44">
        <f>IF($L154=996,Multipliers!C$5,IF($L154=997,Multipliers!C$6,IF($L154=998,Multipliers!C$7,"NONE")))</f>
        <v>1.34</v>
      </c>
      <c r="S154" s="46">
        <f t="shared" si="55"/>
        <v>576770.33050000016</v>
      </c>
      <c r="T154" s="46">
        <f t="shared" si="56"/>
        <v>595942.1664000001</v>
      </c>
      <c r="U154" s="46">
        <f t="shared" si="54"/>
        <v>589982.74473600008</v>
      </c>
      <c r="V154" s="46">
        <f>((S154+U154)/2*1.15)</f>
        <v>670883.01826070005</v>
      </c>
      <c r="W154" s="47">
        <f t="shared" si="53"/>
        <v>670883.01826070005</v>
      </c>
      <c r="X154" s="47"/>
      <c r="Y154" s="48">
        <f>IF(N154="Standard",(((($Z$3*Q154)+($AD$3*R154*$T$5))/2)*$O$7*1.15),IF(N154="Severe",(((($AA$3*Q154)+($AE$3*R154*$T$5))/2)*$O$7*1.15),IF(N154="Hostile",(((($AB$3*Q154)+($AF$3*R154*$T$5))/2)*$O$7*1.15))))</f>
        <v>537627.23286300001</v>
      </c>
      <c r="Z154" s="48">
        <f>IF(N154="Standard",(((($Z$4*Q154)+($AD$4*R154*$T$5))/2)*$O$7*1.15),IF(N154="Severe",(((($AA$4*Q154)+($AE$4*R154*$T$5))/2)*$O$7*1.15),IF(N154="Hostile",(((($AB$4*Q154)+($AF$4*R154*$T$5))/2)*$O$7*1.15))))</f>
        <v>593892.8539060998</v>
      </c>
      <c r="AA154" s="48">
        <f>IF(N154="Standard",(((($Z$5*Q154)+($AD$5*R154*$T$5))/2)*$O$7*1.15),IF(N154="Severe",(((($AA$5*Q154)+($AE$5*R154*$T$5))/2)*$O$7*1.15),IF(N154="Hostile",(((($AB$5*Q154)+($AF$5*R154*$T$5))/2)*$O$7*1.15))))</f>
        <v>670883.01826070005</v>
      </c>
      <c r="AB154" s="48">
        <f>IF(N154="Standard",(((($Z$6*Q154)+($AD$6*R154*$T$5))/2)*$O$7*1.15),IF(N154="Severe",(((($AA$6*Q154)+($AE$6*R154*$T$5))/2)*$O$7*1.15),IF(N154="Hostile",(((($AB$6*Q154)+($AF$6*R154*$T$5))/2)*$O$7*1.15))))</f>
        <v>727154.03193440009</v>
      </c>
      <c r="AC154" s="48">
        <f>IF(N154="Standard",(((($Z$7*Q154)+($AD$7*R154*$T$5))/2)*$O$7*1.15),IF(N154="Severe",(((($AA$7*Q154)+($AE$7*R154*$T$5))/2)*$O$7*1.15),IF(N154="Hostile",(((($AB$7*Q154)+($AF$7*R154*$T$5))/2)*$O$7*1.15))))</f>
        <v>784795.42359260004</v>
      </c>
      <c r="AD154" s="1"/>
      <c r="AE154" s="1"/>
      <c r="AF154" s="1"/>
      <c r="AI154" s="9"/>
      <c r="AJ154" s="1"/>
      <c r="AK154" s="1"/>
      <c r="AL154" s="1"/>
      <c r="AM154" s="1"/>
      <c r="AN154" s="1"/>
      <c r="AO154" s="1"/>
      <c r="AP154" s="9"/>
      <c r="AQ154" s="3"/>
      <c r="AR154" s="4"/>
      <c r="AS154" s="1"/>
      <c r="AT154" s="1"/>
      <c r="AU154" s="1"/>
      <c r="AV154" s="1"/>
      <c r="AW154" s="1"/>
      <c r="AX154" s="3"/>
      <c r="AY154" s="3"/>
      <c r="AZ154" s="5"/>
      <c r="BA154" s="5"/>
      <c r="BB154" s="5"/>
      <c r="BC154" s="5"/>
      <c r="BD154" s="6"/>
      <c r="BE154" s="6"/>
      <c r="BF154" s="12"/>
      <c r="BG154" s="12"/>
      <c r="BH154" s="12"/>
      <c r="BI154" s="12"/>
      <c r="BJ154" s="12"/>
    </row>
    <row r="155" spans="2:62" x14ac:dyDescent="0.25">
      <c r="B155" s="1" t="s">
        <v>1180</v>
      </c>
      <c r="C155" s="1" t="s">
        <v>1635</v>
      </c>
      <c r="D155" s="1" t="s">
        <v>1190</v>
      </c>
      <c r="E155" s="1" t="s">
        <v>1636</v>
      </c>
      <c r="F155" s="1" t="s">
        <v>1637</v>
      </c>
      <c r="G155" s="1" t="s">
        <v>1202</v>
      </c>
      <c r="H155" s="1" t="s">
        <v>1203</v>
      </c>
      <c r="I155" s="7" t="s">
        <v>1187</v>
      </c>
      <c r="J155" s="44">
        <v>1</v>
      </c>
      <c r="K155" s="45">
        <v>1</v>
      </c>
      <c r="L155" s="1">
        <v>997</v>
      </c>
      <c r="M155" s="1" t="s">
        <v>1188</v>
      </c>
      <c r="N155" s="1" t="s">
        <v>1141</v>
      </c>
      <c r="O155" s="1" t="s">
        <v>1189</v>
      </c>
      <c r="P155" s="7" t="s">
        <v>1073</v>
      </c>
      <c r="Q155" s="44">
        <f>IF($L155=996,Multipliers!C$174,IF($L155=997,Multipliers!C$175,IF($L155=998,Multipliers!C$176,"NONE")))</f>
        <v>1.3</v>
      </c>
      <c r="R155" s="44">
        <f>IF($L155=996,Multipliers!C$5,IF($L155=997,Multipliers!C$6,IF($L155=998,Multipliers!C$7,"NONE")))</f>
        <v>1.34</v>
      </c>
      <c r="S155" s="46">
        <f t="shared" si="55"/>
        <v>576770.33050000016</v>
      </c>
      <c r="T155" s="46">
        <f t="shared" si="56"/>
        <v>595942.1664000001</v>
      </c>
      <c r="U155" s="46">
        <f t="shared" si="54"/>
        <v>589982.74473600008</v>
      </c>
      <c r="V155" s="46">
        <f>((S155+U155)/2*1.15)</f>
        <v>670883.01826070005</v>
      </c>
      <c r="W155" s="47">
        <f t="shared" si="53"/>
        <v>670883.01826070005</v>
      </c>
      <c r="X155" s="47"/>
      <c r="Y155" s="48">
        <f>IF(N155="Standard",(((($Z$3*Q155)+($AD$3*R155*$T$5))/2)*$O$7*1.15),IF(N155="Severe",(((($AA$3*Q155)+($AE$3*R155*$T$5))/2)*$O$7*1.15),IF(N155="Hostile",(((($AB$3*Q155)+($AF$3*R155*$T$5))/2)*$O$7*1.15))))</f>
        <v>537627.23286300001</v>
      </c>
      <c r="Z155" s="48">
        <f>IF(N155="Standard",(((($Z$4*Q155)+($AD$4*R155*$T$5))/2)*$O$7*1.15),IF(N155="Severe",(((($AA$4*Q155)+($AE$4*R155*$T$5))/2)*$O$7*1.15),IF(N155="Hostile",(((($AB$4*Q155)+($AF$4*R155*$T$5))/2)*$O$7*1.15))))</f>
        <v>593892.8539060998</v>
      </c>
      <c r="AA155" s="48">
        <f>IF(N155="Standard",(((($Z$5*Q155)+($AD$5*R155*$T$5))/2)*$O$7*1.15),IF(N155="Severe",(((($AA$5*Q155)+($AE$5*R155*$T$5))/2)*$O$7*1.15),IF(N155="Hostile",(((($AB$5*Q155)+($AF$5*R155*$T$5))/2)*$O$7*1.15))))</f>
        <v>670883.01826070005</v>
      </c>
      <c r="AB155" s="48">
        <f>IF(N155="Standard",(((($Z$6*Q155)+($AD$6*R155*$T$5))/2)*$O$7*1.15),IF(N155="Severe",(((($AA$6*Q155)+($AE$6*R155*$T$5))/2)*$O$7*1.15),IF(N155="Hostile",(((($AB$6*Q155)+($AF$6*R155*$T$5))/2)*$O$7*1.15))))</f>
        <v>727154.03193440009</v>
      </c>
      <c r="AC155" s="48">
        <f>IF(N155="Standard",(((($Z$7*Q155)+($AD$7*R155*$T$5))/2)*$O$7*1.15),IF(N155="Severe",(((($AA$7*Q155)+($AE$7*R155*$T$5))/2)*$O$7*1.15),IF(N155="Hostile",(((($AB$7*Q155)+($AF$7*R155*$T$5))/2)*$O$7*1.15))))</f>
        <v>784795.42359260004</v>
      </c>
      <c r="AD155" s="1"/>
      <c r="AE155" s="1"/>
      <c r="AF155" s="1"/>
      <c r="AI155" s="9"/>
      <c r="AJ155" s="1"/>
      <c r="AK155" s="1"/>
      <c r="AL155" s="1"/>
      <c r="AM155" s="1"/>
      <c r="AN155" s="1"/>
      <c r="AO155" s="1"/>
      <c r="AP155" s="9"/>
      <c r="AQ155" s="3"/>
      <c r="AR155" s="4"/>
      <c r="AS155" s="1"/>
      <c r="AT155" s="1"/>
      <c r="AU155" s="1"/>
      <c r="AV155" s="1"/>
      <c r="AW155" s="1"/>
      <c r="AX155" s="3"/>
      <c r="AY155" s="3"/>
      <c r="AZ155" s="5"/>
      <c r="BA155" s="5"/>
      <c r="BB155" s="5"/>
      <c r="BC155" s="5"/>
      <c r="BD155" s="6"/>
      <c r="BE155" s="6"/>
      <c r="BF155" s="12"/>
      <c r="BG155" s="12"/>
      <c r="BH155" s="12"/>
      <c r="BI155" s="12"/>
      <c r="BJ155" s="12"/>
    </row>
    <row r="156" spans="2:62" x14ac:dyDescent="0.25">
      <c r="B156" s="1" t="s">
        <v>1180</v>
      </c>
      <c r="C156" s="1" t="s">
        <v>1638</v>
      </c>
      <c r="D156" s="1" t="s">
        <v>1190</v>
      </c>
      <c r="E156" s="1" t="s">
        <v>1639</v>
      </c>
      <c r="F156" s="1" t="s">
        <v>1640</v>
      </c>
      <c r="G156" s="1" t="s">
        <v>1210</v>
      </c>
      <c r="H156" s="1" t="s">
        <v>1211</v>
      </c>
      <c r="I156" s="7" t="s">
        <v>1187</v>
      </c>
      <c r="J156" s="44">
        <v>1</v>
      </c>
      <c r="K156" s="45">
        <v>1</v>
      </c>
      <c r="L156" s="1">
        <v>997</v>
      </c>
      <c r="M156" s="1" t="s">
        <v>1188</v>
      </c>
      <c r="N156" s="1" t="s">
        <v>1141</v>
      </c>
      <c r="O156" s="1" t="s">
        <v>1189</v>
      </c>
      <c r="P156" s="7" t="s">
        <v>1073</v>
      </c>
      <c r="Q156" s="44">
        <f>IF($L156=996,Multipliers!C$174,IF($L156=997,Multipliers!C$175,IF($L156=998,Multipliers!C$176,"NONE")))</f>
        <v>1.3</v>
      </c>
      <c r="R156" s="44">
        <f>IF($L156=996,Multipliers!C$5,IF($L156=997,Multipliers!C$6,IF($L156=998,Multipliers!C$7,"NONE")))</f>
        <v>1.34</v>
      </c>
      <c r="S156" s="46">
        <f t="shared" si="55"/>
        <v>576770.33050000016</v>
      </c>
      <c r="T156" s="46">
        <f t="shared" si="56"/>
        <v>595942.1664000001</v>
      </c>
      <c r="U156" s="46">
        <f t="shared" si="54"/>
        <v>589982.74473600008</v>
      </c>
      <c r="V156" s="46">
        <f>((S156+U156)/2*1.15)</f>
        <v>670883.01826070005</v>
      </c>
      <c r="W156" s="47">
        <f t="shared" si="53"/>
        <v>670883.01826070005</v>
      </c>
      <c r="X156" s="47"/>
      <c r="Y156" s="48">
        <f>IF(N156="Standard",(((($Z$3*Q156)+($AD$3*R156*$T$5))/2)*$O$7*1.15),IF(N156="Severe",(((($AA$3*Q156)+($AE$3*R156*$T$5))/2)*$O$7*1.15),IF(N156="Hostile",(((($AB$3*Q156)+($AF$3*R156*$T$5))/2)*$O$7*1.15))))</f>
        <v>537627.23286300001</v>
      </c>
      <c r="Z156" s="48">
        <f>IF(N156="Standard",(((($Z$4*Q156)+($AD$4*R156*$T$5))/2)*$O$7*1.15),IF(N156="Severe",(((($AA$4*Q156)+($AE$4*R156*$T$5))/2)*$O$7*1.15),IF(N156="Hostile",(((($AB$4*Q156)+($AF$4*R156*$T$5))/2)*$O$7*1.15))))</f>
        <v>593892.8539060998</v>
      </c>
      <c r="AA156" s="48">
        <f>IF(N156="Standard",(((($Z$5*Q156)+($AD$5*R156*$T$5))/2)*$O$7*1.15),IF(N156="Severe",(((($AA$5*Q156)+($AE$5*R156*$T$5))/2)*$O$7*1.15),IF(N156="Hostile",(((($AB$5*Q156)+($AF$5*R156*$T$5))/2)*$O$7*1.15))))</f>
        <v>670883.01826070005</v>
      </c>
      <c r="AB156" s="48">
        <f>IF(N156="Standard",(((($Z$6*Q156)+($AD$6*R156*$T$5))/2)*$O$7*1.15),IF(N156="Severe",(((($AA$6*Q156)+($AE$6*R156*$T$5))/2)*$O$7*1.15),IF(N156="Hostile",(((($AB$6*Q156)+($AF$6*R156*$T$5))/2)*$O$7*1.15))))</f>
        <v>727154.03193440009</v>
      </c>
      <c r="AC156" s="48">
        <f>IF(N156="Standard",(((($Z$7*Q156)+($AD$7*R156*$T$5))/2)*$O$7*1.15),IF(N156="Severe",(((($AA$7*Q156)+($AE$7*R156*$T$5))/2)*$O$7*1.15),IF(N156="Hostile",(((($AB$7*Q156)+($AF$7*R156*$T$5))/2)*$O$7*1.15))))</f>
        <v>784795.42359260004</v>
      </c>
      <c r="AD156" s="1"/>
      <c r="AE156" s="1"/>
      <c r="AF156" s="1"/>
      <c r="AI156" s="9"/>
      <c r="AJ156" s="1"/>
      <c r="AK156" s="1"/>
      <c r="AL156" s="1"/>
      <c r="AM156" s="1"/>
      <c r="AN156" s="1"/>
      <c r="AO156" s="1"/>
      <c r="AP156" s="9"/>
      <c r="AQ156" s="3"/>
      <c r="AR156" s="4"/>
      <c r="AS156" s="1"/>
      <c r="AT156" s="1"/>
      <c r="AU156" s="1"/>
      <c r="AV156" s="1"/>
      <c r="AW156" s="1"/>
      <c r="AX156" s="3"/>
      <c r="AY156" s="3"/>
      <c r="AZ156" s="5"/>
      <c r="BA156" s="5"/>
      <c r="BB156" s="5"/>
      <c r="BC156" s="5"/>
      <c r="BD156" s="6"/>
      <c r="BE156" s="6"/>
      <c r="BF156" s="12"/>
      <c r="BG156" s="12"/>
      <c r="BH156" s="12"/>
      <c r="BI156" s="12"/>
      <c r="BJ156" s="12"/>
    </row>
    <row r="157" spans="2:62" x14ac:dyDescent="0.25">
      <c r="B157" s="1" t="s">
        <v>1180</v>
      </c>
      <c r="C157" s="1" t="s">
        <v>1641</v>
      </c>
      <c r="D157" s="1" t="s">
        <v>1190</v>
      </c>
      <c r="E157" s="1" t="s">
        <v>1642</v>
      </c>
      <c r="F157" s="1" t="s">
        <v>1643</v>
      </c>
      <c r="G157" s="1" t="s">
        <v>1218</v>
      </c>
      <c r="H157" s="1" t="s">
        <v>1219</v>
      </c>
      <c r="I157" s="7" t="s">
        <v>1187</v>
      </c>
      <c r="J157" s="44">
        <v>1</v>
      </c>
      <c r="K157" s="45">
        <v>1</v>
      </c>
      <c r="L157" s="1">
        <v>997</v>
      </c>
      <c r="M157" s="1" t="s">
        <v>1188</v>
      </c>
      <c r="N157" s="1" t="s">
        <v>1141</v>
      </c>
      <c r="O157" s="1" t="s">
        <v>1189</v>
      </c>
      <c r="P157" s="7" t="s">
        <v>1073</v>
      </c>
      <c r="Q157" s="44">
        <f>IF($L157=996,Multipliers!C$174,IF($L157=997,Multipliers!C$175,IF($L157=998,Multipliers!C$176,"NONE")))</f>
        <v>1.3</v>
      </c>
      <c r="R157" s="44">
        <f>IF($L157=996,Multipliers!C$5,IF($L157=997,Multipliers!C$6,IF($L157=998,Multipliers!C$7,"NONE")))</f>
        <v>1.34</v>
      </c>
      <c r="S157" s="46">
        <f t="shared" si="55"/>
        <v>576770.33050000016</v>
      </c>
      <c r="T157" s="46">
        <f t="shared" si="56"/>
        <v>595942.1664000001</v>
      </c>
      <c r="U157" s="46">
        <f t="shared" si="54"/>
        <v>589982.74473600008</v>
      </c>
      <c r="V157" s="46">
        <f>((S157+U157)/2*1.15)</f>
        <v>670883.01826070005</v>
      </c>
      <c r="W157" s="47">
        <f t="shared" si="53"/>
        <v>670883.01826070005</v>
      </c>
      <c r="X157" s="47"/>
      <c r="Y157" s="48">
        <f>IF(N157="Standard",(((($Z$3*Q157)+($AD$3*R157*$T$5))/2)*$O$7*1.15),IF(N157="Severe",(((($AA$3*Q157)+($AE$3*R157*$T$5))/2)*$O$7*1.15),IF(N157="Hostile",(((($AB$3*Q157)+($AF$3*R157*$T$5))/2)*$O$7*1.15))))</f>
        <v>537627.23286300001</v>
      </c>
      <c r="Z157" s="48">
        <f>IF(N157="Standard",(((($Z$4*Q157)+($AD$4*R157*$T$5))/2)*$O$7*1.15),IF(N157="Severe",(((($AA$4*Q157)+($AE$4*R157*$T$5))/2)*$O$7*1.15),IF(N157="Hostile",(((($AB$4*Q157)+($AF$4*R157*$T$5))/2)*$O$7*1.15))))</f>
        <v>593892.8539060998</v>
      </c>
      <c r="AA157" s="48">
        <f>IF(N157="Standard",(((($Z$5*Q157)+($AD$5*R157*$T$5))/2)*$O$7*1.15),IF(N157="Severe",(((($AA$5*Q157)+($AE$5*R157*$T$5))/2)*$O$7*1.15),IF(N157="Hostile",(((($AB$5*Q157)+($AF$5*R157*$T$5))/2)*$O$7*1.15))))</f>
        <v>670883.01826070005</v>
      </c>
      <c r="AB157" s="48">
        <f>IF(N157="Standard",(((($Z$6*Q157)+($AD$6*R157*$T$5))/2)*$O$7*1.15),IF(N157="Severe",(((($AA$6*Q157)+($AE$6*R157*$T$5))/2)*$O$7*1.15),IF(N157="Hostile",(((($AB$6*Q157)+($AF$6*R157*$T$5))/2)*$O$7*1.15))))</f>
        <v>727154.03193440009</v>
      </c>
      <c r="AC157" s="48">
        <f>IF(N157="Standard",(((($Z$7*Q157)+($AD$7*R157*$T$5))/2)*$O$7*1.15),IF(N157="Severe",(((($AA$7*Q157)+($AE$7*R157*$T$5))/2)*$O$7*1.15),IF(N157="Hostile",(((($AB$7*Q157)+($AF$7*R157*$T$5))/2)*$O$7*1.15))))</f>
        <v>784795.42359260004</v>
      </c>
      <c r="AD157" s="1"/>
      <c r="AE157" s="1"/>
      <c r="AF157" s="1"/>
      <c r="AI157" s="9"/>
      <c r="AJ157" s="1"/>
      <c r="AK157" s="1"/>
      <c r="AL157" s="1"/>
      <c r="AM157" s="1"/>
      <c r="AN157" s="1"/>
      <c r="AO157" s="1"/>
      <c r="AP157" s="9"/>
      <c r="AQ157" s="3"/>
      <c r="AR157" s="4"/>
      <c r="AS157" s="1"/>
      <c r="AT157" s="1"/>
      <c r="AU157" s="1"/>
      <c r="AV157" s="1"/>
      <c r="AW157" s="1"/>
      <c r="AX157" s="3"/>
      <c r="AY157" s="3"/>
      <c r="AZ157" s="5"/>
      <c r="BA157" s="5"/>
      <c r="BB157" s="5"/>
      <c r="BC157" s="5"/>
      <c r="BD157" s="6"/>
      <c r="BE157" s="6"/>
      <c r="BF157" s="12"/>
      <c r="BG157" s="12"/>
      <c r="BH157" s="12"/>
      <c r="BI157" s="12"/>
      <c r="BJ157" s="12"/>
    </row>
    <row r="158" spans="2:62" x14ac:dyDescent="0.25">
      <c r="B158" s="1" t="s">
        <v>1180</v>
      </c>
      <c r="C158" s="1" t="s">
        <v>1644</v>
      </c>
      <c r="D158" s="1" t="s">
        <v>1190</v>
      </c>
      <c r="E158" s="1" t="s">
        <v>1645</v>
      </c>
      <c r="F158" s="1" t="s">
        <v>1646</v>
      </c>
      <c r="G158" s="1" t="s">
        <v>1223</v>
      </c>
      <c r="H158" s="1" t="s">
        <v>1224</v>
      </c>
      <c r="I158" s="7" t="s">
        <v>1187</v>
      </c>
      <c r="J158" s="44">
        <v>1</v>
      </c>
      <c r="K158" s="45">
        <v>1</v>
      </c>
      <c r="L158" s="1">
        <v>998</v>
      </c>
      <c r="M158" s="1" t="s">
        <v>1188</v>
      </c>
      <c r="N158" s="1" t="s">
        <v>1141</v>
      </c>
      <c r="O158" s="1" t="s">
        <v>1189</v>
      </c>
      <c r="P158" s="7" t="s">
        <v>1074</v>
      </c>
      <c r="Q158" s="44">
        <f>IF($L158=996,Multipliers!C$174,IF($L158=997,Multipliers!C$175,IF($L158=998,Multipliers!C$176,"NONE")))</f>
        <v>1.34</v>
      </c>
      <c r="R158" s="44">
        <f>IF($L158=996,Multipliers!C$5,IF($L158=997,Multipliers!C$6,IF($L158=998,Multipliers!C$7,"NONE")))</f>
        <v>1.36</v>
      </c>
      <c r="S158" s="46">
        <f t="shared" si="55"/>
        <v>594517.10990000016</v>
      </c>
      <c r="T158" s="46">
        <f t="shared" si="56"/>
        <v>604836.82559999998</v>
      </c>
      <c r="U158" s="46">
        <f t="shared" ref="U158:U173" si="57">IF(O158="E",$T$3*T158,IF(O158="C",$T$4*T158,IF(O158="W",$T$5*T158,1)))</f>
        <v>598788.45734399999</v>
      </c>
      <c r="V158" s="46">
        <f>((S158+U158)/2*1.2)</f>
        <v>715983.34034640016</v>
      </c>
      <c r="W158" s="47">
        <f t="shared" si="53"/>
        <v>715983.34034640016</v>
      </c>
      <c r="X158" s="47"/>
      <c r="Y158" s="48">
        <f>IF(N158="Standard",(((($Z$3*Q158)+($AD$3*R158*$T$5))/2)*$O$7*1.2),IF(N158="Severe",(((($AA$3*Q158)+($AE$3*R158*$T$5))/2)*$O$7*1.2),IF(N158="Hostile",(((($AB$3*Q158)+($AF$3*R158*$T$5))/2)*$O$7*1.2))))</f>
        <v>573912.50187599997</v>
      </c>
      <c r="Z158" s="48">
        <f>IF(N158="Standard",(((($Z$4*Q158)+($AD$4*R158*$T$5))/2)*$O$7*1.2),IF(N158="Severe",(((($AA$4*Q158)+($AE$4*R158*$T$5))/2)*$O$7*1.2),IF(N158="Hostile",(((($AB$4*Q158)+($AF$4*R158*$T$5))/2)*$O$7*1.2))))</f>
        <v>633906.89508719998</v>
      </c>
      <c r="AA158" s="48">
        <f>IF(N158="Standard",(((($Z$5*Q158)+($AD$5*R158*$T$5))/2)*$O$7*1.2),IF(N158="Severe",(((($AA$5*Q158)+($AE$5*R158*$T$5))/2)*$O$7*1.2),IF(N158="Hostile",((($AB$5*Q158)+($AF$5*R158*$T$5))/2)*$O$7*1.2)))</f>
        <v>715983.34034640016</v>
      </c>
      <c r="AB158" s="48">
        <f>IF(N158="Standard",(((($Z$6*Q158)+($AD$6*R158*$T$5))/2)*$O$7*1.2),IF(N158="Severe",(((($AA$6*Q158)+($AE$6*R158*$T$5))/2)*$O$7*1.2),IF(N158="Hostile",((($AB$6*Q158)+($AF$6*R158*$T$5))/2)*$O$7*1.2)))</f>
        <v>775980.51116880018</v>
      </c>
      <c r="AC158" s="48">
        <f>IF(N158="Standard",((($Z$7*Q158)+($AD$7*R158*$T$5))/2)*$O$7*1.2,IF(N158="Severe",((($AA$7*Q158)+($AE$7*R158*$T$5))/2)*$O$7*1.2,IF(N158="Hostile",((($AB$7*Q158)+($AF$7*R158*$T$5))/2)*$O$7*1.2)))</f>
        <v>837476.24333520012</v>
      </c>
      <c r="AD158" s="1"/>
      <c r="AE158" s="1"/>
      <c r="AF158" s="1"/>
      <c r="AI158" s="9"/>
      <c r="AJ158" s="1"/>
      <c r="AK158" s="1"/>
      <c r="AL158" s="1"/>
      <c r="AM158" s="1"/>
      <c r="AN158" s="1"/>
      <c r="AO158" s="1"/>
      <c r="AP158" s="9"/>
      <c r="AQ158" s="3"/>
      <c r="AR158" s="4"/>
      <c r="AS158" s="1"/>
      <c r="AT158" s="1"/>
      <c r="AU158" s="1"/>
      <c r="AV158" s="1"/>
      <c r="AW158" s="1"/>
      <c r="AX158" s="3"/>
      <c r="AY158" s="3"/>
      <c r="AZ158" s="5"/>
      <c r="BA158" s="5"/>
      <c r="BB158" s="5"/>
      <c r="BC158" s="5"/>
      <c r="BD158" s="6"/>
      <c r="BE158" s="6"/>
      <c r="BF158" s="12"/>
      <c r="BG158" s="12"/>
      <c r="BH158" s="12"/>
      <c r="BI158" s="12"/>
      <c r="BJ158" s="12"/>
    </row>
    <row r="159" spans="2:62" x14ac:dyDescent="0.25">
      <c r="B159" s="1" t="s">
        <v>1180</v>
      </c>
      <c r="C159" s="1" t="s">
        <v>1647</v>
      </c>
      <c r="D159" s="1" t="s">
        <v>1190</v>
      </c>
      <c r="E159" s="1" t="s">
        <v>1648</v>
      </c>
      <c r="F159" s="1" t="s">
        <v>1649</v>
      </c>
      <c r="G159" s="1" t="s">
        <v>1223</v>
      </c>
      <c r="H159" s="1" t="s">
        <v>1224</v>
      </c>
      <c r="I159" s="7" t="s">
        <v>1187</v>
      </c>
      <c r="J159" s="44">
        <v>1</v>
      </c>
      <c r="K159" s="45">
        <v>1</v>
      </c>
      <c r="L159" s="1">
        <v>997</v>
      </c>
      <c r="M159" s="1" t="s">
        <v>1188</v>
      </c>
      <c r="N159" s="1" t="s">
        <v>1141</v>
      </c>
      <c r="O159" s="1" t="s">
        <v>1189</v>
      </c>
      <c r="P159" s="7" t="s">
        <v>1073</v>
      </c>
      <c r="Q159" s="44">
        <f>IF($L159=996,Multipliers!C$174,IF($L159=997,Multipliers!C$175,IF($L159=998,Multipliers!C$176,"NONE")))</f>
        <v>1.3</v>
      </c>
      <c r="R159" s="44">
        <f>IF($L159=996,Multipliers!C$5,IF($L159=997,Multipliers!C$6,IF($L159=998,Multipliers!C$7,"NONE")))</f>
        <v>1.34</v>
      </c>
      <c r="S159" s="46">
        <f t="shared" si="55"/>
        <v>576770.33050000016</v>
      </c>
      <c r="T159" s="46">
        <f t="shared" si="56"/>
        <v>595942.1664000001</v>
      </c>
      <c r="U159" s="46">
        <f t="shared" si="57"/>
        <v>589982.74473600008</v>
      </c>
      <c r="V159" s="46">
        <f>((S159+U159)/2*1.15)</f>
        <v>670883.01826070005</v>
      </c>
      <c r="W159" s="47">
        <f t="shared" si="53"/>
        <v>670883.01826070005</v>
      </c>
      <c r="X159" s="47"/>
      <c r="Y159" s="48">
        <f>IF(N159="Standard",(((($Z$3*Q159)+($AD$3*R159*$T$5))/2)*$O$7*1.15),IF(N159="Severe",(((($AA$3*Q159)+($AE$3*R159*$T$5))/2)*$O$7*1.15),IF(N159="Hostile",(((($AB$3*Q159)+($AF$3*R159*$T$5))/2)*$O$7*1.15))))</f>
        <v>537627.23286300001</v>
      </c>
      <c r="Z159" s="48">
        <f>IF(N159="Standard",(((($Z$4*Q159)+($AD$4*R159*$T$5))/2)*$O$7*1.15),IF(N159="Severe",(((($AA$4*Q159)+($AE$4*R159*$T$5))/2)*$O$7*1.15),IF(N159="Hostile",(((($AB$4*Q159)+($AF$4*R159*$T$5))/2)*$O$7*1.15))))</f>
        <v>593892.8539060998</v>
      </c>
      <c r="AA159" s="48">
        <f>IF(N159="Standard",(((($Z$5*Q159)+($AD$5*R159*$T$5))/2)*$O$7*1.15),IF(N159="Severe",(((($AA$5*Q159)+($AE$5*R159*$T$5))/2)*$O$7*1.15),IF(N159="Hostile",(((($AB$5*Q159)+($AF$5*R159*$T$5))/2)*$O$7*1.15))))</f>
        <v>670883.01826070005</v>
      </c>
      <c r="AB159" s="48">
        <f>IF(N159="Standard",(((($Z$6*Q159)+($AD$6*R159*$T$5))/2)*$O$7*1.15),IF(N159="Severe",(((($AA$6*Q159)+($AE$6*R159*$T$5))/2)*$O$7*1.15),IF(N159="Hostile",(((($AB$6*Q159)+($AF$6*R159*$T$5))/2)*$O$7*1.15))))</f>
        <v>727154.03193440009</v>
      </c>
      <c r="AC159" s="48">
        <f>IF(N159="Standard",(((($Z$7*Q159)+($AD$7*R159*$T$5))/2)*$O$7*1.15),IF(N159="Severe",(((($AA$7*Q159)+($AE$7*R159*$T$5))/2)*$O$7*1.15),IF(N159="Hostile",(((($AB$7*Q159)+($AF$7*R159*$T$5))/2)*$O$7*1.15))))</f>
        <v>784795.42359260004</v>
      </c>
      <c r="AD159" s="1"/>
      <c r="AE159" s="1"/>
      <c r="AF159" s="1"/>
      <c r="AI159" s="9"/>
      <c r="AJ159" s="1"/>
      <c r="AK159" s="1"/>
      <c r="AL159" s="1"/>
      <c r="AM159" s="1"/>
      <c r="AN159" s="1"/>
      <c r="AO159" s="1"/>
      <c r="AP159" s="9"/>
      <c r="AQ159" s="3"/>
      <c r="AR159" s="4"/>
      <c r="AS159" s="1"/>
      <c r="AT159" s="1"/>
      <c r="AU159" s="1"/>
      <c r="AV159" s="1"/>
      <c r="AW159" s="1"/>
      <c r="AX159" s="3"/>
      <c r="AY159" s="3"/>
      <c r="AZ159" s="5"/>
      <c r="BA159" s="5"/>
      <c r="BB159" s="5"/>
      <c r="BC159" s="5"/>
      <c r="BD159" s="6"/>
      <c r="BE159" s="6"/>
      <c r="BF159" s="12"/>
      <c r="BG159" s="12"/>
      <c r="BH159" s="12"/>
      <c r="BI159" s="12"/>
      <c r="BJ159" s="12"/>
    </row>
    <row r="160" spans="2:62" x14ac:dyDescent="0.25">
      <c r="B160" s="1" t="s">
        <v>1180</v>
      </c>
      <c r="C160" s="1" t="s">
        <v>1650</v>
      </c>
      <c r="D160" s="1" t="s">
        <v>1190</v>
      </c>
      <c r="E160" s="1" t="s">
        <v>1651</v>
      </c>
      <c r="F160" s="1" t="s">
        <v>1652</v>
      </c>
      <c r="G160" s="1" t="s">
        <v>1202</v>
      </c>
      <c r="H160" s="1" t="s">
        <v>1203</v>
      </c>
      <c r="I160" s="7" t="s">
        <v>1187</v>
      </c>
      <c r="J160" s="44">
        <v>1</v>
      </c>
      <c r="K160" s="45">
        <v>1</v>
      </c>
      <c r="L160" s="1">
        <v>997</v>
      </c>
      <c r="M160" s="1" t="s">
        <v>1188</v>
      </c>
      <c r="N160" s="1" t="s">
        <v>1141</v>
      </c>
      <c r="O160" s="1" t="s">
        <v>1189</v>
      </c>
      <c r="P160" s="7" t="s">
        <v>1073</v>
      </c>
      <c r="Q160" s="44">
        <f>IF($L160=996,Multipliers!C$174,IF($L160=997,Multipliers!C$175,IF($L160=998,Multipliers!C$176,"NONE")))</f>
        <v>1.3</v>
      </c>
      <c r="R160" s="44">
        <f>IF($L160=996,Multipliers!C$5,IF($L160=997,Multipliers!C$6,IF($L160=998,Multipliers!C$7,"NONE")))</f>
        <v>1.34</v>
      </c>
      <c r="S160" s="46">
        <f t="shared" si="55"/>
        <v>576770.33050000016</v>
      </c>
      <c r="T160" s="46">
        <f t="shared" si="56"/>
        <v>595942.1664000001</v>
      </c>
      <c r="U160" s="46">
        <f t="shared" si="57"/>
        <v>589982.74473600008</v>
      </c>
      <c r="V160" s="46">
        <f>((S160+U160)/2*1.15)</f>
        <v>670883.01826070005</v>
      </c>
      <c r="W160" s="47">
        <f t="shared" si="53"/>
        <v>670883.01826070005</v>
      </c>
      <c r="X160" s="47"/>
      <c r="Y160" s="48">
        <f>IF(N160="Standard",(((($Z$3*Q160)+($AD$3*R160*$T$5))/2)*$O$7*1.15),IF(N160="Severe",(((($AA$3*Q160)+($AE$3*R160*$T$5))/2)*$O$7*1.15),IF(N160="Hostile",(((($AB$3*Q160)+($AF$3*R160*$T$5))/2)*$O$7*1.15))))</f>
        <v>537627.23286300001</v>
      </c>
      <c r="Z160" s="48">
        <f>IF(N160="Standard",(((($Z$4*Q160)+($AD$4*R160*$T$5))/2)*$O$7*1.15),IF(N160="Severe",(((($AA$4*Q160)+($AE$4*R160*$T$5))/2)*$O$7*1.15),IF(N160="Hostile",(((($AB$4*Q160)+($AF$4*R160*$T$5))/2)*$O$7*1.15))))</f>
        <v>593892.8539060998</v>
      </c>
      <c r="AA160" s="48">
        <f>IF(N160="Standard",(((($Z$5*Q160)+($AD$5*R160*$T$5))/2)*$O$7*1.15),IF(N160="Severe",(((($AA$5*Q160)+($AE$5*R160*$T$5))/2)*$O$7*1.15),IF(N160="Hostile",(((($AB$5*Q160)+($AF$5*R160*$T$5))/2)*$O$7*1.15))))</f>
        <v>670883.01826070005</v>
      </c>
      <c r="AB160" s="48">
        <f>IF(N160="Standard",(((($Z$6*Q160)+($AD$6*R160*$T$5))/2)*$O$7*1.15),IF(N160="Severe",(((($AA$6*Q160)+($AE$6*R160*$T$5))/2)*$O$7*1.15),IF(N160="Hostile",(((($AB$6*Q160)+($AF$6*R160*$T$5))/2)*$O$7*1.15))))</f>
        <v>727154.03193440009</v>
      </c>
      <c r="AC160" s="48">
        <f>IF(N160="Standard",(((($Z$7*Q160)+($AD$7*R160*$T$5))/2)*$O$7*1.15),IF(N160="Severe",(((($AA$7*Q160)+($AE$7*R160*$T$5))/2)*$O$7*1.15),IF(N160="Hostile",(((($AB$7*Q160)+($AF$7*R160*$T$5))/2)*$O$7*1.15))))</f>
        <v>784795.42359260004</v>
      </c>
      <c r="AD160" s="1"/>
      <c r="AE160" s="1"/>
      <c r="AF160" s="1"/>
      <c r="AI160" s="9"/>
      <c r="AJ160" s="1"/>
      <c r="AK160" s="1"/>
      <c r="AL160" s="1"/>
      <c r="AM160" s="1"/>
      <c r="AN160" s="1"/>
      <c r="AO160" s="1"/>
      <c r="AP160" s="9"/>
      <c r="AQ160" s="3"/>
      <c r="AR160" s="4"/>
      <c r="AS160" s="1"/>
      <c r="AT160" s="1"/>
      <c r="AU160" s="1"/>
      <c r="AV160" s="1"/>
      <c r="AW160" s="1"/>
      <c r="AX160" s="3"/>
      <c r="AY160" s="3"/>
      <c r="AZ160" s="5"/>
      <c r="BA160" s="5"/>
      <c r="BB160" s="5"/>
      <c r="BC160" s="5"/>
      <c r="BD160" s="6"/>
      <c r="BE160" s="6"/>
      <c r="BF160" s="12"/>
      <c r="BG160" s="12"/>
      <c r="BH160" s="12"/>
      <c r="BI160" s="12"/>
      <c r="BJ160" s="12"/>
    </row>
    <row r="161" spans="2:62" x14ac:dyDescent="0.25">
      <c r="B161" s="1" t="s">
        <v>1180</v>
      </c>
      <c r="C161" s="1" t="s">
        <v>1653</v>
      </c>
      <c r="D161" s="1" t="s">
        <v>1190</v>
      </c>
      <c r="E161" s="1" t="s">
        <v>1654</v>
      </c>
      <c r="F161" s="1" t="s">
        <v>1655</v>
      </c>
      <c r="G161" s="1" t="s">
        <v>1202</v>
      </c>
      <c r="H161" s="1" t="s">
        <v>1203</v>
      </c>
      <c r="I161" s="7" t="s">
        <v>1187</v>
      </c>
      <c r="J161" s="44">
        <v>1</v>
      </c>
      <c r="K161" s="45">
        <v>1</v>
      </c>
      <c r="L161" s="1">
        <v>997</v>
      </c>
      <c r="M161" s="1" t="s">
        <v>1188</v>
      </c>
      <c r="N161" s="1" t="s">
        <v>1141</v>
      </c>
      <c r="O161" s="1" t="s">
        <v>1189</v>
      </c>
      <c r="P161" s="7" t="s">
        <v>1073</v>
      </c>
      <c r="Q161" s="44">
        <f>IF($L161=996,Multipliers!C$174,IF($L161=997,Multipliers!C$175,IF($L161=998,Multipliers!C$176,"NONE")))</f>
        <v>1.3</v>
      </c>
      <c r="R161" s="44">
        <f>IF($L161=996,Multipliers!C$5,IF($L161=997,Multipliers!C$6,IF($L161=998,Multipliers!C$7,"NONE")))</f>
        <v>1.34</v>
      </c>
      <c r="S161" s="46">
        <f t="shared" si="55"/>
        <v>576770.33050000016</v>
      </c>
      <c r="T161" s="46">
        <f t="shared" si="56"/>
        <v>595942.1664000001</v>
      </c>
      <c r="U161" s="46">
        <f>IF(O161="E",$T$3*T161,IF(O161="C",$T$4*T161,IF(O161="W",$T$5*T161,1)))</f>
        <v>589982.74473600008</v>
      </c>
      <c r="V161" s="46">
        <f>((S161+U161)/2*1.15)</f>
        <v>670883.01826070005</v>
      </c>
      <c r="W161" s="47">
        <f t="shared" si="53"/>
        <v>670883.01826070005</v>
      </c>
      <c r="X161" s="47"/>
      <c r="Y161" s="48">
        <f>IF(N161="Standard",(((($Z$3*Q161)+($AD$3*R161*$T$5))/2)*$O$7*1.15),IF(N161="Severe",(((($AA$3*Q161)+($AE$3*R161*$T$5))/2)*$O$7*1.15),IF(N161="Hostile",(((($AB$3*Q161)+($AF$3*R161*$T$5))/2)*$O$7*1.15))))</f>
        <v>537627.23286300001</v>
      </c>
      <c r="Z161" s="48">
        <f>IF(N161="Standard",(((($Z$4*Q161)+($AD$4*R161*$T$5))/2)*$O$7*1.15),IF(N161="Severe",(((($AA$4*Q161)+($AE$4*R161*$T$5))/2)*$O$7*1.15),IF(N161="Hostile",(((($AB$4*Q161)+($AF$4*R161*$T$5))/2)*$O$7*1.15))))</f>
        <v>593892.8539060998</v>
      </c>
      <c r="AA161" s="48">
        <f>IF(N161="Standard",(((($Z$5*Q161)+($AD$5*R161*$T$5))/2)*$O$7*1.15),IF(N161="Severe",(((($AA$5*Q161)+($AE$5*R161*$T$5))/2)*$O$7*1.15),IF(N161="Hostile",(((($AB$5*Q161)+($AF$5*R161*$T$5))/2)*$O$7*1.15))))</f>
        <v>670883.01826070005</v>
      </c>
      <c r="AB161" s="48">
        <f>IF(N161="Standard",(((($Z$6*Q161)+($AD$6*R161*$T$5))/2)*$O$7*1.15),IF(N161="Severe",(((($AA$6*Q161)+($AE$6*R161*$T$5))/2)*$O$7*1.15),IF(N161="Hostile",(((($AB$6*Q161)+($AF$6*R161*$T$5))/2)*$O$7*1.15))))</f>
        <v>727154.03193440009</v>
      </c>
      <c r="AC161" s="48">
        <f>IF(N161="Standard",(((($Z$7*Q161)+($AD$7*R161*$T$5))/2)*$O$7*1.15),IF(N161="Severe",(((($AA$7*Q161)+($AE$7*R161*$T$5))/2)*$O$7*1.15),IF(N161="Hostile",(((($AB$7*Q161)+($AF$7*R161*$T$5))/2)*$O$7*1.15))))</f>
        <v>784795.42359260004</v>
      </c>
      <c r="AD161" s="14"/>
      <c r="AE161" s="14"/>
      <c r="AF161" s="14"/>
      <c r="AI161" s="9"/>
      <c r="AJ161" s="1"/>
      <c r="AK161" s="1"/>
      <c r="AL161" s="1"/>
      <c r="AM161" s="1"/>
      <c r="AN161" s="1"/>
      <c r="AO161" s="1"/>
      <c r="AP161" s="9"/>
      <c r="AQ161" s="3"/>
      <c r="AR161" s="4"/>
      <c r="AS161" s="1"/>
      <c r="AT161" s="1"/>
      <c r="AU161" s="1"/>
      <c r="AV161" s="1"/>
      <c r="AW161" s="1"/>
      <c r="AX161" s="3"/>
      <c r="AY161" s="3"/>
      <c r="AZ161" s="5"/>
      <c r="BA161" s="5"/>
      <c r="BB161" s="5"/>
      <c r="BC161" s="5"/>
      <c r="BD161" s="6"/>
      <c r="BE161" s="6"/>
      <c r="BF161" s="12"/>
      <c r="BG161" s="12"/>
      <c r="BH161" s="12"/>
      <c r="BI161" s="12"/>
      <c r="BJ161" s="12"/>
    </row>
    <row r="162" spans="2:62" x14ac:dyDescent="0.25">
      <c r="B162" s="1" t="s">
        <v>1180</v>
      </c>
      <c r="C162" s="1" t="s">
        <v>1656</v>
      </c>
      <c r="D162" s="1" t="s">
        <v>1190</v>
      </c>
      <c r="E162" s="1" t="s">
        <v>1657</v>
      </c>
      <c r="F162" s="1" t="s">
        <v>1658</v>
      </c>
      <c r="G162" s="1" t="s">
        <v>1218</v>
      </c>
      <c r="H162" s="1" t="s">
        <v>1219</v>
      </c>
      <c r="I162" s="7" t="s">
        <v>1187</v>
      </c>
      <c r="J162" s="44">
        <v>1</v>
      </c>
      <c r="K162" s="45">
        <v>1</v>
      </c>
      <c r="L162" s="1">
        <v>998</v>
      </c>
      <c r="M162" s="1" t="s">
        <v>1188</v>
      </c>
      <c r="N162" s="1" t="s">
        <v>1141</v>
      </c>
      <c r="O162" s="1" t="s">
        <v>1189</v>
      </c>
      <c r="P162" s="7" t="s">
        <v>1074</v>
      </c>
      <c r="Q162" s="44">
        <f>IF($L162=996,Multipliers!C$174,IF($L162=997,Multipliers!C$175,IF($L162=998,Multipliers!C$176,"NONE")))</f>
        <v>1.34</v>
      </c>
      <c r="R162" s="44">
        <f>IF($L162=996,Multipliers!C$5,IF($L162=997,Multipliers!C$6,IF($L162=998,Multipliers!C$7,"NONE")))</f>
        <v>1.36</v>
      </c>
      <c r="S162" s="46">
        <f t="shared" si="55"/>
        <v>594517.10990000016</v>
      </c>
      <c r="T162" s="46">
        <f t="shared" si="56"/>
        <v>604836.82559999998</v>
      </c>
      <c r="U162" s="46">
        <f t="shared" si="57"/>
        <v>598788.45734399999</v>
      </c>
      <c r="V162" s="46">
        <f>((S162+U162)/2*1.2)</f>
        <v>715983.34034640016</v>
      </c>
      <c r="W162" s="47">
        <f t="shared" si="53"/>
        <v>715983.34034640016</v>
      </c>
      <c r="X162" s="47"/>
      <c r="Y162" s="48">
        <f>IF(N162="Standard",(((($Z$3*Q162)+($AD$3*R162*$T$5))/2)*$O$7*1.2),IF(N162="Severe",(((($AA$3*Q162)+($AE$3*R162*$T$5))/2)*$O$7*1.2),IF(N162="Hostile",(((($AB$3*Q162)+($AF$3*R162*$T$5))/2)*$O$7*1.2))))</f>
        <v>573912.50187599997</v>
      </c>
      <c r="Z162" s="48">
        <f>IF(N162="Standard",(((($Z$4*Q162)+($AD$4*R162*$T$5))/2)*$O$7*1.2),IF(N162="Severe",(((($AA$4*Q162)+($AE$4*R162*$T$5))/2)*$O$7*1.2),IF(N162="Hostile",(((($AB$4*Q162)+($AF$4*R162*$T$5))/2)*$O$7*1.2))))</f>
        <v>633906.89508719998</v>
      </c>
      <c r="AA162" s="48">
        <f>IF(N162="Standard",(((($Z$5*Q162)+($AD$5*R162*$T$5))/2)*$O$7*1.2),IF(N162="Severe",(((($AA$5*Q162)+($AE$5*R162*$T$5))/2)*$O$7*1.2),IF(N162="Hostile",((($AB$5*Q162)+($AF$5*R162*$T$5))/2)*$O$7*1.2)))</f>
        <v>715983.34034640016</v>
      </c>
      <c r="AB162" s="48">
        <f>IF(N162="Standard",(((($Z$6*Q162)+($AD$6*R162*$T$5))/2)*$O$7*1.2),IF(N162="Severe",(((($AA$6*Q162)+($AE$6*R162*$T$5))/2)*$O$7*1.2),IF(N162="Hostile",((($AB$6*Q162)+($AF$6*R162*$T$5))/2)*$O$7*1.2)))</f>
        <v>775980.51116880018</v>
      </c>
      <c r="AC162" s="48">
        <f>IF(N162="Standard",((($Z$7*Q162)+($AD$7*R162*$T$5))/2)*$O$7*1.2,IF(N162="Severe",((($AA$7*Q162)+($AE$7*R162*$T$5))/2)*$O$7*1.2,IF(N162="Hostile",((($AB$7*Q162)+($AF$7*R162*$T$5))/2)*$O$7*1.2)))</f>
        <v>837476.24333520012</v>
      </c>
      <c r="AD162" s="1"/>
      <c r="AE162" s="1"/>
      <c r="AF162" s="1"/>
      <c r="AI162" s="9"/>
      <c r="AJ162" s="1"/>
      <c r="AK162" s="1"/>
      <c r="AL162" s="1"/>
      <c r="AM162" s="1"/>
      <c r="AN162" s="1"/>
      <c r="AO162" s="1"/>
      <c r="AP162" s="9"/>
      <c r="AQ162" s="3"/>
      <c r="AR162" s="4"/>
      <c r="AS162" s="1"/>
      <c r="AT162" s="1"/>
      <c r="AU162" s="1"/>
      <c r="AV162" s="1"/>
      <c r="AW162" s="1"/>
      <c r="AX162" s="3"/>
      <c r="AY162" s="3"/>
      <c r="AZ162" s="5"/>
      <c r="BA162" s="5"/>
      <c r="BB162" s="5"/>
      <c r="BC162" s="5"/>
      <c r="BD162" s="6"/>
      <c r="BE162" s="6"/>
      <c r="BF162" s="12"/>
      <c r="BG162" s="12"/>
      <c r="BH162" s="12"/>
      <c r="BI162" s="12"/>
      <c r="BJ162" s="12"/>
    </row>
    <row r="163" spans="2:62" x14ac:dyDescent="0.25">
      <c r="B163" s="1" t="s">
        <v>1180</v>
      </c>
      <c r="C163" s="1" t="s">
        <v>1659</v>
      </c>
      <c r="D163" s="1" t="s">
        <v>1190</v>
      </c>
      <c r="E163" s="1" t="s">
        <v>1660</v>
      </c>
      <c r="F163" s="1" t="s">
        <v>1661</v>
      </c>
      <c r="G163" s="1" t="s">
        <v>1210</v>
      </c>
      <c r="H163" s="1" t="s">
        <v>1211</v>
      </c>
      <c r="I163" s="7" t="s">
        <v>1187</v>
      </c>
      <c r="J163" s="44">
        <v>1</v>
      </c>
      <c r="K163" s="45">
        <v>1</v>
      </c>
      <c r="L163" s="1">
        <v>997</v>
      </c>
      <c r="M163" s="1" t="s">
        <v>1188</v>
      </c>
      <c r="N163" s="1" t="s">
        <v>1141</v>
      </c>
      <c r="O163" s="1" t="s">
        <v>1189</v>
      </c>
      <c r="P163" s="7" t="s">
        <v>1073</v>
      </c>
      <c r="Q163" s="44">
        <f>IF($L163=996,Multipliers!C$174,IF($L163=997,Multipliers!C$175,IF($L163=998,Multipliers!C$176,"NONE")))</f>
        <v>1.3</v>
      </c>
      <c r="R163" s="44">
        <f>IF($L163=996,Multipliers!C$5,IF($L163=997,Multipliers!C$6,IF($L163=998,Multipliers!C$7,"NONE")))</f>
        <v>1.34</v>
      </c>
      <c r="S163" s="46">
        <f t="shared" si="55"/>
        <v>576770.33050000016</v>
      </c>
      <c r="T163" s="46">
        <f t="shared" si="56"/>
        <v>595942.1664000001</v>
      </c>
      <c r="U163" s="46">
        <f t="shared" si="57"/>
        <v>589982.74473600008</v>
      </c>
      <c r="V163" s="46">
        <f>((S163+U163)/2*1.15)</f>
        <v>670883.01826070005</v>
      </c>
      <c r="W163" s="47">
        <f t="shared" si="53"/>
        <v>670883.01826070005</v>
      </c>
      <c r="X163" s="47"/>
      <c r="Y163" s="48">
        <f>IF(N163="Standard",(((($Z$3*Q163)+($AD$3*R163*$T$5))/2)*$O$7*1.15),IF(N163="Severe",(((($AA$3*Q163)+($AE$3*R163*$T$5))/2)*$O$7*1.15),IF(N163="Hostile",(((($AB$3*Q163)+($AF$3*R163*$T$5))/2)*$O$7*1.15))))</f>
        <v>537627.23286300001</v>
      </c>
      <c r="Z163" s="48">
        <f>IF(N163="Standard",(((($Z$4*Q163)+($AD$4*R163*$T$5))/2)*$O$7*1.15),IF(N163="Severe",(((($AA$4*Q163)+($AE$4*R163*$T$5))/2)*$O$7*1.15),IF(N163="Hostile",(((($AB$4*Q163)+($AF$4*R163*$T$5))/2)*$O$7*1.15))))</f>
        <v>593892.8539060998</v>
      </c>
      <c r="AA163" s="48">
        <f>IF(N163="Standard",(((($Z$5*Q163)+($AD$5*R163*$T$5))/2)*$O$7*1.15),IF(N163="Severe",(((($AA$5*Q163)+($AE$5*R163*$T$5))/2)*$O$7*1.15),IF(N163="Hostile",(((($AB$5*Q163)+($AF$5*R163*$T$5))/2)*$O$7*1.15))))</f>
        <v>670883.01826070005</v>
      </c>
      <c r="AB163" s="48">
        <f>IF(N163="Standard",(((($Z$6*Q163)+($AD$6*R163*$T$5))/2)*$O$7*1.15),IF(N163="Severe",(((($AA$6*Q163)+($AE$6*R163*$T$5))/2)*$O$7*1.15),IF(N163="Hostile",(((($AB$6*Q163)+($AF$6*R163*$T$5))/2)*$O$7*1.15))))</f>
        <v>727154.03193440009</v>
      </c>
      <c r="AC163" s="48">
        <f>IF(N163="Standard",(((($Z$7*Q163)+($AD$7*R163*$T$5))/2)*$O$7*1.15),IF(N163="Severe",(((($AA$7*Q163)+($AE$7*R163*$T$5))/2)*$O$7*1.15),IF(N163="Hostile",(((($AB$7*Q163)+($AF$7*R163*$T$5))/2)*$O$7*1.15))))</f>
        <v>784795.42359260004</v>
      </c>
      <c r="AD163" s="1"/>
      <c r="AE163" s="1"/>
      <c r="AF163" s="1"/>
      <c r="AI163" s="9"/>
      <c r="AJ163" s="1"/>
      <c r="AK163" s="1"/>
      <c r="AL163" s="1"/>
      <c r="AM163" s="1"/>
      <c r="AN163" s="1"/>
      <c r="AO163" s="1"/>
      <c r="AP163" s="9"/>
      <c r="AQ163" s="3"/>
      <c r="AR163" s="4"/>
      <c r="AS163" s="1"/>
      <c r="AT163" s="1"/>
      <c r="AU163" s="1"/>
      <c r="AV163" s="1"/>
      <c r="AW163" s="1"/>
      <c r="AX163" s="3"/>
      <c r="AY163" s="3"/>
      <c r="AZ163" s="5"/>
      <c r="BA163" s="5"/>
      <c r="BB163" s="5"/>
      <c r="BC163" s="5"/>
      <c r="BD163" s="6"/>
      <c r="BE163" s="6"/>
      <c r="BF163" s="12"/>
      <c r="BG163" s="12"/>
      <c r="BH163" s="12"/>
      <c r="BI163" s="12"/>
      <c r="BJ163" s="12"/>
    </row>
    <row r="164" spans="2:62" x14ac:dyDescent="0.25">
      <c r="B164" s="1" t="s">
        <v>1180</v>
      </c>
      <c r="C164" s="1" t="s">
        <v>1662</v>
      </c>
      <c r="D164" s="1" t="s">
        <v>1190</v>
      </c>
      <c r="E164" s="1" t="s">
        <v>1663</v>
      </c>
      <c r="F164" s="1" t="s">
        <v>1664</v>
      </c>
      <c r="G164" s="1" t="s">
        <v>1323</v>
      </c>
      <c r="H164" s="1" t="s">
        <v>1324</v>
      </c>
      <c r="I164" s="7" t="s">
        <v>1187</v>
      </c>
      <c r="J164" s="44">
        <v>1</v>
      </c>
      <c r="K164" s="45">
        <v>1</v>
      </c>
      <c r="L164" s="1">
        <v>996</v>
      </c>
      <c r="M164" s="1" t="s">
        <v>1188</v>
      </c>
      <c r="N164" s="1" t="s">
        <v>1141</v>
      </c>
      <c r="O164" s="1" t="s">
        <v>1189</v>
      </c>
      <c r="P164" s="1" t="s">
        <v>1190</v>
      </c>
      <c r="Q164" s="44">
        <f>IF($L164=996,Multipliers!C$174,IF($L164=997,Multipliers!C$175,IF($L164=998,Multipliers!C$176,"NONE")))</f>
        <v>1.29</v>
      </c>
      <c r="R164" s="44">
        <f>IF($L164=996,Multipliers!C$5,IF($L164=997,Multipliers!C$6,IF($L164=998,Multipliers!C$7,"NONE")))</f>
        <v>1.34</v>
      </c>
      <c r="S164" s="46">
        <f t="shared" si="55"/>
        <v>572333.63565000007</v>
      </c>
      <c r="T164" s="46">
        <f t="shared" si="56"/>
        <v>595942.1664000001</v>
      </c>
      <c r="U164" s="46">
        <f t="shared" si="57"/>
        <v>589982.74473600008</v>
      </c>
      <c r="V164" s="46">
        <f>(S164+U164)/2</f>
        <v>581158.19019300002</v>
      </c>
      <c r="W164" s="47">
        <f t="shared" si="53"/>
        <v>581158.19019300002</v>
      </c>
      <c r="X164" s="47"/>
      <c r="Y164" s="48">
        <f>IF(N164="Standard",(((($Z$3*Q164)+($AD$3*R164*$T$5))/2)*$O$7),IF(N164="Severe",(((($AA$3*Q164)+($AE$3*R164*$T$5))/2)*$O$7),IF(N164="Hostile",(((($AB$3*Q164)+($AF$3*R164*$T$5))/2)*$O$7))))</f>
        <v>465666.31849500001</v>
      </c>
      <c r="Z164" s="48">
        <f>IF(N164="Standard",(((($Z$4*Q164)+($AD$4*R164*$T$5))/2)*$O$7),IF(N164="Severe",(((($AA$4*Q164)+($AE$4*R164*$T$5))/2)*$O$7),IF(N164="Hostile",(((($AB$4*Q164)+($AF$4*R164*$T$5))/2)*$O$7))))</f>
        <v>514428.62433899997</v>
      </c>
      <c r="AA164" s="48">
        <f>IF(N164="Standard",((($Z$5*Q164)+($AD$5*R164*$T$5))/2)*$O$7,IF(N164="Severe",((($AA$5*Q164)+($AE$5*R164*$T$5))/2)*$O$7,IF(N164="Hostile",((($AB$5*Q164)+($AF$5*R164*$T$5))/2)*$O$7)))</f>
        <v>581158.19019300013</v>
      </c>
      <c r="AB164" s="48">
        <f>IF(N164="Standard",((($Z$6*Q164)+($AD$6*R164*$T$5))/2)*$O$7,IF(N164="Severe",((($AA$6*Q164)+($AE$6*R164*$T$5))/2)*$O$7,IF(N164="Hostile",((($AB$6*Q164)+($AF$6*R164*$T$5))/2)*$O$7)))</f>
        <v>629926.37213100016</v>
      </c>
      <c r="AC164" s="48">
        <f>IF(N164="Standard",((($Z$7*Q164)+($AD$7*R164*$T$5))/2)*$O$7,IF(N164="Severe",((($AA$7*Q164)+($AE$7*R164*$T$5))/2)*$O$7,IF(N164="Hostile",((($AB$7*Q164)+($AF$7*R164*$T$5))/2)*$O$7)))</f>
        <v>679867.06659900001</v>
      </c>
      <c r="AD164" s="1"/>
      <c r="AE164" s="1"/>
      <c r="AF164" s="1"/>
      <c r="AI164" s="9"/>
      <c r="AJ164" s="1"/>
      <c r="AK164" s="1"/>
      <c r="AL164" s="1"/>
      <c r="AM164" s="1"/>
      <c r="AN164" s="1"/>
      <c r="AO164" s="1"/>
      <c r="AP164" s="9"/>
      <c r="AQ164" s="3"/>
      <c r="AR164" s="4"/>
      <c r="AS164" s="1"/>
      <c r="AT164" s="1"/>
      <c r="AU164" s="1"/>
      <c r="AV164" s="1"/>
      <c r="AW164" s="1"/>
      <c r="AX164" s="3"/>
      <c r="AY164" s="3"/>
      <c r="AZ164" s="5"/>
      <c r="BA164" s="5"/>
      <c r="BB164" s="5"/>
      <c r="BC164" s="5"/>
      <c r="BD164" s="6"/>
      <c r="BE164" s="6"/>
      <c r="BF164" s="12"/>
      <c r="BG164" s="12"/>
      <c r="BH164" s="12"/>
      <c r="BI164" s="12"/>
      <c r="BJ164" s="12"/>
    </row>
    <row r="165" spans="2:62" x14ac:dyDescent="0.25">
      <c r="B165" s="1" t="s">
        <v>1180</v>
      </c>
      <c r="C165" s="1" t="s">
        <v>1665</v>
      </c>
      <c r="D165" s="1" t="s">
        <v>1190</v>
      </c>
      <c r="E165" s="1" t="s">
        <v>1666</v>
      </c>
      <c r="F165" s="84" t="s">
        <v>2650</v>
      </c>
      <c r="G165" s="1" t="s">
        <v>1236</v>
      </c>
      <c r="H165" s="1" t="s">
        <v>1237</v>
      </c>
      <c r="I165" s="7" t="s">
        <v>1187</v>
      </c>
      <c r="J165" s="44">
        <v>1</v>
      </c>
      <c r="K165" s="45">
        <v>1</v>
      </c>
      <c r="L165" s="1">
        <v>998</v>
      </c>
      <c r="M165" s="1" t="s">
        <v>1188</v>
      </c>
      <c r="N165" s="1" t="s">
        <v>1141</v>
      </c>
      <c r="O165" s="1" t="s">
        <v>1189</v>
      </c>
      <c r="P165" s="7" t="s">
        <v>1074</v>
      </c>
      <c r="Q165" s="44">
        <f>IF($L165=996,Multipliers!C$174,IF($L165=997,Multipliers!C$175,IF($L165=998,Multipliers!C$176,"NONE")))</f>
        <v>1.34</v>
      </c>
      <c r="R165" s="44">
        <f>IF($L165=996,Multipliers!C$5,IF($L165=997,Multipliers!C$6,IF($L165=998,Multipliers!C$7,"NONE")))</f>
        <v>1.36</v>
      </c>
      <c r="S165" s="46">
        <f t="shared" ref="S165:S184" si="58">IF(N165="Standard",$O$5*Q165*$O$7,IF(N165="Severe",$O$4*Q165*$O$7,IF(N165="Hostile",$O$3*Q165*$O$7)))</f>
        <v>594517.10990000016</v>
      </c>
      <c r="T165" s="46">
        <f t="shared" ref="T165:T184" si="59">IF(N165="Standard",$P$5*R165*$O$7,IF(N165="Severe",$P$4*R165*$O$7,IF(N165="Hostile",$P$3*R165*$O$7)))</f>
        <v>604836.82559999998</v>
      </c>
      <c r="U165" s="46">
        <f t="shared" si="57"/>
        <v>598788.45734399999</v>
      </c>
      <c r="V165" s="46">
        <f>((S165+U165)/2*1.2)</f>
        <v>715983.34034640016</v>
      </c>
      <c r="W165" s="47">
        <f t="shared" si="53"/>
        <v>715983.34034640016</v>
      </c>
      <c r="X165" s="47"/>
      <c r="Y165" s="48">
        <f>IF(N165="Standard",(((($Z$3*Q165)+($AD$3*R165*$T$5))/2)*$O$7*1.2),IF(N165="Severe",(((($AA$3*Q165)+($AE$3*R165*$T$5))/2)*$O$7*1.2),IF(N165="Hostile",(((($AB$3*Q165)+($AF$3*R165*$T$5))/2)*$O$7*1.2))))</f>
        <v>573912.50187599997</v>
      </c>
      <c r="Z165" s="48">
        <f>IF(N165="Standard",(((($Z$4*Q165)+($AD$4*R165*$T$5))/2)*$O$7*1.2),IF(N165="Severe",(((($AA$4*Q165)+($AE$4*R165*$T$5))/2)*$O$7*1.2),IF(N165="Hostile",(((($AB$4*Q165)+($AF$4*R165*$T$5))/2)*$O$7*1.2))))</f>
        <v>633906.89508719998</v>
      </c>
      <c r="AA165" s="48">
        <f>IF(N165="Standard",(((($Z$5*Q165)+($AD$5*R165*$T$5))/2)*$O$7*1.2),IF(N165="Severe",(((($AA$5*Q165)+($AE$5*R165*$T$5))/2)*$O$7*1.2),IF(N165="Hostile",((($AB$5*Q165)+($AF$5*R165*$T$5))/2)*$O$7*1.2)))</f>
        <v>715983.34034640016</v>
      </c>
      <c r="AB165" s="48">
        <f>IF(N165="Standard",(((($Z$6*Q165)+($AD$6*R165*$T$5))/2)*$O$7*1.2),IF(N165="Severe",(((($AA$6*Q165)+($AE$6*R165*$T$5))/2)*$O$7*1.2),IF(N165="Hostile",((($AB$6*Q165)+($AF$6*R165*$T$5))/2)*$O$7*1.2)))</f>
        <v>775980.51116880018</v>
      </c>
      <c r="AC165" s="48">
        <f>IF(N165="Standard",((($Z$7*Q165)+($AD$7*R165*$T$5))/2)*$O$7*1.2,IF(N165="Severe",((($AA$7*Q165)+($AE$7*R165*$T$5))/2)*$O$7*1.2,IF(N165="Hostile",((($AB$7*Q165)+($AF$7*R165*$T$5))/2)*$O$7*1.2)))</f>
        <v>837476.24333520012</v>
      </c>
      <c r="AD165" s="1"/>
      <c r="AE165" s="1"/>
      <c r="AF165" s="1"/>
      <c r="AI165" s="9"/>
      <c r="AJ165" s="1"/>
      <c r="AK165" s="1"/>
      <c r="AL165" s="1"/>
      <c r="AM165" s="1"/>
      <c r="AN165" s="1"/>
      <c r="AO165" s="1"/>
      <c r="AP165" s="9"/>
      <c r="AQ165" s="3"/>
      <c r="AR165" s="4"/>
      <c r="AS165" s="1"/>
      <c r="AT165" s="1"/>
      <c r="AU165" s="1"/>
      <c r="AV165" s="1"/>
      <c r="AW165" s="1"/>
      <c r="AX165" s="3"/>
      <c r="AY165" s="3"/>
      <c r="AZ165" s="5"/>
      <c r="BA165" s="5"/>
      <c r="BB165" s="5"/>
      <c r="BC165" s="5"/>
      <c r="BD165" s="6"/>
      <c r="BE165" s="6"/>
      <c r="BF165" s="12"/>
      <c r="BG165" s="12"/>
      <c r="BH165" s="12"/>
      <c r="BI165" s="12"/>
      <c r="BJ165" s="12"/>
    </row>
    <row r="166" spans="2:62" x14ac:dyDescent="0.25">
      <c r="B166" s="1" t="s">
        <v>1180</v>
      </c>
      <c r="C166" s="1" t="s">
        <v>1181</v>
      </c>
      <c r="D166" s="1" t="s">
        <v>1667</v>
      </c>
      <c r="E166" s="1" t="s">
        <v>1668</v>
      </c>
      <c r="F166" s="1" t="s">
        <v>1669</v>
      </c>
      <c r="G166" s="1" t="s">
        <v>1294</v>
      </c>
      <c r="H166" s="1" t="s">
        <v>1295</v>
      </c>
      <c r="I166" s="7" t="s">
        <v>1187</v>
      </c>
      <c r="J166" s="44">
        <v>1</v>
      </c>
      <c r="K166" s="45">
        <v>1</v>
      </c>
      <c r="L166" s="1">
        <v>997</v>
      </c>
      <c r="M166" s="1" t="s">
        <v>1188</v>
      </c>
      <c r="N166" s="1" t="s">
        <v>1141</v>
      </c>
      <c r="O166" s="1" t="s">
        <v>1189</v>
      </c>
      <c r="P166" s="7" t="s">
        <v>1073</v>
      </c>
      <c r="Q166" s="44">
        <f>IF($L166=996,Multipliers!C$174,IF($L166=997,Multipliers!C$175,IF($L166=998,Multipliers!C$176,"NONE")))</f>
        <v>1.3</v>
      </c>
      <c r="R166" s="44">
        <f>IF($L166=996,Multipliers!C$5,IF($L166=997,Multipliers!C$6,IF($L166=998,Multipliers!C$7,"NONE")))</f>
        <v>1.34</v>
      </c>
      <c r="S166" s="46">
        <f>IF(N166="Standard",$O$5*Q166*$O$7,IF(N166="Severe",$O$4*Q166*$O$7,IF(N166="Hostile",$O$3*Q166*$O$7)))</f>
        <v>576770.33050000016</v>
      </c>
      <c r="T166" s="46">
        <f>IF(N166="Standard",$P$5*R166*$O$7,IF(N166="Severe",$P$4*R166*$O$7,IF(N166="Hostile",$P$3*R166*$O$7)))</f>
        <v>595942.1664000001</v>
      </c>
      <c r="U166" s="46">
        <f t="shared" si="57"/>
        <v>589982.74473600008</v>
      </c>
      <c r="V166" s="46">
        <f>((S166+U166)/2*1.15)</f>
        <v>670883.01826070005</v>
      </c>
      <c r="W166" s="47">
        <f t="shared" si="53"/>
        <v>670883.01826070005</v>
      </c>
      <c r="X166" s="47"/>
      <c r="Y166" s="48">
        <f>IF(N166="Standard",(((($Z$3*Q166)+($AD$3*R166*$T$5))/2)*$O$7*1.15),IF(N166="Severe",(((($AA$3*Q166)+($AE$3*R166*$T$5))/2)*$O$7*1.15),IF(N166="Hostile",(((($AB$3*Q166)+($AF$3*R166*$T$5))/2)*$O$7*1.15))))</f>
        <v>537627.23286300001</v>
      </c>
      <c r="Z166" s="48">
        <f>IF(N166="Standard",(((($Z$4*Q166)+($AD$4*R166*$T$5))/2)*$O$7*1.15),IF(N166="Severe",(((($AA$4*Q166)+($AE$4*R166*$T$5))/2)*$O$7*1.15),IF(N166="Hostile",(((($AB$4*Q166)+($AF$4*R166*$T$5))/2)*$O$7*1.15))))</f>
        <v>593892.8539060998</v>
      </c>
      <c r="AA166" s="48">
        <f>IF(N166="Standard",(((($Z$5*Q166)+($AD$5*R166*$T$5))/2)*$O$7*1.15),IF(N166="Severe",(((($AA$5*Q166)+($AE$5*R166*$T$5))/2)*$O$7*1.15),IF(N166="Hostile",(((($AB$5*Q166)+($AF$5*R166*$T$5))/2)*$O$7*1.15))))</f>
        <v>670883.01826070005</v>
      </c>
      <c r="AB166" s="48">
        <f>IF(N166="Standard",(((($Z$6*Q166)+($AD$6*R166*$T$5))/2)*$O$7*1.15),IF(N166="Severe",(((($AA$6*Q166)+($AE$6*R166*$T$5))/2)*$O$7*1.15),IF(N166="Hostile",(((($AB$6*Q166)+($AF$6*R166*$T$5))/2)*$O$7*1.15))))</f>
        <v>727154.03193440009</v>
      </c>
      <c r="AC166" s="48">
        <f>IF(N166="Standard",(((($Z$7*Q166)+($AD$7*R166*$T$5))/2)*$O$7*1.15),IF(N166="Severe",(((($AA$7*Q166)+($AE$7*R166*$T$5))/2)*$O$7*1.15),IF(N166="Hostile",(((($AB$7*Q166)+($AF$7*R166*$T$5))/2)*$O$7*1.15))))</f>
        <v>784795.42359260004</v>
      </c>
      <c r="AD166" s="1"/>
      <c r="AE166" s="1"/>
      <c r="AF166" s="1"/>
      <c r="AI166" s="9"/>
      <c r="AJ166" s="1"/>
      <c r="AK166" s="1"/>
      <c r="AL166" s="1"/>
      <c r="AM166" s="1"/>
      <c r="AN166" s="1"/>
      <c r="AO166" s="1"/>
      <c r="AP166" s="9"/>
      <c r="AQ166" s="3"/>
      <c r="AR166" s="4"/>
      <c r="AS166" s="1"/>
      <c r="AT166" s="1"/>
      <c r="AU166" s="1"/>
      <c r="AV166" s="1"/>
      <c r="AW166" s="1"/>
      <c r="AX166" s="3"/>
      <c r="AY166" s="3"/>
      <c r="AZ166" s="5"/>
      <c r="BA166" s="5"/>
      <c r="BB166" s="5"/>
      <c r="BC166" s="5"/>
      <c r="BD166" s="6"/>
      <c r="BE166" s="6"/>
      <c r="BF166" s="12"/>
      <c r="BG166" s="12"/>
      <c r="BH166" s="12"/>
      <c r="BI166" s="12"/>
      <c r="BJ166" s="12"/>
    </row>
    <row r="167" spans="2:62" x14ac:dyDescent="0.25">
      <c r="B167" s="1" t="s">
        <v>1180</v>
      </c>
      <c r="C167" s="1" t="s">
        <v>1670</v>
      </c>
      <c r="D167" s="1" t="s">
        <v>1190</v>
      </c>
      <c r="E167" s="1" t="s">
        <v>1671</v>
      </c>
      <c r="F167" s="1" t="s">
        <v>1672</v>
      </c>
      <c r="G167" s="1" t="s">
        <v>1223</v>
      </c>
      <c r="H167" s="1" t="s">
        <v>1224</v>
      </c>
      <c r="I167" s="7" t="s">
        <v>1187</v>
      </c>
      <c r="J167" s="44">
        <v>1</v>
      </c>
      <c r="K167" s="45">
        <v>1</v>
      </c>
      <c r="L167" s="1">
        <v>997</v>
      </c>
      <c r="M167" s="1" t="s">
        <v>1188</v>
      </c>
      <c r="N167" s="1" t="s">
        <v>1141</v>
      </c>
      <c r="O167" s="1" t="s">
        <v>1189</v>
      </c>
      <c r="P167" s="7" t="s">
        <v>1073</v>
      </c>
      <c r="Q167" s="44">
        <f>IF($L167=996,Multipliers!C$174,IF($L167=997,Multipliers!C$175,IF($L167=998,Multipliers!C$176,"NONE")))</f>
        <v>1.3</v>
      </c>
      <c r="R167" s="44">
        <f>IF($L167=996,Multipliers!C$5,IF($L167=997,Multipliers!C$6,IF($L167=998,Multipliers!C$7,"NONE")))</f>
        <v>1.34</v>
      </c>
      <c r="S167" s="46">
        <f t="shared" si="58"/>
        <v>576770.33050000016</v>
      </c>
      <c r="T167" s="46">
        <f t="shared" si="59"/>
        <v>595942.1664000001</v>
      </c>
      <c r="U167" s="46">
        <f t="shared" si="57"/>
        <v>589982.74473600008</v>
      </c>
      <c r="V167" s="46">
        <f>((S167+U167)/2*1.15)</f>
        <v>670883.01826070005</v>
      </c>
      <c r="W167" s="47">
        <f t="shared" si="53"/>
        <v>670883.01826070005</v>
      </c>
      <c r="X167" s="47"/>
      <c r="Y167" s="48">
        <f>IF(N167="Standard",(((($Z$3*Q167)+($AD$3*R167*$T$5))/2)*$O$7*1.15),IF(N167="Severe",(((($AA$3*Q167)+($AE$3*R167*$T$5))/2)*$O$7*1.15),IF(N167="Hostile",(((($AB$3*Q167)+($AF$3*R167*$T$5))/2)*$O$7*1.15))))</f>
        <v>537627.23286300001</v>
      </c>
      <c r="Z167" s="48">
        <f>IF(N167="Standard",(((($Z$4*Q167)+($AD$4*R167*$T$5))/2)*$O$7*1.15),IF(N167="Severe",(((($AA$4*Q167)+($AE$4*R167*$T$5))/2)*$O$7*1.15),IF(N167="Hostile",(((($AB$4*Q167)+($AF$4*R167*$T$5))/2)*$O$7*1.15))))</f>
        <v>593892.8539060998</v>
      </c>
      <c r="AA167" s="48">
        <f>IF(N167="Standard",(((($Z$5*Q167)+($AD$5*R167*$T$5))/2)*$O$7*1.15),IF(N167="Severe",(((($AA$5*Q167)+($AE$5*R167*$T$5))/2)*$O$7*1.15),IF(N167="Hostile",(((($AB$5*Q167)+($AF$5*R167*$T$5))/2)*$O$7*1.15))))</f>
        <v>670883.01826070005</v>
      </c>
      <c r="AB167" s="48">
        <f>IF(N167="Standard",(((($Z$6*Q167)+($AD$6*R167*$T$5))/2)*$O$7*1.15),IF(N167="Severe",(((($AA$6*Q167)+($AE$6*R167*$T$5))/2)*$O$7*1.15),IF(N167="Hostile",(((($AB$6*Q167)+($AF$6*R167*$T$5))/2)*$O$7*1.15))))</f>
        <v>727154.03193440009</v>
      </c>
      <c r="AC167" s="48">
        <f>IF(N167="Standard",(((($Z$7*Q167)+($AD$7*R167*$T$5))/2)*$O$7*1.15),IF(N167="Severe",(((($AA$7*Q167)+($AE$7*R167*$T$5))/2)*$O$7*1.15),IF(N167="Hostile",(((($AB$7*Q167)+($AF$7*R167*$T$5))/2)*$O$7*1.15))))</f>
        <v>784795.42359260004</v>
      </c>
      <c r="AD167" s="1"/>
      <c r="AE167" s="1"/>
      <c r="AF167" s="1"/>
      <c r="AI167" s="9"/>
      <c r="AJ167" s="1"/>
      <c r="AK167" s="1"/>
      <c r="AL167" s="1"/>
      <c r="AM167" s="1"/>
      <c r="AN167" s="1"/>
      <c r="AO167" s="1"/>
      <c r="AP167" s="9"/>
      <c r="AQ167" s="3"/>
      <c r="AR167" s="4"/>
      <c r="AS167" s="1"/>
      <c r="AT167" s="1"/>
      <c r="AU167" s="1"/>
      <c r="AV167" s="1"/>
      <c r="AW167" s="1"/>
      <c r="AX167" s="3"/>
      <c r="AY167" s="3"/>
      <c r="AZ167" s="5"/>
      <c r="BA167" s="5"/>
      <c r="BB167" s="5"/>
      <c r="BC167" s="5"/>
      <c r="BD167" s="6"/>
      <c r="BE167" s="6"/>
      <c r="BF167" s="12"/>
      <c r="BG167" s="12"/>
      <c r="BH167" s="12"/>
      <c r="BI167" s="12"/>
      <c r="BJ167" s="12"/>
    </row>
    <row r="168" spans="2:62" x14ac:dyDescent="0.25">
      <c r="B168" s="1" t="s">
        <v>1180</v>
      </c>
      <c r="C168" s="1" t="s">
        <v>1673</v>
      </c>
      <c r="D168" s="1" t="s">
        <v>1190</v>
      </c>
      <c r="E168" s="1" t="s">
        <v>1674</v>
      </c>
      <c r="F168" s="1" t="s">
        <v>1675</v>
      </c>
      <c r="G168" s="1" t="s">
        <v>1236</v>
      </c>
      <c r="H168" s="1" t="s">
        <v>1237</v>
      </c>
      <c r="I168" s="7" t="s">
        <v>1187</v>
      </c>
      <c r="J168" s="44">
        <v>1</v>
      </c>
      <c r="K168" s="45">
        <v>1</v>
      </c>
      <c r="L168" s="1">
        <v>997</v>
      </c>
      <c r="M168" s="1" t="s">
        <v>1188</v>
      </c>
      <c r="N168" s="1" t="s">
        <v>1141</v>
      </c>
      <c r="O168" s="1" t="s">
        <v>1189</v>
      </c>
      <c r="P168" s="7" t="s">
        <v>1073</v>
      </c>
      <c r="Q168" s="44">
        <f>IF($L168=996,Multipliers!C$174,IF($L168=997,Multipliers!C$175,IF($L168=998,Multipliers!C$176,"NONE")))</f>
        <v>1.3</v>
      </c>
      <c r="R168" s="44">
        <f>IF($L168=996,Multipliers!C$5,IF($L168=997,Multipliers!C$6,IF($L168=998,Multipliers!C$7,"NONE")))</f>
        <v>1.34</v>
      </c>
      <c r="S168" s="46">
        <f t="shared" si="58"/>
        <v>576770.33050000016</v>
      </c>
      <c r="T168" s="46">
        <f t="shared" si="59"/>
        <v>595942.1664000001</v>
      </c>
      <c r="U168" s="46">
        <f t="shared" si="57"/>
        <v>589982.74473600008</v>
      </c>
      <c r="V168" s="46">
        <f>((S168+U168)/2*1.15)</f>
        <v>670883.01826070005</v>
      </c>
      <c r="W168" s="47">
        <f t="shared" si="53"/>
        <v>670883.01826070005</v>
      </c>
      <c r="X168" s="47"/>
      <c r="Y168" s="48">
        <f>IF(N168="Standard",(((($Z$3*Q168)+($AD$3*R168*$T$5))/2)*$O$7*1.15),IF(N168="Severe",(((($AA$3*Q168)+($AE$3*R168*$T$5))/2)*$O$7*1.15),IF(N168="Hostile",(((($AB$3*Q168)+($AF$3*R168*$T$5))/2)*$O$7*1.15))))</f>
        <v>537627.23286300001</v>
      </c>
      <c r="Z168" s="48">
        <f>IF(N168="Standard",(((($Z$4*Q168)+($AD$4*R168*$T$5))/2)*$O$7*1.15),IF(N168="Severe",(((($AA$4*Q168)+($AE$4*R168*$T$5))/2)*$O$7*1.15),IF(N168="Hostile",(((($AB$4*Q168)+($AF$4*R168*$T$5))/2)*$O$7*1.15))))</f>
        <v>593892.8539060998</v>
      </c>
      <c r="AA168" s="48">
        <f>IF(N168="Standard",(((($Z$5*Q168)+($AD$5*R168*$T$5))/2)*$O$7*1.15),IF(N168="Severe",(((($AA$5*Q168)+($AE$5*R168*$T$5))/2)*$O$7*1.15),IF(N168="Hostile",(((($AB$5*Q168)+($AF$5*R168*$T$5))/2)*$O$7*1.15))))</f>
        <v>670883.01826070005</v>
      </c>
      <c r="AB168" s="48">
        <f>IF(N168="Standard",(((($Z$6*Q168)+($AD$6*R168*$T$5))/2)*$O$7*1.15),IF(N168="Severe",(((($AA$6*Q168)+($AE$6*R168*$T$5))/2)*$O$7*1.15),IF(N168="Hostile",(((($AB$6*Q168)+($AF$6*R168*$T$5))/2)*$O$7*1.15))))</f>
        <v>727154.03193440009</v>
      </c>
      <c r="AC168" s="48">
        <f>IF(N168="Standard",(((($Z$7*Q168)+($AD$7*R168*$T$5))/2)*$O$7*1.15),IF(N168="Severe",(((($AA$7*Q168)+($AE$7*R168*$T$5))/2)*$O$7*1.15),IF(N168="Hostile",(((($AB$7*Q168)+($AF$7*R168*$T$5))/2)*$O$7*1.15))))</f>
        <v>784795.42359260004</v>
      </c>
      <c r="AD168" s="1"/>
      <c r="AE168" s="1"/>
      <c r="AF168" s="1"/>
      <c r="AI168" s="9"/>
      <c r="AJ168" s="1"/>
      <c r="AK168" s="1"/>
      <c r="AL168" s="1"/>
      <c r="AM168" s="1"/>
      <c r="AN168" s="1"/>
      <c r="AO168" s="1"/>
      <c r="AP168" s="9"/>
      <c r="AQ168" s="3"/>
      <c r="AR168" s="4"/>
      <c r="AS168" s="1"/>
      <c r="AT168" s="1"/>
      <c r="AU168" s="1"/>
      <c r="AV168" s="1"/>
      <c r="AW168" s="1"/>
      <c r="AX168" s="3"/>
      <c r="AY168" s="3"/>
      <c r="AZ168" s="5"/>
      <c r="BA168" s="5"/>
      <c r="BB168" s="5"/>
      <c r="BC168" s="5"/>
      <c r="BD168" s="6"/>
      <c r="BE168" s="6"/>
      <c r="BF168" s="12"/>
      <c r="BG168" s="12"/>
      <c r="BH168" s="12"/>
      <c r="BI168" s="12"/>
      <c r="BJ168" s="12"/>
    </row>
    <row r="169" spans="2:62" x14ac:dyDescent="0.25">
      <c r="B169" s="1" t="s">
        <v>1180</v>
      </c>
      <c r="C169" s="1" t="s">
        <v>1676</v>
      </c>
      <c r="D169" s="1" t="s">
        <v>1190</v>
      </c>
      <c r="E169" s="1" t="s">
        <v>1677</v>
      </c>
      <c r="F169" s="1" t="s">
        <v>1678</v>
      </c>
      <c r="G169" s="1" t="s">
        <v>1218</v>
      </c>
      <c r="H169" s="1" t="s">
        <v>1219</v>
      </c>
      <c r="I169" s="7" t="s">
        <v>1187</v>
      </c>
      <c r="J169" s="44">
        <v>1</v>
      </c>
      <c r="K169" s="45">
        <v>1</v>
      </c>
      <c r="L169" s="1">
        <v>997</v>
      </c>
      <c r="M169" s="1" t="s">
        <v>1188</v>
      </c>
      <c r="N169" s="1" t="s">
        <v>1141</v>
      </c>
      <c r="O169" s="1" t="s">
        <v>1189</v>
      </c>
      <c r="P169" s="7" t="s">
        <v>1073</v>
      </c>
      <c r="Q169" s="44">
        <f>IF($L169=996,Multipliers!C$174,IF($L169=997,Multipliers!C$175,IF($L169=998,Multipliers!C$176,"NONE")))</f>
        <v>1.3</v>
      </c>
      <c r="R169" s="44">
        <f>IF($L169=996,Multipliers!C$5,IF($L169=997,Multipliers!C$6,IF($L169=998,Multipliers!C$7,"NONE")))</f>
        <v>1.34</v>
      </c>
      <c r="S169" s="46">
        <f t="shared" si="58"/>
        <v>576770.33050000016</v>
      </c>
      <c r="T169" s="46">
        <f t="shared" si="59"/>
        <v>595942.1664000001</v>
      </c>
      <c r="U169" s="46">
        <f t="shared" si="57"/>
        <v>589982.74473600008</v>
      </c>
      <c r="V169" s="46">
        <f>((S169+U169)/2*1.15)</f>
        <v>670883.01826070005</v>
      </c>
      <c r="W169" s="47">
        <f t="shared" si="53"/>
        <v>670883.01826070005</v>
      </c>
      <c r="X169" s="47"/>
      <c r="Y169" s="48">
        <f>IF(N169="Standard",(((($Z$3*Q169)+($AD$3*R169*$T$5))/2)*$O$7*1.15),IF(N169="Severe",(((($AA$3*Q169)+($AE$3*R169*$T$5))/2)*$O$7*1.15),IF(N169="Hostile",(((($AB$3*Q169)+($AF$3*R169*$T$5))/2)*$O$7*1.15))))</f>
        <v>537627.23286300001</v>
      </c>
      <c r="Z169" s="48">
        <f>IF(N169="Standard",(((($Z$4*Q169)+($AD$4*R169*$T$5))/2)*$O$7*1.15),IF(N169="Severe",(((($AA$4*Q169)+($AE$4*R169*$T$5))/2)*$O$7*1.15),IF(N169="Hostile",(((($AB$4*Q169)+($AF$4*R169*$T$5))/2)*$O$7*1.15))))</f>
        <v>593892.8539060998</v>
      </c>
      <c r="AA169" s="48">
        <f>IF(N169="Standard",(((($Z$5*Q169)+($AD$5*R169*$T$5))/2)*$O$7*1.15),IF(N169="Severe",(((($AA$5*Q169)+($AE$5*R169*$T$5))/2)*$O$7*1.15),IF(N169="Hostile",(((($AB$5*Q169)+($AF$5*R169*$T$5))/2)*$O$7*1.15))))</f>
        <v>670883.01826070005</v>
      </c>
      <c r="AB169" s="48">
        <f>IF(N169="Standard",(((($Z$6*Q169)+($AD$6*R169*$T$5))/2)*$O$7*1.15),IF(N169="Severe",(((($AA$6*Q169)+($AE$6*R169*$T$5))/2)*$O$7*1.15),IF(N169="Hostile",(((($AB$6*Q169)+($AF$6*R169*$T$5))/2)*$O$7*1.15))))</f>
        <v>727154.03193440009</v>
      </c>
      <c r="AC169" s="48">
        <f>IF(N169="Standard",(((($Z$7*Q169)+($AD$7*R169*$T$5))/2)*$O$7*1.15),IF(N169="Severe",(((($AA$7*Q169)+($AE$7*R169*$T$5))/2)*$O$7*1.15),IF(N169="Hostile",(((($AB$7*Q169)+($AF$7*R169*$T$5))/2)*$O$7*1.15))))</f>
        <v>784795.42359260004</v>
      </c>
      <c r="AD169" s="1"/>
      <c r="AE169" s="1"/>
      <c r="AF169" s="1"/>
      <c r="AI169" s="9"/>
      <c r="AJ169" s="1"/>
      <c r="AK169" s="1"/>
      <c r="AL169" s="1"/>
      <c r="AM169" s="1"/>
      <c r="AN169" s="1"/>
      <c r="AO169" s="1"/>
      <c r="AP169" s="9"/>
      <c r="AQ169" s="3"/>
      <c r="AR169" s="4"/>
      <c r="AS169" s="1"/>
      <c r="AT169" s="1"/>
      <c r="AU169" s="1"/>
      <c r="AV169" s="1"/>
      <c r="AW169" s="1"/>
      <c r="AX169" s="3"/>
      <c r="AY169" s="3"/>
      <c r="AZ169" s="5"/>
      <c r="BA169" s="5"/>
      <c r="BB169" s="5"/>
      <c r="BC169" s="5"/>
      <c r="BD169" s="6"/>
      <c r="BE169" s="6"/>
      <c r="BF169" s="12"/>
      <c r="BG169" s="12"/>
      <c r="BH169" s="12"/>
      <c r="BI169" s="12"/>
      <c r="BJ169" s="12"/>
    </row>
    <row r="170" spans="2:62" x14ac:dyDescent="0.25">
      <c r="B170" s="1" t="s">
        <v>1180</v>
      </c>
      <c r="C170" s="1" t="s">
        <v>1679</v>
      </c>
      <c r="D170" s="1" t="s">
        <v>1190</v>
      </c>
      <c r="E170" s="1" t="s">
        <v>1680</v>
      </c>
      <c r="F170" s="1" t="s">
        <v>1681</v>
      </c>
      <c r="G170" s="1" t="s">
        <v>1241</v>
      </c>
      <c r="H170" s="1" t="s">
        <v>1242</v>
      </c>
      <c r="I170" s="7" t="s">
        <v>1187</v>
      </c>
      <c r="J170" s="44">
        <v>1</v>
      </c>
      <c r="K170" s="45">
        <v>1</v>
      </c>
      <c r="L170" s="1">
        <v>998</v>
      </c>
      <c r="M170" s="1" t="s">
        <v>1188</v>
      </c>
      <c r="N170" s="1" t="s">
        <v>1141</v>
      </c>
      <c r="O170" s="1" t="s">
        <v>1189</v>
      </c>
      <c r="P170" s="7" t="s">
        <v>1074</v>
      </c>
      <c r="Q170" s="44">
        <f>IF($L170=996,Multipliers!C$174,IF($L170=997,Multipliers!C$175,IF($L170=998,Multipliers!C$176,"NONE")))</f>
        <v>1.34</v>
      </c>
      <c r="R170" s="44">
        <f>IF($L170=996,Multipliers!C$5,IF($L170=997,Multipliers!C$6,IF($L170=998,Multipliers!C$7,"NONE")))</f>
        <v>1.36</v>
      </c>
      <c r="S170" s="46">
        <f t="shared" si="58"/>
        <v>594517.10990000016</v>
      </c>
      <c r="T170" s="46">
        <f t="shared" si="59"/>
        <v>604836.82559999998</v>
      </c>
      <c r="U170" s="46">
        <f t="shared" si="57"/>
        <v>598788.45734399999</v>
      </c>
      <c r="V170" s="46">
        <f>((S170+U170)/2*1.2)</f>
        <v>715983.34034640016</v>
      </c>
      <c r="W170" s="47">
        <f t="shared" si="53"/>
        <v>715983.34034640016</v>
      </c>
      <c r="X170" s="47"/>
      <c r="Y170" s="48">
        <f>IF(N170="Standard",(((($Z$3*Q170)+($AD$3*R170*$T$5))/2)*$O$7*1.2),IF(N170="Severe",(((($AA$3*Q170)+($AE$3*R170*$T$5))/2)*$O$7*1.2),IF(N170="Hostile",(((($AB$3*Q170)+($AF$3*R170*$T$5))/2)*$O$7*1.2))))</f>
        <v>573912.50187599997</v>
      </c>
      <c r="Z170" s="48">
        <f>IF(N170="Standard",(((($Z$4*Q170)+($AD$4*R170*$T$5))/2)*$O$7*1.2),IF(N170="Severe",(((($AA$4*Q170)+($AE$4*R170*$T$5))/2)*$O$7*1.2),IF(N170="Hostile",(((($AB$4*Q170)+($AF$4*R170*$T$5))/2)*$O$7*1.2))))</f>
        <v>633906.89508719998</v>
      </c>
      <c r="AA170" s="48">
        <f>IF(N170="Standard",(((($Z$5*Q170)+($AD$5*R170*$T$5))/2)*$O$7*1.2),IF(N170="Severe",(((($AA$5*Q170)+($AE$5*R170*$T$5))/2)*$O$7*1.2),IF(N170="Hostile",((($AB$5*Q170)+($AF$5*R170*$T$5))/2)*$O$7*1.2)))</f>
        <v>715983.34034640016</v>
      </c>
      <c r="AB170" s="48">
        <f>IF(N170="Standard",(((($Z$6*Q170)+($AD$6*R170*$T$5))/2)*$O$7*1.2),IF(N170="Severe",(((($AA$6*Q170)+($AE$6*R170*$T$5))/2)*$O$7*1.2),IF(N170="Hostile",((($AB$6*Q170)+($AF$6*R170*$T$5))/2)*$O$7*1.2)))</f>
        <v>775980.51116880018</v>
      </c>
      <c r="AC170" s="48">
        <f>IF(N170="Standard",((($Z$7*Q170)+($AD$7*R170*$T$5))/2)*$O$7*1.2,IF(N170="Severe",((($AA$7*Q170)+($AE$7*R170*$T$5))/2)*$O$7*1.2,IF(N170="Hostile",((($AB$7*Q170)+($AF$7*R170*$T$5))/2)*$O$7*1.2)))</f>
        <v>837476.24333520012</v>
      </c>
      <c r="AD170" s="1"/>
      <c r="AE170" s="1"/>
      <c r="AF170" s="1"/>
      <c r="AI170" s="9"/>
      <c r="AJ170" s="1"/>
      <c r="AK170" s="1"/>
      <c r="AL170" s="1"/>
      <c r="AM170" s="1"/>
      <c r="AN170" s="1"/>
      <c r="AO170" s="1"/>
      <c r="AP170" s="9"/>
      <c r="AQ170" s="3"/>
      <c r="AR170" s="4"/>
      <c r="AS170" s="1"/>
      <c r="AT170" s="1"/>
      <c r="AU170" s="1"/>
      <c r="AV170" s="1"/>
      <c r="AW170" s="1"/>
      <c r="AX170" s="3"/>
      <c r="AY170" s="3"/>
      <c r="AZ170" s="5"/>
      <c r="BA170" s="5"/>
      <c r="BB170" s="5"/>
      <c r="BC170" s="5"/>
      <c r="BD170" s="6"/>
      <c r="BE170" s="6"/>
      <c r="BF170" s="12"/>
      <c r="BG170" s="12"/>
      <c r="BH170" s="12"/>
      <c r="BI170" s="12"/>
      <c r="BJ170" s="12"/>
    </row>
    <row r="171" spans="2:62" x14ac:dyDescent="0.25">
      <c r="B171" s="1" t="s">
        <v>1180</v>
      </c>
      <c r="C171" s="1" t="s">
        <v>1682</v>
      </c>
      <c r="D171" s="1" t="s">
        <v>1190</v>
      </c>
      <c r="E171" s="1" t="s">
        <v>1683</v>
      </c>
      <c r="F171" s="1" t="s">
        <v>1684</v>
      </c>
      <c r="G171" s="1" t="s">
        <v>1218</v>
      </c>
      <c r="H171" s="1" t="s">
        <v>1219</v>
      </c>
      <c r="I171" s="7" t="s">
        <v>1187</v>
      </c>
      <c r="J171" s="44">
        <v>1</v>
      </c>
      <c r="K171" s="45">
        <v>1</v>
      </c>
      <c r="L171" s="1">
        <v>997</v>
      </c>
      <c r="M171" s="1" t="s">
        <v>1188</v>
      </c>
      <c r="N171" s="1" t="s">
        <v>1141</v>
      </c>
      <c r="O171" s="1" t="s">
        <v>1189</v>
      </c>
      <c r="P171" s="7" t="s">
        <v>1073</v>
      </c>
      <c r="Q171" s="44">
        <f>IF($L171=996,Multipliers!C$174,IF($L171=997,Multipliers!C$175,IF($L171=998,Multipliers!C$176,"NONE")))</f>
        <v>1.3</v>
      </c>
      <c r="R171" s="44">
        <f>IF($L171=996,Multipliers!C$5,IF($L171=997,Multipliers!C$6,IF($L171=998,Multipliers!C$7,"NONE")))</f>
        <v>1.34</v>
      </c>
      <c r="S171" s="46">
        <f t="shared" si="58"/>
        <v>576770.33050000016</v>
      </c>
      <c r="T171" s="46">
        <f t="shared" si="59"/>
        <v>595942.1664000001</v>
      </c>
      <c r="U171" s="46">
        <f t="shared" si="57"/>
        <v>589982.74473600008</v>
      </c>
      <c r="V171" s="46">
        <f>((S171+U171)/2*1.15)</f>
        <v>670883.01826070005</v>
      </c>
      <c r="W171" s="47">
        <f t="shared" si="53"/>
        <v>670883.01826070005</v>
      </c>
      <c r="X171" s="47"/>
      <c r="Y171" s="48">
        <f>IF(N171="Standard",(((($Z$3*Q171)+($AD$3*R171*$T$5))/2)*$O$7*1.15),IF(N171="Severe",(((($AA$3*Q171)+($AE$3*R171*$T$5))/2)*$O$7*1.15),IF(N171="Hostile",(((($AB$3*Q171)+($AF$3*R171*$T$5))/2)*$O$7*1.15))))</f>
        <v>537627.23286300001</v>
      </c>
      <c r="Z171" s="48">
        <f>IF(N171="Standard",(((($Z$4*Q171)+($AD$4*R171*$T$5))/2)*$O$7*1.15),IF(N171="Severe",(((($AA$4*Q171)+($AE$4*R171*$T$5))/2)*$O$7*1.15),IF(N171="Hostile",(((($AB$4*Q171)+($AF$4*R171*$T$5))/2)*$O$7*1.15))))</f>
        <v>593892.8539060998</v>
      </c>
      <c r="AA171" s="48">
        <f>IF(N171="Standard",(((($Z$5*Q171)+($AD$5*R171*$T$5))/2)*$O$7*1.15),IF(N171="Severe",(((($AA$5*Q171)+($AE$5*R171*$T$5))/2)*$O$7*1.15),IF(N171="Hostile",(((($AB$5*Q171)+($AF$5*R171*$T$5))/2)*$O$7*1.15))))</f>
        <v>670883.01826070005</v>
      </c>
      <c r="AB171" s="48">
        <f>IF(N171="Standard",(((($Z$6*Q171)+($AD$6*R171*$T$5))/2)*$O$7*1.15),IF(N171="Severe",(((($AA$6*Q171)+($AE$6*R171*$T$5))/2)*$O$7*1.15),IF(N171="Hostile",(((($AB$6*Q171)+($AF$6*R171*$T$5))/2)*$O$7*1.15))))</f>
        <v>727154.03193440009</v>
      </c>
      <c r="AC171" s="48">
        <f>IF(N171="Standard",(((($Z$7*Q171)+($AD$7*R171*$T$5))/2)*$O$7*1.15),IF(N171="Severe",(((($AA$7*Q171)+($AE$7*R171*$T$5))/2)*$O$7*1.15),IF(N171="Hostile",(((($AB$7*Q171)+($AF$7*R171*$T$5))/2)*$O$7*1.15))))</f>
        <v>784795.42359260004</v>
      </c>
      <c r="AD171" s="1"/>
      <c r="AE171" s="1"/>
      <c r="AF171" s="1"/>
      <c r="AI171" s="9"/>
      <c r="AJ171" s="1"/>
      <c r="AK171" s="1"/>
      <c r="AL171" s="1"/>
      <c r="AM171" s="1"/>
      <c r="AN171" s="1"/>
      <c r="AO171" s="1"/>
      <c r="AP171" s="9"/>
      <c r="AQ171" s="3"/>
      <c r="AR171" s="4"/>
      <c r="AS171" s="1"/>
      <c r="AT171" s="1"/>
      <c r="AU171" s="1"/>
      <c r="AV171" s="1"/>
      <c r="AW171" s="1"/>
      <c r="AX171" s="3"/>
      <c r="AY171" s="3"/>
      <c r="AZ171" s="5"/>
      <c r="BA171" s="5"/>
      <c r="BB171" s="5"/>
      <c r="BC171" s="5"/>
      <c r="BD171" s="6"/>
      <c r="BE171" s="6"/>
      <c r="BF171" s="12"/>
      <c r="BG171" s="12"/>
      <c r="BH171" s="12"/>
      <c r="BI171" s="12"/>
      <c r="BJ171" s="12"/>
    </row>
    <row r="172" spans="2:62" x14ac:dyDescent="0.25">
      <c r="B172" s="1" t="s">
        <v>1180</v>
      </c>
      <c r="C172" s="1" t="s">
        <v>1685</v>
      </c>
      <c r="D172" s="1" t="s">
        <v>1190</v>
      </c>
      <c r="E172" s="1" t="s">
        <v>1686</v>
      </c>
      <c r="F172" s="1" t="s">
        <v>1687</v>
      </c>
      <c r="G172" s="1" t="s">
        <v>1202</v>
      </c>
      <c r="H172" s="1" t="s">
        <v>1203</v>
      </c>
      <c r="I172" s="7" t="s">
        <v>1187</v>
      </c>
      <c r="J172" s="44">
        <v>1</v>
      </c>
      <c r="K172" s="45">
        <v>1</v>
      </c>
      <c r="L172" s="1">
        <v>997</v>
      </c>
      <c r="M172" s="1" t="s">
        <v>1188</v>
      </c>
      <c r="N172" s="1" t="s">
        <v>1141</v>
      </c>
      <c r="O172" s="1" t="s">
        <v>1189</v>
      </c>
      <c r="P172" s="7" t="s">
        <v>1073</v>
      </c>
      <c r="Q172" s="44">
        <f>IF($L172=996,Multipliers!C$174,IF($L172=997,Multipliers!C$175,IF($L172=998,Multipliers!C$176,"NONE")))</f>
        <v>1.3</v>
      </c>
      <c r="R172" s="44">
        <f>IF($L172=996,Multipliers!C$5,IF($L172=997,Multipliers!C$6,IF($L172=998,Multipliers!C$7,"NONE")))</f>
        <v>1.34</v>
      </c>
      <c r="S172" s="46">
        <f t="shared" si="58"/>
        <v>576770.33050000016</v>
      </c>
      <c r="T172" s="46">
        <f t="shared" si="59"/>
        <v>595942.1664000001</v>
      </c>
      <c r="U172" s="46">
        <f t="shared" si="57"/>
        <v>589982.74473600008</v>
      </c>
      <c r="V172" s="46">
        <f t="shared" ref="V172:V181" si="60">((S172+U172)/2*1.15)</f>
        <v>670883.01826070005</v>
      </c>
      <c r="W172" s="47">
        <f t="shared" ref="W172:W181" si="61">IF(F172=F173,(V172+V173)/2,IF(F172=F171,(V172+V171)/2,IF(F172&lt;&gt;F171,V172)))</f>
        <v>670883.01826070005</v>
      </c>
      <c r="X172" s="47"/>
      <c r="Y172" s="48">
        <f t="shared" ref="Y172:Y181" si="62">IF(N172="Standard",(((($Z$3*Q172)+($AD$3*R172*$T$5))/2)*$O$7*1.15),IF(N172="Severe",(((($AA$3*Q172)+($AE$3*R172*$T$5))/2)*$O$7*1.15),IF(N172="Hostile",(((($AB$3*Q172)+($AF$3*R172*$T$5))/2)*$O$7*1.15))))</f>
        <v>537627.23286300001</v>
      </c>
      <c r="Z172" s="48">
        <f t="shared" ref="Z172:Z181" si="63">IF(N172="Standard",(((($Z$4*Q172)+($AD$4*R172*$T$5))/2)*$O$7*1.15),IF(N172="Severe",(((($AA$4*Q172)+($AE$4*R172*$T$5))/2)*$O$7*1.15),IF(N172="Hostile",(((($AB$4*Q172)+($AF$4*R172*$T$5))/2)*$O$7*1.15))))</f>
        <v>593892.8539060998</v>
      </c>
      <c r="AA172" s="48">
        <f t="shared" ref="AA172:AA181" si="64">IF(N172="Standard",(((($Z$5*Q172)+($AD$5*R172*$T$5))/2)*$O$7*1.15),IF(N172="Severe",(((($AA$5*Q172)+($AE$5*R172*$T$5))/2)*$O$7*1.15),IF(N172="Hostile",(((($AB$5*Q172)+($AF$5*R172*$T$5))/2)*$O$7*1.15))))</f>
        <v>670883.01826070005</v>
      </c>
      <c r="AB172" s="48">
        <f t="shared" ref="AB172:AB181" si="65">IF(N172="Standard",(((($Z$6*Q172)+($AD$6*R172*$T$5))/2)*$O$7*1.15),IF(N172="Severe",(((($AA$6*Q172)+($AE$6*R172*$T$5))/2)*$O$7*1.15),IF(N172="Hostile",(((($AB$6*Q172)+($AF$6*R172*$T$5))/2)*$O$7*1.15))))</f>
        <v>727154.03193440009</v>
      </c>
      <c r="AC172" s="48">
        <f t="shared" ref="AC172:AC181" si="66">IF(N172="Standard",(((($Z$7*Q172)+($AD$7*R172*$T$5))/2)*$O$7*1.15),IF(N172="Severe",(((($AA$7*Q172)+($AE$7*R172*$T$5))/2)*$O$7*1.15),IF(N172="Hostile",(((($AB$7*Q172)+($AF$7*R172*$T$5))/2)*$O$7*1.15))))</f>
        <v>784795.42359260004</v>
      </c>
      <c r="AD172" s="1"/>
      <c r="AE172" s="1"/>
      <c r="AF172" s="1"/>
      <c r="AI172" s="9"/>
      <c r="AJ172" s="1"/>
      <c r="AK172" s="1"/>
      <c r="AL172" s="1"/>
      <c r="AM172" s="1"/>
      <c r="AN172" s="1"/>
      <c r="AO172" s="1"/>
      <c r="AP172" s="9"/>
      <c r="AQ172" s="3"/>
      <c r="AR172" s="4"/>
      <c r="AS172" s="1"/>
      <c r="AT172" s="1"/>
      <c r="AU172" s="1"/>
      <c r="AV172" s="1"/>
      <c r="AW172" s="1"/>
      <c r="AX172" s="3"/>
      <c r="AY172" s="3"/>
      <c r="AZ172" s="5"/>
      <c r="BA172" s="5"/>
      <c r="BB172" s="5"/>
      <c r="BC172" s="5"/>
      <c r="BD172" s="6"/>
      <c r="BE172" s="6"/>
      <c r="BF172" s="12"/>
      <c r="BG172" s="12"/>
      <c r="BH172" s="12"/>
      <c r="BI172" s="12"/>
      <c r="BJ172" s="12"/>
    </row>
    <row r="173" spans="2:62" x14ac:dyDescent="0.25">
      <c r="B173" s="1" t="s">
        <v>1180</v>
      </c>
      <c r="C173" s="1" t="s">
        <v>1688</v>
      </c>
      <c r="D173" s="1" t="s">
        <v>1190</v>
      </c>
      <c r="E173" s="1" t="s">
        <v>1689</v>
      </c>
      <c r="F173" s="1" t="s">
        <v>1690</v>
      </c>
      <c r="G173" s="1" t="s">
        <v>1202</v>
      </c>
      <c r="H173" s="1" t="s">
        <v>1203</v>
      </c>
      <c r="I173" s="7" t="s">
        <v>1187</v>
      </c>
      <c r="J173" s="44">
        <v>1</v>
      </c>
      <c r="K173" s="45">
        <v>1</v>
      </c>
      <c r="L173" s="1">
        <v>997</v>
      </c>
      <c r="M173" s="1" t="s">
        <v>1188</v>
      </c>
      <c r="N173" s="1" t="s">
        <v>1141</v>
      </c>
      <c r="O173" s="1" t="s">
        <v>1189</v>
      </c>
      <c r="P173" s="7" t="s">
        <v>1073</v>
      </c>
      <c r="Q173" s="44">
        <f>IF($L173=996,Multipliers!C$174,IF($L173=997,Multipliers!C$175,IF($L173=998,Multipliers!C$176,"NONE")))</f>
        <v>1.3</v>
      </c>
      <c r="R173" s="44">
        <f>IF($L173=996,Multipliers!C$5,IF($L173=997,Multipliers!C$6,IF($L173=998,Multipliers!C$7,"NONE")))</f>
        <v>1.34</v>
      </c>
      <c r="S173" s="46">
        <f t="shared" si="58"/>
        <v>576770.33050000016</v>
      </c>
      <c r="T173" s="46">
        <f t="shared" si="59"/>
        <v>595942.1664000001</v>
      </c>
      <c r="U173" s="46">
        <f t="shared" si="57"/>
        <v>589982.74473600008</v>
      </c>
      <c r="V173" s="46">
        <f t="shared" si="60"/>
        <v>670883.01826070005</v>
      </c>
      <c r="W173" s="47">
        <f t="shared" si="61"/>
        <v>670883.01826070005</v>
      </c>
      <c r="X173" s="47"/>
      <c r="Y173" s="48">
        <f t="shared" si="62"/>
        <v>537627.23286300001</v>
      </c>
      <c r="Z173" s="48">
        <f t="shared" si="63"/>
        <v>593892.8539060998</v>
      </c>
      <c r="AA173" s="48">
        <f t="shared" si="64"/>
        <v>670883.01826070005</v>
      </c>
      <c r="AB173" s="48">
        <f t="shared" si="65"/>
        <v>727154.03193440009</v>
      </c>
      <c r="AC173" s="48">
        <f t="shared" si="66"/>
        <v>784795.42359260004</v>
      </c>
      <c r="AD173" s="1"/>
      <c r="AE173" s="1"/>
      <c r="AF173" s="1"/>
      <c r="AI173" s="9"/>
      <c r="AJ173" s="1"/>
      <c r="AK173" s="1"/>
      <c r="AL173" s="1"/>
      <c r="AM173" s="1"/>
      <c r="AN173" s="1"/>
      <c r="AO173" s="1"/>
      <c r="AP173" s="9"/>
      <c r="AQ173" s="3"/>
      <c r="AR173" s="4"/>
      <c r="AS173" s="1"/>
      <c r="AT173" s="1"/>
      <c r="AU173" s="1"/>
      <c r="AV173" s="1"/>
      <c r="AW173" s="1"/>
      <c r="AX173" s="3"/>
      <c r="AY173" s="3"/>
      <c r="AZ173" s="5"/>
      <c r="BA173" s="5"/>
      <c r="BB173" s="5"/>
      <c r="BC173" s="5"/>
      <c r="BD173" s="6"/>
      <c r="BE173" s="6"/>
      <c r="BF173" s="12"/>
      <c r="BG173" s="12"/>
      <c r="BH173" s="12"/>
      <c r="BI173" s="12"/>
      <c r="BJ173" s="12"/>
    </row>
    <row r="174" spans="2:62" x14ac:dyDescent="0.25">
      <c r="B174" s="1" t="s">
        <v>1180</v>
      </c>
      <c r="C174" s="1" t="s">
        <v>1691</v>
      </c>
      <c r="D174" s="1" t="s">
        <v>1190</v>
      </c>
      <c r="E174" s="1" t="s">
        <v>1692</v>
      </c>
      <c r="F174" s="1" t="s">
        <v>1693</v>
      </c>
      <c r="G174" s="1" t="s">
        <v>1185</v>
      </c>
      <c r="H174" s="1" t="s">
        <v>1186</v>
      </c>
      <c r="I174" s="7" t="s">
        <v>1187</v>
      </c>
      <c r="J174" s="44">
        <v>1</v>
      </c>
      <c r="K174" s="45">
        <v>1</v>
      </c>
      <c r="L174" s="1">
        <v>997</v>
      </c>
      <c r="M174" s="1" t="s">
        <v>1188</v>
      </c>
      <c r="N174" s="1" t="s">
        <v>1141</v>
      </c>
      <c r="O174" s="1" t="s">
        <v>1189</v>
      </c>
      <c r="P174" s="7" t="s">
        <v>1073</v>
      </c>
      <c r="Q174" s="44">
        <f>IF($L174=996,Multipliers!C$174,IF($L174=997,Multipliers!C$175,IF($L174=998,Multipliers!C$176,"NONE")))</f>
        <v>1.3</v>
      </c>
      <c r="R174" s="44">
        <f>IF($L174=996,Multipliers!C$5,IF($L174=997,Multipliers!C$6,IF($L174=998,Multipliers!C$7,"NONE")))</f>
        <v>1.34</v>
      </c>
      <c r="S174" s="46">
        <f t="shared" si="58"/>
        <v>576770.33050000016</v>
      </c>
      <c r="T174" s="46">
        <f t="shared" si="59"/>
        <v>595942.1664000001</v>
      </c>
      <c r="U174" s="46">
        <f t="shared" ref="U174:U189" si="67">IF(O174="E",$T$3*T174,IF(O174="C",$T$4*T174,IF(O174="W",$T$5*T174,1)))</f>
        <v>589982.74473600008</v>
      </c>
      <c r="V174" s="46">
        <f t="shared" si="60"/>
        <v>670883.01826070005</v>
      </c>
      <c r="W174" s="47">
        <f t="shared" si="61"/>
        <v>670883.01826070005</v>
      </c>
      <c r="X174" s="47"/>
      <c r="Y174" s="48">
        <f t="shared" si="62"/>
        <v>537627.23286300001</v>
      </c>
      <c r="Z174" s="48">
        <f t="shared" si="63"/>
        <v>593892.8539060998</v>
      </c>
      <c r="AA174" s="48">
        <f t="shared" si="64"/>
        <v>670883.01826070005</v>
      </c>
      <c r="AB174" s="48">
        <f t="shared" si="65"/>
        <v>727154.03193440009</v>
      </c>
      <c r="AC174" s="48">
        <f t="shared" si="66"/>
        <v>784795.42359260004</v>
      </c>
      <c r="AD174" s="1"/>
      <c r="AE174" s="1"/>
      <c r="AF174" s="1"/>
      <c r="AI174" s="9"/>
      <c r="AJ174" s="1"/>
      <c r="AK174" s="1"/>
      <c r="AL174" s="1"/>
      <c r="AM174" s="1"/>
      <c r="AN174" s="1"/>
      <c r="AO174" s="1"/>
      <c r="AP174" s="9"/>
      <c r="AQ174" s="3"/>
      <c r="AR174" s="4"/>
      <c r="AS174" s="1"/>
      <c r="AT174" s="1"/>
      <c r="AU174" s="1"/>
      <c r="AV174" s="1"/>
      <c r="AW174" s="1"/>
      <c r="AX174" s="3"/>
      <c r="AY174" s="3"/>
      <c r="AZ174" s="5"/>
      <c r="BA174" s="5"/>
      <c r="BB174" s="5"/>
      <c r="BC174" s="5"/>
      <c r="BD174" s="6"/>
      <c r="BE174" s="6"/>
      <c r="BF174" s="12"/>
      <c r="BG174" s="12"/>
      <c r="BH174" s="12"/>
      <c r="BI174" s="12"/>
      <c r="BJ174" s="12"/>
    </row>
    <row r="175" spans="2:62" x14ac:dyDescent="0.25">
      <c r="B175" s="1" t="s">
        <v>1180</v>
      </c>
      <c r="C175" s="1" t="s">
        <v>1694</v>
      </c>
      <c r="D175" s="1" t="s">
        <v>1190</v>
      </c>
      <c r="E175" s="1" t="s">
        <v>1695</v>
      </c>
      <c r="F175" s="1" t="s">
        <v>1696</v>
      </c>
      <c r="G175" s="1" t="s">
        <v>1202</v>
      </c>
      <c r="H175" s="1" t="s">
        <v>1203</v>
      </c>
      <c r="I175" s="7" t="s">
        <v>1187</v>
      </c>
      <c r="J175" s="44">
        <v>1</v>
      </c>
      <c r="K175" s="45">
        <v>1</v>
      </c>
      <c r="L175" s="1">
        <v>997</v>
      </c>
      <c r="M175" s="1" t="s">
        <v>1188</v>
      </c>
      <c r="N175" s="1" t="s">
        <v>1141</v>
      </c>
      <c r="O175" s="1" t="s">
        <v>1189</v>
      </c>
      <c r="P175" s="7" t="s">
        <v>1073</v>
      </c>
      <c r="Q175" s="44">
        <f>IF($L175=996,Multipliers!C$174,IF($L175=997,Multipliers!C$175,IF($L175=998,Multipliers!C$176,"NONE")))</f>
        <v>1.3</v>
      </c>
      <c r="R175" s="44">
        <f>IF($L175=996,Multipliers!C$5,IF($L175=997,Multipliers!C$6,IF($L175=998,Multipliers!C$7,"NONE")))</f>
        <v>1.34</v>
      </c>
      <c r="S175" s="46">
        <f>IF(N175="Standard",$O$5*Q175*$O$7,IF(N175="Severe",$O$4*Q175*$O$7,IF(N175="Hostile",$O$3*Q175*$O$7)))</f>
        <v>576770.33050000016</v>
      </c>
      <c r="T175" s="46">
        <f>IF(N175="Standard",$P$5*R175*$O$7,IF(N175="Severe",$P$4*R175*$O$7,IF(N175="Hostile",$P$3*R175*$O$7)))</f>
        <v>595942.1664000001</v>
      </c>
      <c r="U175" s="46">
        <f t="shared" si="67"/>
        <v>589982.74473600008</v>
      </c>
      <c r="V175" s="46">
        <f t="shared" si="60"/>
        <v>670883.01826070005</v>
      </c>
      <c r="W175" s="47">
        <f t="shared" si="61"/>
        <v>670883.01826070005</v>
      </c>
      <c r="X175" s="47"/>
      <c r="Y175" s="48">
        <f t="shared" si="62"/>
        <v>537627.23286300001</v>
      </c>
      <c r="Z175" s="48">
        <f t="shared" si="63"/>
        <v>593892.8539060998</v>
      </c>
      <c r="AA175" s="48">
        <f t="shared" si="64"/>
        <v>670883.01826070005</v>
      </c>
      <c r="AB175" s="48">
        <f t="shared" si="65"/>
        <v>727154.03193440009</v>
      </c>
      <c r="AC175" s="48">
        <f t="shared" si="66"/>
        <v>784795.42359260004</v>
      </c>
      <c r="AD175" s="1"/>
      <c r="AE175" s="1"/>
      <c r="AF175" s="1"/>
      <c r="AI175" s="9"/>
      <c r="AJ175" s="1"/>
      <c r="AK175" s="1"/>
      <c r="AL175" s="1"/>
      <c r="AM175" s="1"/>
      <c r="AN175" s="1"/>
      <c r="AO175" s="1"/>
      <c r="AP175" s="9"/>
      <c r="AQ175" s="3"/>
      <c r="AR175" s="4"/>
      <c r="AS175" s="1"/>
      <c r="AT175" s="1"/>
      <c r="AU175" s="1"/>
      <c r="AV175" s="1"/>
      <c r="AW175" s="1"/>
      <c r="AX175" s="3"/>
      <c r="AY175" s="3"/>
      <c r="AZ175" s="5"/>
      <c r="BA175" s="5"/>
      <c r="BB175" s="5"/>
      <c r="BC175" s="5"/>
      <c r="BD175" s="6"/>
      <c r="BE175" s="6"/>
      <c r="BF175" s="12"/>
      <c r="BG175" s="12"/>
      <c r="BH175" s="12"/>
      <c r="BI175" s="12"/>
      <c r="BJ175" s="12"/>
    </row>
    <row r="176" spans="2:62" x14ac:dyDescent="0.25">
      <c r="B176" s="1" t="s">
        <v>1180</v>
      </c>
      <c r="C176" s="1" t="s">
        <v>1697</v>
      </c>
      <c r="D176" s="1" t="s">
        <v>1190</v>
      </c>
      <c r="E176" s="1" t="s">
        <v>1698</v>
      </c>
      <c r="F176" s="1" t="s">
        <v>1699</v>
      </c>
      <c r="G176" s="1" t="s">
        <v>1202</v>
      </c>
      <c r="H176" s="1" t="s">
        <v>1203</v>
      </c>
      <c r="I176" s="7" t="s">
        <v>1187</v>
      </c>
      <c r="J176" s="44">
        <v>1</v>
      </c>
      <c r="K176" s="45">
        <v>1</v>
      </c>
      <c r="L176" s="1">
        <v>997</v>
      </c>
      <c r="M176" s="1" t="s">
        <v>1188</v>
      </c>
      <c r="N176" s="1" t="s">
        <v>1141</v>
      </c>
      <c r="O176" s="1" t="s">
        <v>1189</v>
      </c>
      <c r="P176" s="7" t="s">
        <v>1073</v>
      </c>
      <c r="Q176" s="44">
        <f>IF($L176=996,Multipliers!C$174,IF($L176=997,Multipliers!C$175,IF($L176=998,Multipliers!C$176,"NONE")))</f>
        <v>1.3</v>
      </c>
      <c r="R176" s="44">
        <f>IF($L176=996,Multipliers!C$5,IF($L176=997,Multipliers!C$6,IF($L176=998,Multipliers!C$7,"NONE")))</f>
        <v>1.34</v>
      </c>
      <c r="S176" s="46">
        <f t="shared" si="58"/>
        <v>576770.33050000016</v>
      </c>
      <c r="T176" s="46">
        <f t="shared" si="59"/>
        <v>595942.1664000001</v>
      </c>
      <c r="U176" s="46">
        <f t="shared" si="67"/>
        <v>589982.74473600008</v>
      </c>
      <c r="V176" s="46">
        <f t="shared" si="60"/>
        <v>670883.01826070005</v>
      </c>
      <c r="W176" s="47">
        <f t="shared" si="61"/>
        <v>670883.01826070005</v>
      </c>
      <c r="X176" s="47"/>
      <c r="Y176" s="48">
        <f t="shared" si="62"/>
        <v>537627.23286300001</v>
      </c>
      <c r="Z176" s="48">
        <f t="shared" si="63"/>
        <v>593892.8539060998</v>
      </c>
      <c r="AA176" s="48">
        <f t="shared" si="64"/>
        <v>670883.01826070005</v>
      </c>
      <c r="AB176" s="48">
        <f t="shared" si="65"/>
        <v>727154.03193440009</v>
      </c>
      <c r="AC176" s="48">
        <f t="shared" si="66"/>
        <v>784795.42359260004</v>
      </c>
      <c r="AD176" s="1"/>
      <c r="AE176" s="1"/>
      <c r="AF176" s="1"/>
      <c r="AI176" s="9"/>
      <c r="AJ176" s="1"/>
      <c r="AK176" s="1"/>
      <c r="AL176" s="1"/>
      <c r="AM176" s="1"/>
      <c r="AN176" s="1"/>
      <c r="AO176" s="1"/>
      <c r="AP176" s="9"/>
      <c r="AQ176" s="3"/>
      <c r="AR176" s="4"/>
      <c r="AS176" s="1"/>
      <c r="AT176" s="1"/>
      <c r="AU176" s="1"/>
      <c r="AV176" s="1"/>
      <c r="AW176" s="1"/>
      <c r="AX176" s="3"/>
      <c r="AY176" s="3"/>
      <c r="AZ176" s="5"/>
      <c r="BA176" s="5"/>
      <c r="BB176" s="5"/>
      <c r="BC176" s="5"/>
      <c r="BD176" s="6"/>
      <c r="BE176" s="6"/>
      <c r="BF176" s="12"/>
      <c r="BG176" s="12"/>
      <c r="BH176" s="12"/>
      <c r="BI176" s="12"/>
      <c r="BJ176" s="12"/>
    </row>
    <row r="177" spans="2:62" x14ac:dyDescent="0.25">
      <c r="B177" s="1" t="s">
        <v>1180</v>
      </c>
      <c r="C177" s="1" t="s">
        <v>1700</v>
      </c>
      <c r="D177" s="1" t="s">
        <v>1190</v>
      </c>
      <c r="E177" s="1" t="s">
        <v>1701</v>
      </c>
      <c r="F177" s="1" t="s">
        <v>1702</v>
      </c>
      <c r="G177" s="1" t="s">
        <v>1185</v>
      </c>
      <c r="H177" s="1" t="s">
        <v>1186</v>
      </c>
      <c r="I177" s="7" t="s">
        <v>1187</v>
      </c>
      <c r="J177" s="44">
        <v>1</v>
      </c>
      <c r="K177" s="45">
        <v>1</v>
      </c>
      <c r="L177" s="1">
        <v>997</v>
      </c>
      <c r="M177" s="1" t="s">
        <v>1188</v>
      </c>
      <c r="N177" s="1" t="s">
        <v>1141</v>
      </c>
      <c r="O177" s="1" t="s">
        <v>1189</v>
      </c>
      <c r="P177" s="7" t="s">
        <v>1073</v>
      </c>
      <c r="Q177" s="44">
        <f>IF($L177=996,Multipliers!C$174,IF($L177=997,Multipliers!C$175,IF($L177=998,Multipliers!C$176,"NONE")))</f>
        <v>1.3</v>
      </c>
      <c r="R177" s="44">
        <f>IF($L177=996,Multipliers!C$5,IF($L177=997,Multipliers!C$6,IF($L177=998,Multipliers!C$7,"NONE")))</f>
        <v>1.34</v>
      </c>
      <c r="S177" s="46">
        <f t="shared" si="58"/>
        <v>576770.33050000016</v>
      </c>
      <c r="T177" s="46">
        <f t="shared" si="59"/>
        <v>595942.1664000001</v>
      </c>
      <c r="U177" s="46">
        <f t="shared" si="67"/>
        <v>589982.74473600008</v>
      </c>
      <c r="V177" s="46">
        <f t="shared" si="60"/>
        <v>670883.01826070005</v>
      </c>
      <c r="W177" s="47">
        <f t="shared" si="61"/>
        <v>670883.01826070005</v>
      </c>
      <c r="X177" s="47"/>
      <c r="Y177" s="48">
        <f t="shared" si="62"/>
        <v>537627.23286300001</v>
      </c>
      <c r="Z177" s="48">
        <f t="shared" si="63"/>
        <v>593892.8539060998</v>
      </c>
      <c r="AA177" s="48">
        <f t="shared" si="64"/>
        <v>670883.01826070005</v>
      </c>
      <c r="AB177" s="48">
        <f t="shared" si="65"/>
        <v>727154.03193440009</v>
      </c>
      <c r="AC177" s="48">
        <f t="shared" si="66"/>
        <v>784795.42359260004</v>
      </c>
      <c r="AD177" s="1"/>
      <c r="AE177" s="1"/>
      <c r="AF177" s="1"/>
      <c r="AI177" s="9"/>
      <c r="AJ177" s="1"/>
      <c r="AK177" s="1"/>
      <c r="AL177" s="1"/>
      <c r="AM177" s="1"/>
      <c r="AN177" s="1"/>
      <c r="AO177" s="1"/>
      <c r="AP177" s="9"/>
      <c r="AQ177" s="3"/>
      <c r="AR177" s="4"/>
      <c r="AS177" s="1"/>
      <c r="AT177" s="1"/>
      <c r="AU177" s="1"/>
      <c r="AV177" s="1"/>
      <c r="AW177" s="1"/>
      <c r="AX177" s="3"/>
      <c r="AY177" s="3"/>
      <c r="AZ177" s="5"/>
      <c r="BA177" s="5"/>
      <c r="BB177" s="5"/>
      <c r="BC177" s="5"/>
      <c r="BD177" s="6"/>
      <c r="BE177" s="6"/>
      <c r="BF177" s="12"/>
      <c r="BG177" s="12"/>
      <c r="BH177" s="12"/>
      <c r="BI177" s="12"/>
      <c r="BJ177" s="12"/>
    </row>
    <row r="178" spans="2:62" x14ac:dyDescent="0.25">
      <c r="B178" s="1" t="s">
        <v>1180</v>
      </c>
      <c r="C178" s="1" t="s">
        <v>1703</v>
      </c>
      <c r="D178" s="1" t="s">
        <v>1190</v>
      </c>
      <c r="E178" s="1" t="s">
        <v>1350</v>
      </c>
      <c r="F178" s="1" t="s">
        <v>1704</v>
      </c>
      <c r="G178" s="1" t="s">
        <v>1202</v>
      </c>
      <c r="H178" s="1" t="s">
        <v>1203</v>
      </c>
      <c r="I178" s="7" t="s">
        <v>1187</v>
      </c>
      <c r="J178" s="44">
        <v>1</v>
      </c>
      <c r="K178" s="45">
        <v>1</v>
      </c>
      <c r="L178" s="1">
        <v>997</v>
      </c>
      <c r="M178" s="1" t="s">
        <v>1188</v>
      </c>
      <c r="N178" s="1" t="s">
        <v>1141</v>
      </c>
      <c r="O178" s="1" t="s">
        <v>1189</v>
      </c>
      <c r="P178" s="7" t="s">
        <v>1073</v>
      </c>
      <c r="Q178" s="44">
        <f>IF($L178=996,Multipliers!C$174,IF($L178=997,Multipliers!C$175,IF($L178=998,Multipliers!C$176,"NONE")))</f>
        <v>1.3</v>
      </c>
      <c r="R178" s="44">
        <f>IF($L178=996,Multipliers!C$5,IF($L178=997,Multipliers!C$6,IF($L178=998,Multipliers!C$7,"NONE")))</f>
        <v>1.34</v>
      </c>
      <c r="S178" s="46">
        <f t="shared" si="58"/>
        <v>576770.33050000016</v>
      </c>
      <c r="T178" s="46">
        <f t="shared" si="59"/>
        <v>595942.1664000001</v>
      </c>
      <c r="U178" s="46">
        <f t="shared" si="67"/>
        <v>589982.74473600008</v>
      </c>
      <c r="V178" s="46">
        <f t="shared" si="60"/>
        <v>670883.01826070005</v>
      </c>
      <c r="W178" s="47">
        <f t="shared" si="61"/>
        <v>670883.01826070005</v>
      </c>
      <c r="X178" s="47"/>
      <c r="Y178" s="48">
        <f t="shared" si="62"/>
        <v>537627.23286300001</v>
      </c>
      <c r="Z178" s="48">
        <f t="shared" si="63"/>
        <v>593892.8539060998</v>
      </c>
      <c r="AA178" s="48">
        <f t="shared" si="64"/>
        <v>670883.01826070005</v>
      </c>
      <c r="AB178" s="48">
        <f t="shared" si="65"/>
        <v>727154.03193440009</v>
      </c>
      <c r="AC178" s="48">
        <f t="shared" si="66"/>
        <v>784795.42359260004</v>
      </c>
      <c r="AD178" s="1"/>
      <c r="AE178" s="1"/>
      <c r="AF178" s="1"/>
      <c r="AI178" s="9"/>
      <c r="AJ178" s="1"/>
      <c r="AK178" s="1"/>
      <c r="AL178" s="1"/>
      <c r="AM178" s="1"/>
      <c r="AN178" s="1"/>
      <c r="AO178" s="1"/>
      <c r="AP178" s="9"/>
      <c r="AQ178" s="3"/>
      <c r="AR178" s="4"/>
      <c r="AS178" s="1"/>
      <c r="AT178" s="1"/>
      <c r="AU178" s="1"/>
      <c r="AV178" s="1"/>
      <c r="AW178" s="1"/>
      <c r="AX178" s="3"/>
      <c r="AY178" s="3"/>
      <c r="AZ178" s="5"/>
      <c r="BA178" s="5"/>
      <c r="BB178" s="5"/>
      <c r="BC178" s="5"/>
      <c r="BD178" s="6"/>
      <c r="BE178" s="6"/>
      <c r="BF178" s="12"/>
      <c r="BG178" s="12"/>
      <c r="BH178" s="12"/>
      <c r="BI178" s="12"/>
      <c r="BJ178" s="12"/>
    </row>
    <row r="179" spans="2:62" x14ac:dyDescent="0.25">
      <c r="B179" s="1" t="s">
        <v>1180</v>
      </c>
      <c r="C179" s="1" t="s">
        <v>1181</v>
      </c>
      <c r="D179" s="1" t="s">
        <v>1705</v>
      </c>
      <c r="E179" s="1" t="s">
        <v>1706</v>
      </c>
      <c r="F179" s="1" t="s">
        <v>1707</v>
      </c>
      <c r="G179" s="1" t="s">
        <v>1210</v>
      </c>
      <c r="H179" s="1" t="s">
        <v>1211</v>
      </c>
      <c r="I179" s="7" t="s">
        <v>1187</v>
      </c>
      <c r="J179" s="44">
        <v>1</v>
      </c>
      <c r="K179" s="45">
        <v>4</v>
      </c>
      <c r="L179" s="1">
        <v>997</v>
      </c>
      <c r="M179" s="1" t="s">
        <v>1188</v>
      </c>
      <c r="N179" s="1" t="s">
        <v>1141</v>
      </c>
      <c r="O179" s="1" t="s">
        <v>1189</v>
      </c>
      <c r="P179" s="7" t="s">
        <v>1073</v>
      </c>
      <c r="Q179" s="44">
        <f>IF($L179=996,Multipliers!C$174,IF($L179=997,Multipliers!C$175,IF($L179=998,Multipliers!C$176,"NONE")))</f>
        <v>1.3</v>
      </c>
      <c r="R179" s="44">
        <f>IF($L179=996,Multipliers!C$5,IF($L179=997,Multipliers!C$6,IF($L179=998,Multipliers!C$7,"NONE")))</f>
        <v>1.34</v>
      </c>
      <c r="S179" s="46">
        <f>IF(N179="Standard",$O$5*Q179*$O$7,IF(N179="Severe",$O$4*Q179*$O$7,IF(N179="Hostile",$O$3*Q179*$O$7)))</f>
        <v>576770.33050000016</v>
      </c>
      <c r="T179" s="46">
        <f>IF(N179="Standard",$P$5*R179*$O$7,IF(N179="Severe",$P$4*R179*$O$7,IF(N179="Hostile",$P$3*R179*$O$7)))</f>
        <v>595942.1664000001</v>
      </c>
      <c r="U179" s="46">
        <f t="shared" si="67"/>
        <v>589982.74473600008</v>
      </c>
      <c r="V179" s="46">
        <f t="shared" si="60"/>
        <v>670883.01826070005</v>
      </c>
      <c r="W179" s="47">
        <f t="shared" si="61"/>
        <v>670883.01826070005</v>
      </c>
      <c r="X179" s="47"/>
      <c r="Y179" s="48">
        <f t="shared" si="62"/>
        <v>537627.23286300001</v>
      </c>
      <c r="Z179" s="48">
        <f t="shared" si="63"/>
        <v>593892.8539060998</v>
      </c>
      <c r="AA179" s="48">
        <f t="shared" si="64"/>
        <v>670883.01826070005</v>
      </c>
      <c r="AB179" s="48">
        <f t="shared" si="65"/>
        <v>727154.03193440009</v>
      </c>
      <c r="AC179" s="48">
        <f t="shared" si="66"/>
        <v>784795.42359260004</v>
      </c>
      <c r="AD179" s="1"/>
      <c r="AE179" s="1"/>
      <c r="AF179" s="1"/>
      <c r="AI179" s="9"/>
      <c r="AJ179" s="1"/>
      <c r="AK179" s="1"/>
      <c r="AL179" s="1"/>
      <c r="AM179" s="1"/>
      <c r="AN179" s="1"/>
      <c r="AO179" s="1"/>
      <c r="AP179" s="9"/>
      <c r="AQ179" s="3"/>
      <c r="AR179" s="4"/>
      <c r="AS179" s="1"/>
      <c r="AT179" s="1"/>
      <c r="AU179" s="1"/>
      <c r="AV179" s="1"/>
      <c r="AW179" s="1"/>
      <c r="AX179" s="3"/>
      <c r="AY179" s="3"/>
      <c r="AZ179" s="5"/>
      <c r="BA179" s="5"/>
      <c r="BB179" s="5"/>
      <c r="BC179" s="5"/>
      <c r="BD179" s="6"/>
      <c r="BE179" s="6"/>
      <c r="BF179" s="12"/>
      <c r="BG179" s="12"/>
      <c r="BH179" s="12"/>
      <c r="BI179" s="12"/>
      <c r="BJ179" s="12"/>
    </row>
    <row r="180" spans="2:62" x14ac:dyDescent="0.25">
      <c r="B180" s="1" t="s">
        <v>1180</v>
      </c>
      <c r="C180" s="1" t="s">
        <v>1708</v>
      </c>
      <c r="D180" s="1" t="s">
        <v>1190</v>
      </c>
      <c r="E180" s="1" t="s">
        <v>1709</v>
      </c>
      <c r="F180" s="1" t="s">
        <v>1710</v>
      </c>
      <c r="G180" s="1" t="s">
        <v>1223</v>
      </c>
      <c r="H180" s="1" t="s">
        <v>1224</v>
      </c>
      <c r="I180" s="7" t="s">
        <v>1187</v>
      </c>
      <c r="J180" s="44">
        <v>1</v>
      </c>
      <c r="K180" s="45">
        <v>1</v>
      </c>
      <c r="L180" s="1">
        <v>997</v>
      </c>
      <c r="M180" s="1" t="s">
        <v>1188</v>
      </c>
      <c r="N180" s="1" t="s">
        <v>1141</v>
      </c>
      <c r="O180" s="1" t="s">
        <v>1189</v>
      </c>
      <c r="P180" s="7" t="s">
        <v>1073</v>
      </c>
      <c r="Q180" s="44">
        <f>IF($L180=996,Multipliers!C$174,IF($L180=997,Multipliers!C$175,IF($L180=998,Multipliers!C$176,"NONE")))</f>
        <v>1.3</v>
      </c>
      <c r="R180" s="44">
        <f>IF($L180=996,Multipliers!C$5,IF($L180=997,Multipliers!C$6,IF($L180=998,Multipliers!C$7,"NONE")))</f>
        <v>1.34</v>
      </c>
      <c r="S180" s="46">
        <f t="shared" si="58"/>
        <v>576770.33050000016</v>
      </c>
      <c r="T180" s="46">
        <f t="shared" si="59"/>
        <v>595942.1664000001</v>
      </c>
      <c r="U180" s="46">
        <f t="shared" si="67"/>
        <v>589982.74473600008</v>
      </c>
      <c r="V180" s="46">
        <f t="shared" si="60"/>
        <v>670883.01826070005</v>
      </c>
      <c r="W180" s="47">
        <f t="shared" si="61"/>
        <v>670883.01826070005</v>
      </c>
      <c r="X180" s="47"/>
      <c r="Y180" s="48">
        <f t="shared" si="62"/>
        <v>537627.23286300001</v>
      </c>
      <c r="Z180" s="48">
        <f t="shared" si="63"/>
        <v>593892.8539060998</v>
      </c>
      <c r="AA180" s="48">
        <f t="shared" si="64"/>
        <v>670883.01826070005</v>
      </c>
      <c r="AB180" s="48">
        <f t="shared" si="65"/>
        <v>727154.03193440009</v>
      </c>
      <c r="AC180" s="48">
        <f t="shared" si="66"/>
        <v>784795.42359260004</v>
      </c>
      <c r="AD180" s="1"/>
      <c r="AE180" s="1"/>
      <c r="AF180" s="1"/>
      <c r="AI180" s="9"/>
      <c r="AJ180" s="1"/>
      <c r="AK180" s="1"/>
      <c r="AL180" s="1"/>
      <c r="AM180" s="1"/>
      <c r="AN180" s="1"/>
      <c r="AO180" s="1"/>
      <c r="AP180" s="9"/>
      <c r="AQ180" s="3"/>
      <c r="AR180" s="4"/>
      <c r="AS180" s="1"/>
      <c r="AT180" s="1"/>
      <c r="AU180" s="1"/>
      <c r="AV180" s="1"/>
      <c r="AW180" s="1"/>
      <c r="AX180" s="3"/>
      <c r="AY180" s="3"/>
      <c r="AZ180" s="5"/>
      <c r="BA180" s="5"/>
      <c r="BB180" s="5"/>
      <c r="BC180" s="5"/>
      <c r="BD180" s="6"/>
      <c r="BE180" s="6"/>
      <c r="BF180" s="12"/>
      <c r="BG180" s="12"/>
      <c r="BH180" s="12"/>
      <c r="BI180" s="12"/>
      <c r="BJ180" s="12"/>
    </row>
    <row r="181" spans="2:62" x14ac:dyDescent="0.25">
      <c r="B181" s="1" t="s">
        <v>1180</v>
      </c>
      <c r="C181" s="1" t="s">
        <v>1711</v>
      </c>
      <c r="D181" s="1" t="s">
        <v>1190</v>
      </c>
      <c r="E181" s="1" t="s">
        <v>1712</v>
      </c>
      <c r="F181" s="1" t="s">
        <v>1713</v>
      </c>
      <c r="G181" s="1" t="s">
        <v>1223</v>
      </c>
      <c r="H181" s="1" t="s">
        <v>1224</v>
      </c>
      <c r="I181" s="7" t="s">
        <v>1187</v>
      </c>
      <c r="J181" s="44">
        <v>1</v>
      </c>
      <c r="K181" s="45">
        <v>1</v>
      </c>
      <c r="L181" s="1">
        <v>997</v>
      </c>
      <c r="M181" s="1" t="s">
        <v>1188</v>
      </c>
      <c r="N181" s="1" t="s">
        <v>1141</v>
      </c>
      <c r="O181" s="1" t="s">
        <v>1189</v>
      </c>
      <c r="P181" s="7" t="s">
        <v>1073</v>
      </c>
      <c r="Q181" s="44">
        <f>IF($L181=996,Multipliers!C$174,IF($L181=997,Multipliers!C$175,IF($L181=998,Multipliers!C$176,"NONE")))</f>
        <v>1.3</v>
      </c>
      <c r="R181" s="44">
        <f>IF($L181=996,Multipliers!C$5,IF($L181=997,Multipliers!C$6,IF($L181=998,Multipliers!C$7,"NONE")))</f>
        <v>1.34</v>
      </c>
      <c r="S181" s="46">
        <f>IF(N181="Standard",$O$5*Q181*$O$7,IF(N181="Severe",$O$4*Q181*$O$7,IF(N181="Hostile",$O$3*Q181*$O$7)))</f>
        <v>576770.33050000016</v>
      </c>
      <c r="T181" s="46">
        <f>IF(N181="Standard",$P$5*R181*$O$7,IF(N181="Severe",$P$4*R181*$O$7,IF(N181="Hostile",$P$3*R181*$O$7)))</f>
        <v>595942.1664000001</v>
      </c>
      <c r="U181" s="46">
        <f t="shared" si="67"/>
        <v>589982.74473600008</v>
      </c>
      <c r="V181" s="46">
        <f t="shared" si="60"/>
        <v>670883.01826070005</v>
      </c>
      <c r="W181" s="47">
        <f t="shared" si="61"/>
        <v>670883.01826070005</v>
      </c>
      <c r="X181" s="47"/>
      <c r="Y181" s="48">
        <f t="shared" si="62"/>
        <v>537627.23286300001</v>
      </c>
      <c r="Z181" s="48">
        <f t="shared" si="63"/>
        <v>593892.8539060998</v>
      </c>
      <c r="AA181" s="48">
        <f t="shared" si="64"/>
        <v>670883.01826070005</v>
      </c>
      <c r="AB181" s="48">
        <f t="shared" si="65"/>
        <v>727154.03193440009</v>
      </c>
      <c r="AC181" s="48">
        <f t="shared" si="66"/>
        <v>784795.42359260004</v>
      </c>
      <c r="AD181" s="1"/>
      <c r="AE181" s="1"/>
      <c r="AF181" s="1"/>
      <c r="AI181" s="9"/>
      <c r="AJ181" s="1"/>
      <c r="AK181" s="1"/>
      <c r="AL181" s="1"/>
      <c r="AM181" s="1"/>
      <c r="AN181" s="1"/>
      <c r="AO181" s="1"/>
      <c r="AP181" s="9"/>
      <c r="AQ181" s="3"/>
      <c r="AR181" s="4"/>
      <c r="AS181" s="1"/>
      <c r="AT181" s="1"/>
      <c r="AU181" s="1"/>
      <c r="AV181" s="1"/>
      <c r="AW181" s="1"/>
      <c r="AX181" s="3"/>
      <c r="AY181" s="3"/>
      <c r="AZ181" s="5"/>
      <c r="BA181" s="5"/>
      <c r="BB181" s="5"/>
      <c r="BC181" s="5"/>
      <c r="BD181" s="6"/>
      <c r="BE181" s="6"/>
      <c r="BF181" s="12"/>
      <c r="BG181" s="12"/>
      <c r="BH181" s="12"/>
      <c r="BI181" s="12"/>
      <c r="BJ181" s="12"/>
    </row>
    <row r="182" spans="2:62" x14ac:dyDescent="0.25">
      <c r="B182" s="1" t="s">
        <v>1180</v>
      </c>
      <c r="C182" s="1" t="s">
        <v>1181</v>
      </c>
      <c r="D182" s="1" t="s">
        <v>1714</v>
      </c>
      <c r="E182" s="1" t="s">
        <v>1715</v>
      </c>
      <c r="F182" s="1" t="s">
        <v>1716</v>
      </c>
      <c r="G182" s="1" t="s">
        <v>1249</v>
      </c>
      <c r="H182" s="1" t="s">
        <v>1250</v>
      </c>
      <c r="I182" s="7" t="s">
        <v>1187</v>
      </c>
      <c r="J182" s="44">
        <v>1</v>
      </c>
      <c r="K182" s="45">
        <v>1</v>
      </c>
      <c r="L182" s="1">
        <v>996</v>
      </c>
      <c r="M182" s="1" t="s">
        <v>1188</v>
      </c>
      <c r="N182" s="1" t="s">
        <v>1141</v>
      </c>
      <c r="O182" s="1" t="s">
        <v>1189</v>
      </c>
      <c r="P182" s="1" t="s">
        <v>1190</v>
      </c>
      <c r="Q182" s="44">
        <f>IF($L182=996,Multipliers!C$174,IF($L182=997,Multipliers!C$175,IF($L182=998,Multipliers!C$176,"NONE")))</f>
        <v>1.29</v>
      </c>
      <c r="R182" s="44">
        <f>IF($L182=996,Multipliers!C$5,IF($L182=997,Multipliers!C$6,IF($L182=998,Multipliers!C$7,"NONE")))</f>
        <v>1.34</v>
      </c>
      <c r="S182" s="46">
        <f>IF(N182="Standard",$O$5*Q182*$O$7,IF(N182="Severe",$O$4*Q182*$O$7,IF(N182="Hostile",$O$3*Q182*$O$7)))</f>
        <v>572333.63565000007</v>
      </c>
      <c r="T182" s="46">
        <f>IF(N182="Standard",$P$5*R182*$O$7,IF(N182="Severe",$P$4*R182*$O$7,IF(N182="Hostile",$P$3*R182*$O$7)))</f>
        <v>595942.1664000001</v>
      </c>
      <c r="U182" s="46">
        <f t="shared" si="67"/>
        <v>589982.74473600008</v>
      </c>
      <c r="V182" s="46">
        <f>(S182+U182)/2</f>
        <v>581158.19019300002</v>
      </c>
      <c r="W182" s="47">
        <f t="shared" ref="W182:W187" si="68">IF(F182=F183,(V182+V183)/2,IF(F182=F181,(V182+V181)/2,IF(F182&lt;&gt;F181,V182)))</f>
        <v>581158.19019300002</v>
      </c>
      <c r="X182" s="47"/>
      <c r="Y182" s="48">
        <f>IF(N182="Standard",(((($Z$3*Q182)+($AD$3*R182*$T$5))/2)*$O$7),IF(N182="Severe",(((($AA$3*Q182)+($AE$3*R182*$T$5))/2)*$O$7),IF(N182="Hostile",(((($AB$3*Q182)+($AF$3*R182*$T$5))/2)*$O$7))))</f>
        <v>465666.31849500001</v>
      </c>
      <c r="Z182" s="48">
        <f>IF(N182="Standard",(((($Z$4*Q182)+($AD$4*R182*$T$5))/2)*$O$7),IF(N182="Severe",(((($AA$4*Q182)+($AE$4*R182*$T$5))/2)*$O$7),IF(N182="Hostile",(((($AB$4*Q182)+($AF$4*R182*$T$5))/2)*$O$7))))</f>
        <v>514428.62433899997</v>
      </c>
      <c r="AA182" s="48">
        <f>IF(N182="Standard",((($Z$5*Q182)+($AD$5*R182*$T$5))/2)*$O$7,IF(N182="Severe",((($AA$5*Q182)+($AE$5*R182*$T$5))/2)*$O$7,IF(N182="Hostile",((($AB$5*Q182)+($AF$5*R182*$T$5))/2)*$O$7)))</f>
        <v>581158.19019300013</v>
      </c>
      <c r="AB182" s="48">
        <f>IF(N182="Standard",((($Z$6*Q182)+($AD$6*R182*$T$5))/2)*$O$7,IF(N182="Severe",((($AA$6*Q182)+($AE$6*R182*$T$5))/2)*$O$7,IF(N182="Hostile",((($AB$6*Q182)+($AF$6*R182*$T$5))/2)*$O$7)))</f>
        <v>629926.37213100016</v>
      </c>
      <c r="AC182" s="48">
        <f>IF(N182="Standard",((($Z$7*Q182)+($AD$7*R182*$T$5))/2)*$O$7,IF(N182="Severe",((($AA$7*Q182)+($AE$7*R182*$T$5))/2)*$O$7,IF(N182="Hostile",((($AB$7*Q182)+($AF$7*R182*$T$5))/2)*$O$7)))</f>
        <v>679867.06659900001</v>
      </c>
      <c r="AD182" s="1"/>
      <c r="AE182" s="1"/>
      <c r="AF182" s="1"/>
      <c r="AI182" s="9"/>
      <c r="AJ182" s="1"/>
      <c r="AK182" s="1"/>
      <c r="AL182" s="1"/>
      <c r="AM182" s="1"/>
      <c r="AN182" s="1"/>
      <c r="AO182" s="1"/>
      <c r="AP182" s="9"/>
      <c r="AQ182" s="3"/>
      <c r="AR182" s="4"/>
      <c r="AS182" s="1"/>
      <c r="AT182" s="1"/>
      <c r="AU182" s="1"/>
      <c r="AV182" s="1"/>
      <c r="AW182" s="1"/>
      <c r="AX182" s="3"/>
      <c r="AY182" s="3"/>
      <c r="AZ182" s="5"/>
      <c r="BA182" s="5"/>
      <c r="BB182" s="5"/>
      <c r="BC182" s="5"/>
      <c r="BD182" s="6"/>
      <c r="BE182" s="6"/>
      <c r="BF182" s="12"/>
      <c r="BG182" s="12"/>
      <c r="BH182" s="12"/>
      <c r="BI182" s="12"/>
      <c r="BJ182" s="12"/>
    </row>
    <row r="183" spans="2:62" x14ac:dyDescent="0.25">
      <c r="B183" s="1" t="s">
        <v>1180</v>
      </c>
      <c r="C183" s="1" t="s">
        <v>1717</v>
      </c>
      <c r="D183" s="1" t="s">
        <v>1190</v>
      </c>
      <c r="E183" s="1" t="s">
        <v>1718</v>
      </c>
      <c r="F183" s="1" t="s">
        <v>1719</v>
      </c>
      <c r="G183" s="1" t="s">
        <v>1223</v>
      </c>
      <c r="H183" s="1" t="s">
        <v>1224</v>
      </c>
      <c r="I183" s="7" t="s">
        <v>1187</v>
      </c>
      <c r="J183" s="44">
        <v>1</v>
      </c>
      <c r="K183" s="45">
        <v>1</v>
      </c>
      <c r="L183" s="1">
        <v>997</v>
      </c>
      <c r="M183" s="1" t="s">
        <v>1188</v>
      </c>
      <c r="N183" s="1" t="s">
        <v>1141</v>
      </c>
      <c r="O183" s="1" t="s">
        <v>1189</v>
      </c>
      <c r="P183" s="7" t="s">
        <v>1073</v>
      </c>
      <c r="Q183" s="44">
        <f>IF($L183=996,Multipliers!C$174,IF($L183=997,Multipliers!C$175,IF($L183=998,Multipliers!C$176,"NONE")))</f>
        <v>1.3</v>
      </c>
      <c r="R183" s="44">
        <f>IF($L183=996,Multipliers!C$5,IF($L183=997,Multipliers!C$6,IF($L183=998,Multipliers!C$7,"NONE")))</f>
        <v>1.34</v>
      </c>
      <c r="S183" s="46">
        <f t="shared" si="58"/>
        <v>576770.33050000016</v>
      </c>
      <c r="T183" s="46">
        <f t="shared" si="59"/>
        <v>595942.1664000001</v>
      </c>
      <c r="U183" s="46">
        <f t="shared" si="67"/>
        <v>589982.74473600008</v>
      </c>
      <c r="V183" s="46">
        <f>((S183+U183)/2*1.15)</f>
        <v>670883.01826070005</v>
      </c>
      <c r="W183" s="47">
        <f t="shared" si="68"/>
        <v>670883.01826070005</v>
      </c>
      <c r="X183" s="47"/>
      <c r="Y183" s="48">
        <f>IF(N183="Standard",(((($Z$3*Q183)+($AD$3*R183*$T$5))/2)*$O$7*1.15),IF(N183="Severe",(((($AA$3*Q183)+($AE$3*R183*$T$5))/2)*$O$7*1.15),IF(N183="Hostile",(((($AB$3*Q183)+($AF$3*R183*$T$5))/2)*$O$7*1.15))))</f>
        <v>537627.23286300001</v>
      </c>
      <c r="Z183" s="48">
        <f>IF(N183="Standard",(((($Z$4*Q183)+($AD$4*R183*$T$5))/2)*$O$7*1.15),IF(N183="Severe",(((($AA$4*Q183)+($AE$4*R183*$T$5))/2)*$O$7*1.15),IF(N183="Hostile",(((($AB$4*Q183)+($AF$4*R183*$T$5))/2)*$O$7*1.15))))</f>
        <v>593892.8539060998</v>
      </c>
      <c r="AA183" s="48">
        <f>IF(N183="Standard",(((($Z$5*Q183)+($AD$5*R183*$T$5))/2)*$O$7*1.15),IF(N183="Severe",(((($AA$5*Q183)+($AE$5*R183*$T$5))/2)*$O$7*1.15),IF(N183="Hostile",(((($AB$5*Q183)+($AF$5*R183*$T$5))/2)*$O$7*1.15))))</f>
        <v>670883.01826070005</v>
      </c>
      <c r="AB183" s="48">
        <f>IF(N183="Standard",(((($Z$6*Q183)+($AD$6*R183*$T$5))/2)*$O$7*1.15),IF(N183="Severe",(((($AA$6*Q183)+($AE$6*R183*$T$5))/2)*$O$7*1.15),IF(N183="Hostile",(((($AB$6*Q183)+($AF$6*R183*$T$5))/2)*$O$7*1.15))))</f>
        <v>727154.03193440009</v>
      </c>
      <c r="AC183" s="48">
        <f>IF(N183="Standard",(((($Z$7*Q183)+($AD$7*R183*$T$5))/2)*$O$7*1.15),IF(N183="Severe",(((($AA$7*Q183)+($AE$7*R183*$T$5))/2)*$O$7*1.15),IF(N183="Hostile",(((($AB$7*Q183)+($AF$7*R183*$T$5))/2)*$O$7*1.15))))</f>
        <v>784795.42359260004</v>
      </c>
      <c r="AD183" s="1"/>
      <c r="AE183" s="1"/>
      <c r="AF183" s="1"/>
      <c r="AI183" s="9"/>
      <c r="AJ183" s="1"/>
      <c r="AK183" s="1"/>
      <c r="AL183" s="1"/>
      <c r="AM183" s="1"/>
      <c r="AN183" s="1"/>
      <c r="AO183" s="1"/>
      <c r="AP183" s="9"/>
      <c r="AQ183" s="3"/>
      <c r="AR183" s="4"/>
      <c r="AS183" s="1"/>
      <c r="AT183" s="1"/>
      <c r="AU183" s="1"/>
      <c r="AV183" s="1"/>
      <c r="AW183" s="1"/>
      <c r="AX183" s="3"/>
      <c r="AY183" s="3"/>
      <c r="AZ183" s="5"/>
      <c r="BA183" s="5"/>
      <c r="BB183" s="5"/>
      <c r="BC183" s="5"/>
      <c r="BD183" s="6"/>
      <c r="BE183" s="6"/>
      <c r="BF183" s="12"/>
      <c r="BG183" s="12"/>
      <c r="BH183" s="12"/>
      <c r="BI183" s="12"/>
      <c r="BJ183" s="12"/>
    </row>
    <row r="184" spans="2:62" x14ac:dyDescent="0.25">
      <c r="B184" s="1" t="s">
        <v>1180</v>
      </c>
      <c r="C184" s="1" t="s">
        <v>1720</v>
      </c>
      <c r="D184" s="1" t="s">
        <v>1190</v>
      </c>
      <c r="E184" s="1" t="s">
        <v>1721</v>
      </c>
      <c r="F184" s="1" t="s">
        <v>1722</v>
      </c>
      <c r="G184" s="1" t="s">
        <v>1202</v>
      </c>
      <c r="H184" s="1" t="s">
        <v>1203</v>
      </c>
      <c r="I184" s="7" t="s">
        <v>1187</v>
      </c>
      <c r="J184" s="44">
        <v>1</v>
      </c>
      <c r="K184" s="45">
        <v>1</v>
      </c>
      <c r="L184" s="1">
        <v>997</v>
      </c>
      <c r="M184" s="1" t="s">
        <v>1188</v>
      </c>
      <c r="N184" s="1" t="s">
        <v>1141</v>
      </c>
      <c r="O184" s="1" t="s">
        <v>1189</v>
      </c>
      <c r="P184" s="7" t="s">
        <v>1073</v>
      </c>
      <c r="Q184" s="44">
        <f>IF($L184=996,Multipliers!C$174,IF($L184=997,Multipliers!C$175,IF($L184=998,Multipliers!C$176,"NONE")))</f>
        <v>1.3</v>
      </c>
      <c r="R184" s="44">
        <f>IF($L184=996,Multipliers!C$5,IF($L184=997,Multipliers!C$6,IF($L184=998,Multipliers!C$7,"NONE")))</f>
        <v>1.34</v>
      </c>
      <c r="S184" s="46">
        <f t="shared" si="58"/>
        <v>576770.33050000016</v>
      </c>
      <c r="T184" s="46">
        <f t="shared" si="59"/>
        <v>595942.1664000001</v>
      </c>
      <c r="U184" s="46">
        <f t="shared" si="67"/>
        <v>589982.74473600008</v>
      </c>
      <c r="V184" s="46">
        <f>((S184+U184)/2*1.15)</f>
        <v>670883.01826070005</v>
      </c>
      <c r="W184" s="47">
        <f t="shared" si="68"/>
        <v>670883.01826070005</v>
      </c>
      <c r="X184" s="47"/>
      <c r="Y184" s="48">
        <f>IF(N184="Standard",(((($Z$3*Q184)+($AD$3*R184*$T$5))/2)*$O$7*1.15),IF(N184="Severe",(((($AA$3*Q184)+($AE$3*R184*$T$5))/2)*$O$7*1.15),IF(N184="Hostile",(((($AB$3*Q184)+($AF$3*R184*$T$5))/2)*$O$7*1.15))))</f>
        <v>537627.23286300001</v>
      </c>
      <c r="Z184" s="48">
        <f>IF(N184="Standard",(((($Z$4*Q184)+($AD$4*R184*$T$5))/2)*$O$7*1.15),IF(N184="Severe",(((($AA$4*Q184)+($AE$4*R184*$T$5))/2)*$O$7*1.15),IF(N184="Hostile",(((($AB$4*Q184)+($AF$4*R184*$T$5))/2)*$O$7*1.15))))</f>
        <v>593892.8539060998</v>
      </c>
      <c r="AA184" s="48">
        <f>IF(N184="Standard",(((($Z$5*Q184)+($AD$5*R184*$T$5))/2)*$O$7*1.15),IF(N184="Severe",(((($AA$5*Q184)+($AE$5*R184*$T$5))/2)*$O$7*1.15),IF(N184="Hostile",(((($AB$5*Q184)+($AF$5*R184*$T$5))/2)*$O$7*1.15))))</f>
        <v>670883.01826070005</v>
      </c>
      <c r="AB184" s="48">
        <f>IF(N184="Standard",(((($Z$6*Q184)+($AD$6*R184*$T$5))/2)*$O$7*1.15),IF(N184="Severe",(((($AA$6*Q184)+($AE$6*R184*$T$5))/2)*$O$7*1.15),IF(N184="Hostile",(((($AB$6*Q184)+($AF$6*R184*$T$5))/2)*$O$7*1.15))))</f>
        <v>727154.03193440009</v>
      </c>
      <c r="AC184" s="48">
        <f>IF(N184="Standard",(((($Z$7*Q184)+($AD$7*R184*$T$5))/2)*$O$7*1.15),IF(N184="Severe",(((($AA$7*Q184)+($AE$7*R184*$T$5))/2)*$O$7*1.15),IF(N184="Hostile",(((($AB$7*Q184)+($AF$7*R184*$T$5))/2)*$O$7*1.15))))</f>
        <v>784795.42359260004</v>
      </c>
      <c r="AD184" s="1"/>
      <c r="AE184" s="1"/>
      <c r="AF184" s="1"/>
      <c r="AI184" s="9"/>
      <c r="AJ184" s="1"/>
      <c r="AK184" s="1"/>
      <c r="AL184" s="1"/>
      <c r="AM184" s="1"/>
      <c r="AN184" s="1"/>
      <c r="AO184" s="1"/>
      <c r="AP184" s="9"/>
      <c r="AQ184" s="3"/>
      <c r="AR184" s="4"/>
      <c r="AS184" s="1"/>
      <c r="AT184" s="1"/>
      <c r="AU184" s="1"/>
      <c r="AV184" s="1"/>
      <c r="AW184" s="1"/>
      <c r="AX184" s="3"/>
      <c r="AY184" s="3"/>
      <c r="AZ184" s="5"/>
      <c r="BA184" s="5"/>
      <c r="BB184" s="5"/>
      <c r="BC184" s="5"/>
      <c r="BD184" s="6"/>
      <c r="BE184" s="6"/>
      <c r="BF184" s="12"/>
      <c r="BG184" s="12"/>
      <c r="BH184" s="12"/>
      <c r="BI184" s="12"/>
      <c r="BJ184" s="12"/>
    </row>
    <row r="185" spans="2:62" x14ac:dyDescent="0.25">
      <c r="B185" s="1" t="s">
        <v>1180</v>
      </c>
      <c r="C185" s="1" t="s">
        <v>1723</v>
      </c>
      <c r="D185" s="1" t="s">
        <v>1190</v>
      </c>
      <c r="E185" s="1" t="s">
        <v>1724</v>
      </c>
      <c r="F185" s="1" t="s">
        <v>1725</v>
      </c>
      <c r="G185" s="1" t="s">
        <v>1202</v>
      </c>
      <c r="H185" s="1" t="s">
        <v>1203</v>
      </c>
      <c r="I185" s="7" t="s">
        <v>1187</v>
      </c>
      <c r="J185" s="44">
        <v>1</v>
      </c>
      <c r="K185" s="45">
        <v>1</v>
      </c>
      <c r="L185" s="1">
        <v>997</v>
      </c>
      <c r="M185" s="1" t="s">
        <v>1188</v>
      </c>
      <c r="N185" s="1" t="s">
        <v>1141</v>
      </c>
      <c r="O185" s="1" t="s">
        <v>1189</v>
      </c>
      <c r="P185" s="7" t="s">
        <v>1073</v>
      </c>
      <c r="Q185" s="44">
        <f>IF($L185=996,Multipliers!C$174,IF($L185=997,Multipliers!C$175,IF($L185=998,Multipliers!C$176,"NONE")))</f>
        <v>1.3</v>
      </c>
      <c r="R185" s="44">
        <f>IF($L185=996,Multipliers!C$5,IF($L185=997,Multipliers!C$6,IF($L185=998,Multipliers!C$7,"NONE")))</f>
        <v>1.34</v>
      </c>
      <c r="S185" s="46">
        <f t="shared" ref="S185:S192" si="69">IF(N185="Standard",$O$5*Q185*$O$7,IF(N185="Severe",$O$4*Q185*$O$7,IF(N185="Hostile",$O$3*Q185*$O$7)))</f>
        <v>576770.33050000016</v>
      </c>
      <c r="T185" s="46">
        <f t="shared" ref="T185:T192" si="70">IF(N185="Standard",$P$5*R185*$O$7,IF(N185="Severe",$P$4*R185*$O$7,IF(N185="Hostile",$P$3*R185*$O$7)))</f>
        <v>595942.1664000001</v>
      </c>
      <c r="U185" s="46">
        <f t="shared" si="67"/>
        <v>589982.74473600008</v>
      </c>
      <c r="V185" s="46">
        <f>((S185+U185)/2*1.15)</f>
        <v>670883.01826070005</v>
      </c>
      <c r="W185" s="47">
        <f t="shared" si="68"/>
        <v>670883.01826070005</v>
      </c>
      <c r="X185" s="47"/>
      <c r="Y185" s="48">
        <f>IF(N185="Standard",(((($Z$3*Q185)+($AD$3*R185*$T$5))/2)*$O$7*1.15),IF(N185="Severe",(((($AA$3*Q185)+($AE$3*R185*$T$5))/2)*$O$7*1.15),IF(N185="Hostile",(((($AB$3*Q185)+($AF$3*R185*$T$5))/2)*$O$7*1.15))))</f>
        <v>537627.23286300001</v>
      </c>
      <c r="Z185" s="48">
        <f>IF(N185="Standard",(((($Z$4*Q185)+($AD$4*R185*$T$5))/2)*$O$7*1.15),IF(N185="Severe",(((($AA$4*Q185)+($AE$4*R185*$T$5))/2)*$O$7*1.15),IF(N185="Hostile",(((($AB$4*Q185)+($AF$4*R185*$T$5))/2)*$O$7*1.15))))</f>
        <v>593892.8539060998</v>
      </c>
      <c r="AA185" s="48">
        <f>IF(N185="Standard",(((($Z$5*Q185)+($AD$5*R185*$T$5))/2)*$O$7*1.15),IF(N185="Severe",(((($AA$5*Q185)+($AE$5*R185*$T$5))/2)*$O$7*1.15),IF(N185="Hostile",(((($AB$5*Q185)+($AF$5*R185*$T$5))/2)*$O$7*1.15))))</f>
        <v>670883.01826070005</v>
      </c>
      <c r="AB185" s="48">
        <f>IF(N185="Standard",(((($Z$6*Q185)+($AD$6*R185*$T$5))/2)*$O$7*1.15),IF(N185="Severe",(((($AA$6*Q185)+($AE$6*R185*$T$5))/2)*$O$7*1.15),IF(N185="Hostile",(((($AB$6*Q185)+($AF$6*R185*$T$5))/2)*$O$7*1.15))))</f>
        <v>727154.03193440009</v>
      </c>
      <c r="AC185" s="48">
        <f>IF(N185="Standard",(((($Z$7*Q185)+($AD$7*R185*$T$5))/2)*$O$7*1.15),IF(N185="Severe",(((($AA$7*Q185)+($AE$7*R185*$T$5))/2)*$O$7*1.15),IF(N185="Hostile",(((($AB$7*Q185)+($AF$7*R185*$T$5))/2)*$O$7*1.15))))</f>
        <v>784795.42359260004</v>
      </c>
      <c r="AD185" s="1"/>
      <c r="AE185" s="1"/>
      <c r="AF185" s="1"/>
      <c r="AI185" s="9"/>
      <c r="AJ185" s="1"/>
      <c r="AK185" s="1"/>
      <c r="AL185" s="1"/>
      <c r="AM185" s="1"/>
      <c r="AN185" s="1"/>
      <c r="AO185" s="1"/>
      <c r="AP185" s="9"/>
      <c r="AQ185" s="3"/>
      <c r="AR185" s="4"/>
      <c r="AS185" s="1"/>
      <c r="AT185" s="1"/>
      <c r="AU185" s="1"/>
      <c r="AV185" s="1"/>
      <c r="AW185" s="1"/>
      <c r="AX185" s="3"/>
      <c r="AY185" s="3"/>
      <c r="AZ185" s="5"/>
      <c r="BA185" s="5"/>
      <c r="BB185" s="5"/>
      <c r="BC185" s="5"/>
      <c r="BD185" s="6"/>
      <c r="BE185" s="6"/>
      <c r="BF185" s="12"/>
      <c r="BG185" s="12"/>
      <c r="BH185" s="12"/>
      <c r="BI185" s="12"/>
      <c r="BJ185" s="12"/>
    </row>
    <row r="186" spans="2:62" x14ac:dyDescent="0.25">
      <c r="B186" s="1" t="s">
        <v>1180</v>
      </c>
      <c r="C186" s="1" t="s">
        <v>1726</v>
      </c>
      <c r="D186" s="1" t="s">
        <v>1190</v>
      </c>
      <c r="E186" s="1" t="s">
        <v>1727</v>
      </c>
      <c r="F186" s="1" t="s">
        <v>1728</v>
      </c>
      <c r="G186" s="1" t="s">
        <v>1202</v>
      </c>
      <c r="H186" s="1" t="s">
        <v>1203</v>
      </c>
      <c r="I186" s="7" t="s">
        <v>1187</v>
      </c>
      <c r="J186" s="44">
        <v>1</v>
      </c>
      <c r="K186" s="45">
        <v>1</v>
      </c>
      <c r="L186" s="1">
        <v>997</v>
      </c>
      <c r="M186" s="1" t="s">
        <v>1188</v>
      </c>
      <c r="N186" s="1" t="s">
        <v>1141</v>
      </c>
      <c r="O186" s="1" t="s">
        <v>1189</v>
      </c>
      <c r="P186" s="7" t="s">
        <v>1073</v>
      </c>
      <c r="Q186" s="44">
        <f>IF($L186=996,Multipliers!C$174,IF($L186=997,Multipliers!C$175,IF($L186=998,Multipliers!C$176,"NONE")))</f>
        <v>1.3</v>
      </c>
      <c r="R186" s="44">
        <f>IF($L186=996,Multipliers!C$5,IF($L186=997,Multipliers!C$6,IF($L186=998,Multipliers!C$7,"NONE")))</f>
        <v>1.34</v>
      </c>
      <c r="S186" s="46">
        <f t="shared" si="69"/>
        <v>576770.33050000016</v>
      </c>
      <c r="T186" s="46">
        <f t="shared" si="70"/>
        <v>595942.1664000001</v>
      </c>
      <c r="U186" s="46">
        <f t="shared" si="67"/>
        <v>589982.74473600008</v>
      </c>
      <c r="V186" s="46">
        <f>((S186+U186)/2*1.15)</f>
        <v>670883.01826070005</v>
      </c>
      <c r="W186" s="47">
        <f t="shared" si="68"/>
        <v>670883.01826070005</v>
      </c>
      <c r="X186" s="47"/>
      <c r="Y186" s="48">
        <f>IF(N186="Standard",(((($Z$3*Q186)+($AD$3*R186*$T$5))/2)*$O$7*1.15),IF(N186="Severe",(((($AA$3*Q186)+($AE$3*R186*$T$5))/2)*$O$7*1.15),IF(N186="Hostile",(((($AB$3*Q186)+($AF$3*R186*$T$5))/2)*$O$7*1.15))))</f>
        <v>537627.23286300001</v>
      </c>
      <c r="Z186" s="48">
        <f>IF(N186="Standard",(((($Z$4*Q186)+($AD$4*R186*$T$5))/2)*$O$7*1.15),IF(N186="Severe",(((($AA$4*Q186)+($AE$4*R186*$T$5))/2)*$O$7*1.15),IF(N186="Hostile",(((($AB$4*Q186)+($AF$4*R186*$T$5))/2)*$O$7*1.15))))</f>
        <v>593892.8539060998</v>
      </c>
      <c r="AA186" s="48">
        <f>IF(N186="Standard",(((($Z$5*Q186)+($AD$5*R186*$T$5))/2)*$O$7*1.15),IF(N186="Severe",(((($AA$5*Q186)+($AE$5*R186*$T$5))/2)*$O$7*1.15),IF(N186="Hostile",(((($AB$5*Q186)+($AF$5*R186*$T$5))/2)*$O$7*1.15))))</f>
        <v>670883.01826070005</v>
      </c>
      <c r="AB186" s="48">
        <f>IF(N186="Standard",(((($Z$6*Q186)+($AD$6*R186*$T$5))/2)*$O$7*1.15),IF(N186="Severe",(((($AA$6*Q186)+($AE$6*R186*$T$5))/2)*$O$7*1.15),IF(N186="Hostile",(((($AB$6*Q186)+($AF$6*R186*$T$5))/2)*$O$7*1.15))))</f>
        <v>727154.03193440009</v>
      </c>
      <c r="AC186" s="48">
        <f>IF(N186="Standard",(((($Z$7*Q186)+($AD$7*R186*$T$5))/2)*$O$7*1.15),IF(N186="Severe",(((($AA$7*Q186)+($AE$7*R186*$T$5))/2)*$O$7*1.15),IF(N186="Hostile",(((($AB$7*Q186)+($AF$7*R186*$T$5))/2)*$O$7*1.15))))</f>
        <v>784795.42359260004</v>
      </c>
      <c r="AD186" s="1"/>
      <c r="AE186" s="1"/>
      <c r="AF186" s="1"/>
      <c r="AI186" s="9"/>
      <c r="AJ186" s="1"/>
      <c r="AK186" s="1"/>
      <c r="AL186" s="1"/>
      <c r="AM186" s="1"/>
      <c r="AN186" s="1"/>
      <c r="AO186" s="1"/>
      <c r="AP186" s="9"/>
      <c r="AQ186" s="3"/>
      <c r="AR186" s="4"/>
      <c r="AS186" s="1"/>
      <c r="AT186" s="1"/>
      <c r="AU186" s="1"/>
      <c r="AV186" s="1"/>
      <c r="AW186" s="1"/>
      <c r="AX186" s="3"/>
      <c r="AY186" s="3"/>
      <c r="AZ186" s="5"/>
      <c r="BA186" s="5"/>
      <c r="BB186" s="5"/>
      <c r="BC186" s="5"/>
      <c r="BD186" s="6"/>
      <c r="BE186" s="6"/>
      <c r="BF186" s="12"/>
      <c r="BG186" s="12"/>
      <c r="BH186" s="12"/>
      <c r="BI186" s="12"/>
      <c r="BJ186" s="12"/>
    </row>
    <row r="187" spans="2:62" x14ac:dyDescent="0.25">
      <c r="B187" s="1" t="s">
        <v>1180</v>
      </c>
      <c r="C187" s="1" t="s">
        <v>1729</v>
      </c>
      <c r="D187" s="1" t="s">
        <v>1190</v>
      </c>
      <c r="E187" s="1" t="s">
        <v>1730</v>
      </c>
      <c r="F187" s="1" t="s">
        <v>1731</v>
      </c>
      <c r="G187" s="1" t="s">
        <v>1241</v>
      </c>
      <c r="H187" s="1" t="s">
        <v>1242</v>
      </c>
      <c r="I187" s="7" t="s">
        <v>1187</v>
      </c>
      <c r="J187" s="44">
        <v>1</v>
      </c>
      <c r="K187" s="45">
        <v>1</v>
      </c>
      <c r="L187" s="1">
        <v>998</v>
      </c>
      <c r="M187" s="1" t="s">
        <v>1188</v>
      </c>
      <c r="N187" s="1" t="s">
        <v>1141</v>
      </c>
      <c r="O187" s="1" t="s">
        <v>1189</v>
      </c>
      <c r="P187" s="7" t="s">
        <v>1074</v>
      </c>
      <c r="Q187" s="44">
        <f>IF($L187=996,Multipliers!C$174,IF($L187=997,Multipliers!C$175,IF($L187=998,Multipliers!C$176,"NONE")))</f>
        <v>1.34</v>
      </c>
      <c r="R187" s="44">
        <f>IF($L187=996,Multipliers!C$5,IF($L187=997,Multipliers!C$6,IF($L187=998,Multipliers!C$7,"NONE")))</f>
        <v>1.36</v>
      </c>
      <c r="S187" s="46">
        <f t="shared" si="69"/>
        <v>594517.10990000016</v>
      </c>
      <c r="T187" s="46">
        <f t="shared" si="70"/>
        <v>604836.82559999998</v>
      </c>
      <c r="U187" s="46">
        <f t="shared" si="67"/>
        <v>598788.45734399999</v>
      </c>
      <c r="V187" s="46">
        <f>((S187+U187)/2*1.2)</f>
        <v>715983.34034640016</v>
      </c>
      <c r="W187" s="47">
        <f t="shared" si="68"/>
        <v>715983.34034640016</v>
      </c>
      <c r="X187" s="47"/>
      <c r="Y187" s="48">
        <f>IF(N187="Standard",(((($Z$3*Q187)+($AD$3*R187*$T$5))/2)*$O$7*1.2),IF(N187="Severe",(((($AA$3*Q187)+($AE$3*R187*$T$5))/2)*$O$7*1.2),IF(N187="Hostile",(((($AB$3*Q187)+($AF$3*R187*$T$5))/2)*$O$7*1.2))))</f>
        <v>573912.50187599997</v>
      </c>
      <c r="Z187" s="48">
        <f>IF(N187="Standard",(((($Z$4*Q187)+($AD$4*R187*$T$5))/2)*$O$7*1.2),IF(N187="Severe",(((($AA$4*Q187)+($AE$4*R187*$T$5))/2)*$O$7*1.2),IF(N187="Hostile",(((($AB$4*Q187)+($AF$4*R187*$T$5))/2)*$O$7*1.2))))</f>
        <v>633906.89508719998</v>
      </c>
      <c r="AA187" s="48">
        <f>IF(N187="Standard",(((($Z$5*Q187)+($AD$5*R187*$T$5))/2)*$O$7*1.2),IF(N187="Severe",(((($AA$5*Q187)+($AE$5*R187*$T$5))/2)*$O$7*1.2),IF(N187="Hostile",((($AB$5*Q187)+($AF$5*R187*$T$5))/2)*$O$7*1.2)))</f>
        <v>715983.34034640016</v>
      </c>
      <c r="AB187" s="48">
        <f>IF(N187="Standard",(((($Z$6*Q187)+($AD$6*R187*$T$5))/2)*$O$7*1.2),IF(N187="Severe",(((($AA$6*Q187)+($AE$6*R187*$T$5))/2)*$O$7*1.2),IF(N187="Hostile",((($AB$6*Q187)+($AF$6*R187*$T$5))/2)*$O$7*1.2)))</f>
        <v>775980.51116880018</v>
      </c>
      <c r="AC187" s="48">
        <f>IF(N187="Standard",((($Z$7*Q187)+($AD$7*R187*$T$5))/2)*$O$7*1.2,IF(N187="Severe",((($AA$7*Q187)+($AE$7*R187*$T$5))/2)*$O$7*1.2,IF(N187="Hostile",((($AB$7*Q187)+($AF$7*R187*$T$5))/2)*$O$7*1.2)))</f>
        <v>837476.24333520012</v>
      </c>
      <c r="AD187" s="1"/>
      <c r="AE187" s="1"/>
      <c r="AF187" s="1"/>
      <c r="AI187" s="9"/>
      <c r="AJ187" s="1"/>
      <c r="AK187" s="1"/>
      <c r="AL187" s="1"/>
      <c r="AM187" s="1"/>
      <c r="AN187" s="1"/>
      <c r="AO187" s="1"/>
      <c r="AP187" s="9"/>
      <c r="AQ187" s="3"/>
      <c r="AR187" s="4"/>
      <c r="AS187" s="1"/>
      <c r="AT187" s="1"/>
      <c r="AU187" s="1"/>
      <c r="AV187" s="1"/>
      <c r="AW187" s="1"/>
      <c r="AX187" s="3"/>
      <c r="AY187" s="3"/>
      <c r="AZ187" s="5"/>
      <c r="BA187" s="5"/>
      <c r="BB187" s="5"/>
      <c r="BC187" s="5"/>
      <c r="BD187" s="6"/>
      <c r="BE187" s="6"/>
      <c r="BF187" s="12"/>
      <c r="BG187" s="12"/>
      <c r="BH187" s="12"/>
      <c r="BI187" s="12"/>
      <c r="BJ187" s="12"/>
    </row>
    <row r="188" spans="2:62" x14ac:dyDescent="0.25">
      <c r="B188" s="1" t="s">
        <v>1180</v>
      </c>
      <c r="C188" s="1" t="s">
        <v>1732</v>
      </c>
      <c r="D188" s="1" t="s">
        <v>1190</v>
      </c>
      <c r="E188" s="1" t="s">
        <v>1733</v>
      </c>
      <c r="F188" s="1" t="s">
        <v>1734</v>
      </c>
      <c r="G188" s="1" t="s">
        <v>1241</v>
      </c>
      <c r="H188" s="1" t="s">
        <v>1242</v>
      </c>
      <c r="I188" s="7" t="s">
        <v>1187</v>
      </c>
      <c r="J188" s="44">
        <v>1</v>
      </c>
      <c r="K188" s="45">
        <v>1</v>
      </c>
      <c r="L188" s="1">
        <v>998</v>
      </c>
      <c r="M188" s="1" t="s">
        <v>1188</v>
      </c>
      <c r="N188" s="1" t="s">
        <v>1141</v>
      </c>
      <c r="O188" s="1" t="s">
        <v>1189</v>
      </c>
      <c r="P188" s="7" t="s">
        <v>1074</v>
      </c>
      <c r="Q188" s="44">
        <f>IF($L188=996,Multipliers!C$174,IF($L188=997,Multipliers!C$175,IF($L188=998,Multipliers!C$176,"NONE")))</f>
        <v>1.34</v>
      </c>
      <c r="R188" s="44">
        <f>IF($L188=996,Multipliers!C$5,IF($L188=997,Multipliers!C$6,IF($L188=998,Multipliers!C$7,"NONE")))</f>
        <v>1.36</v>
      </c>
      <c r="S188" s="46">
        <f t="shared" si="69"/>
        <v>594517.10990000016</v>
      </c>
      <c r="T188" s="46">
        <f t="shared" si="70"/>
        <v>604836.82559999998</v>
      </c>
      <c r="U188" s="46">
        <f t="shared" si="67"/>
        <v>598788.45734399999</v>
      </c>
      <c r="V188" s="46">
        <f>((S188+U188)/2*1.2)</f>
        <v>715983.34034640016</v>
      </c>
      <c r="W188" s="47">
        <f>IF(F188=F189,(V188+V189)/2,IF(F188=F187,(V188+V187)/2,IF(F188&lt;&gt;F187,V188)))</f>
        <v>715983.34034640016</v>
      </c>
      <c r="X188" s="47"/>
      <c r="Y188" s="48">
        <f>IF(N188="Standard",(((($Z$3*Q188)+($AD$3*R188*$T$5))/2)*$O$7*1.2),IF(N188="Severe",(((($AA$3*Q188)+($AE$3*R188*$T$5))/2)*$O$7*1.2),IF(N188="Hostile",(((($AB$3*Q188)+($AF$3*R188*$T$5))/2)*$O$7*1.2))))</f>
        <v>573912.50187599997</v>
      </c>
      <c r="Z188" s="48">
        <f>IF(N188="Standard",(((($Z$4*Q188)+($AD$4*R188*$T$5))/2)*$O$7*1.2),IF(N188="Severe",(((($AA$4*Q188)+($AE$4*R188*$T$5))/2)*$O$7*1.2),IF(N188="Hostile",(((($AB$4*Q188)+($AF$4*R188*$T$5))/2)*$O$7*1.2))))</f>
        <v>633906.89508719998</v>
      </c>
      <c r="AA188" s="48">
        <f>IF(N188="Standard",(((($Z$5*Q188)+($AD$5*R188*$T$5))/2)*$O$7*1.2),IF(N188="Severe",(((($AA$5*Q188)+($AE$5*R188*$T$5))/2)*$O$7*1.2),IF(N188="Hostile",((($AB$5*Q188)+($AF$5*R188*$T$5))/2)*$O$7*1.2)))</f>
        <v>715983.34034640016</v>
      </c>
      <c r="AB188" s="48">
        <f>IF(N188="Standard",(((($Z$6*Q188)+($AD$6*R188*$T$5))/2)*$O$7*1.2),IF(N188="Severe",(((($AA$6*Q188)+($AE$6*R188*$T$5))/2)*$O$7*1.2),IF(N188="Hostile",((($AB$6*Q188)+($AF$6*R188*$T$5))/2)*$O$7*1.2)))</f>
        <v>775980.51116880018</v>
      </c>
      <c r="AC188" s="48">
        <f>IF(N188="Standard",((($Z$7*Q188)+($AD$7*R188*$T$5))/2)*$O$7*1.2,IF(N188="Severe",((($AA$7*Q188)+($AE$7*R188*$T$5))/2)*$O$7*1.2,IF(N188="Hostile",((($AB$7*Q188)+($AF$7*R188*$T$5))/2)*$O$7*1.2)))</f>
        <v>837476.24333520012</v>
      </c>
      <c r="AD188" s="1"/>
      <c r="AE188" s="1"/>
      <c r="AF188" s="1"/>
      <c r="AI188" s="9"/>
      <c r="AJ188" s="1"/>
      <c r="AK188" s="1"/>
      <c r="AL188" s="1"/>
      <c r="AM188" s="1"/>
      <c r="AN188" s="1"/>
      <c r="AO188" s="1"/>
      <c r="AP188" s="9"/>
      <c r="AQ188" s="3"/>
      <c r="AR188" s="4"/>
      <c r="AS188" s="1"/>
      <c r="AT188" s="1"/>
      <c r="AU188" s="1"/>
      <c r="AV188" s="1"/>
      <c r="AW188" s="1"/>
      <c r="AX188" s="3"/>
      <c r="AY188" s="3"/>
      <c r="AZ188" s="5"/>
      <c r="BA188" s="5"/>
      <c r="BB188" s="5"/>
      <c r="BC188" s="5"/>
      <c r="BD188" s="6"/>
      <c r="BE188" s="6"/>
      <c r="BF188" s="12"/>
      <c r="BG188" s="12"/>
      <c r="BH188" s="12"/>
      <c r="BI188" s="12"/>
      <c r="BJ188" s="12"/>
    </row>
    <row r="189" spans="2:62" x14ac:dyDescent="0.25">
      <c r="B189" s="1" t="s">
        <v>1180</v>
      </c>
      <c r="C189" s="1" t="s">
        <v>1735</v>
      </c>
      <c r="D189" s="1" t="s">
        <v>1190</v>
      </c>
      <c r="E189" s="1" t="s">
        <v>1736</v>
      </c>
      <c r="F189" s="1" t="s">
        <v>1737</v>
      </c>
      <c r="G189" s="1" t="s">
        <v>1312</v>
      </c>
      <c r="H189" s="1" t="s">
        <v>1313</v>
      </c>
      <c r="I189" s="7" t="s">
        <v>1187</v>
      </c>
      <c r="J189" s="44">
        <v>1</v>
      </c>
      <c r="K189" s="45">
        <v>1</v>
      </c>
      <c r="L189" s="1">
        <v>996</v>
      </c>
      <c r="M189" s="1" t="s">
        <v>1188</v>
      </c>
      <c r="N189" s="1" t="s">
        <v>1141</v>
      </c>
      <c r="O189" s="1" t="s">
        <v>1189</v>
      </c>
      <c r="P189" s="1" t="s">
        <v>1190</v>
      </c>
      <c r="Q189" s="44">
        <f>IF($L189=996,Multipliers!C$174,IF($L189=997,Multipliers!C$175,IF($L189=998,Multipliers!C$176,"NONE")))</f>
        <v>1.29</v>
      </c>
      <c r="R189" s="44">
        <f>IF($L189=996,Multipliers!C$5,IF($L189=997,Multipliers!C$6,IF($L189=998,Multipliers!C$7,"NONE")))</f>
        <v>1.34</v>
      </c>
      <c r="S189" s="46">
        <f t="shared" si="69"/>
        <v>572333.63565000007</v>
      </c>
      <c r="T189" s="46">
        <f t="shared" si="70"/>
        <v>595942.1664000001</v>
      </c>
      <c r="U189" s="46">
        <f t="shared" si="67"/>
        <v>589982.74473600008</v>
      </c>
      <c r="V189" s="46">
        <f>(S189+U189)/2</f>
        <v>581158.19019300002</v>
      </c>
      <c r="W189" s="47">
        <f>IF(F189=F190,(V189+V190)/2,IF(F189=F188,(V189+V188)/2,IF(F189&lt;&gt;F188,V189)))</f>
        <v>581158.19019300002</v>
      </c>
      <c r="X189" s="47"/>
      <c r="Y189" s="48">
        <f>IF(N189="Standard",(((($Z$3*Q189)+($AD$3*R189*$T$5))/2)*$O$7),IF(N189="Severe",(((($AA$3*Q189)+($AE$3*R189*$T$5))/2)*$O$7),IF(N189="Hostile",(((($AB$3*Q189)+($AF$3*R189*$T$5))/2)*$O$7))))</f>
        <v>465666.31849500001</v>
      </c>
      <c r="Z189" s="48">
        <f>IF(N189="Standard",(((($Z$4*Q189)+($AD$4*R189*$T$5))/2)*$O$7),IF(N189="Severe",(((($AA$4*Q189)+($AE$4*R189*$T$5))/2)*$O$7),IF(N189="Hostile",(((($AB$4*Q189)+($AF$4*R189*$T$5))/2)*$O$7))))</f>
        <v>514428.62433899997</v>
      </c>
      <c r="AA189" s="48">
        <f>IF(N189="Standard",((($Z$5*Q189)+($AD$5*R189*$T$5))/2)*$O$7,IF(N189="Severe",((($AA$5*Q189)+($AE$5*R189*$T$5))/2)*$O$7,IF(N189="Hostile",((($AB$5*Q189)+($AF$5*R189*$T$5))/2)*$O$7)))</f>
        <v>581158.19019300013</v>
      </c>
      <c r="AB189" s="48">
        <f>IF(N189="Standard",((($Z$6*Q189)+($AD$6*R189*$T$5))/2)*$O$7,IF(N189="Severe",((($AA$6*Q189)+($AE$6*R189*$T$5))/2)*$O$7,IF(N189="Hostile",((($AB$6*Q189)+($AF$6*R189*$T$5))/2)*$O$7)))</f>
        <v>629926.37213100016</v>
      </c>
      <c r="AC189" s="48">
        <f>IF(N189="Standard",((($Z$7*Q189)+($AD$7*R189*$T$5))/2)*$O$7,IF(N189="Severe",((($AA$7*Q189)+($AE$7*R189*$T$5))/2)*$O$7,IF(N189="Hostile",((($AB$7*Q189)+($AF$7*R189*$T$5))/2)*$O$7)))</f>
        <v>679867.06659900001</v>
      </c>
      <c r="AD189" s="1"/>
      <c r="AE189" s="1"/>
      <c r="AF189" s="1"/>
      <c r="AI189" s="9"/>
      <c r="AJ189" s="1"/>
      <c r="AK189" s="1"/>
      <c r="AL189" s="1"/>
      <c r="AM189" s="1"/>
      <c r="AN189" s="1"/>
      <c r="AO189" s="1"/>
      <c r="AP189" s="9"/>
      <c r="AQ189" s="3"/>
      <c r="AR189" s="4"/>
      <c r="AS189" s="1"/>
      <c r="AT189" s="1"/>
      <c r="AU189" s="1"/>
      <c r="AV189" s="1"/>
      <c r="AW189" s="1"/>
      <c r="AX189" s="3"/>
      <c r="AY189" s="3"/>
      <c r="AZ189" s="5"/>
      <c r="BA189" s="5"/>
      <c r="BB189" s="5"/>
      <c r="BC189" s="5"/>
      <c r="BD189" s="6"/>
      <c r="BE189" s="6"/>
      <c r="BF189" s="12"/>
      <c r="BG189" s="12"/>
      <c r="BH189" s="12"/>
      <c r="BI189" s="12"/>
      <c r="BJ189" s="12"/>
    </row>
    <row r="190" spans="2:62" x14ac:dyDescent="0.25">
      <c r="B190" s="1" t="s">
        <v>1180</v>
      </c>
      <c r="C190" s="1" t="s">
        <v>1738</v>
      </c>
      <c r="D190" s="1" t="s">
        <v>1190</v>
      </c>
      <c r="E190" s="1" t="s">
        <v>1739</v>
      </c>
      <c r="F190" s="1" t="s">
        <v>1740</v>
      </c>
      <c r="G190" s="1" t="s">
        <v>1223</v>
      </c>
      <c r="H190" s="1" t="s">
        <v>1224</v>
      </c>
      <c r="I190" s="7" t="s">
        <v>1187</v>
      </c>
      <c r="J190" s="44">
        <v>1</v>
      </c>
      <c r="K190" s="45">
        <v>1</v>
      </c>
      <c r="L190" s="1">
        <v>997</v>
      </c>
      <c r="M190" s="1" t="s">
        <v>1188</v>
      </c>
      <c r="N190" s="1" t="s">
        <v>1141</v>
      </c>
      <c r="O190" s="1" t="s">
        <v>1189</v>
      </c>
      <c r="P190" s="7" t="s">
        <v>1073</v>
      </c>
      <c r="Q190" s="44">
        <f>IF($L190=996,Multipliers!C$174,IF($L190=997,Multipliers!C$175,IF($L190=998,Multipliers!C$176,"NONE")))</f>
        <v>1.3</v>
      </c>
      <c r="R190" s="44">
        <f>IF($L190=996,Multipliers!C$5,IF($L190=997,Multipliers!C$6,IF($L190=998,Multipliers!C$7,"NONE")))</f>
        <v>1.34</v>
      </c>
      <c r="S190" s="46">
        <f t="shared" si="69"/>
        <v>576770.33050000016</v>
      </c>
      <c r="T190" s="46">
        <f t="shared" si="70"/>
        <v>595942.1664000001</v>
      </c>
      <c r="U190" s="46">
        <f t="shared" ref="U190:U205" si="71">IF(O190="E",$T$3*T190,IF(O190="C",$T$4*T190,IF(O190="W",$T$5*T190,1)))</f>
        <v>589982.74473600008</v>
      </c>
      <c r="V190" s="46">
        <f>((S190+U190)/2*1.15)</f>
        <v>670883.01826070005</v>
      </c>
      <c r="W190" s="47">
        <f>IF(F190=F191,(V190+V191)/2,IF(F190=F189,(V190+V189)/2,IF(F190&lt;&gt;F189,V190)))</f>
        <v>670883.01826070005</v>
      </c>
      <c r="X190" s="47"/>
      <c r="Y190" s="48">
        <f>IF(N190="Standard",(((($Z$3*Q190)+($AD$3*R190*$T$5))/2)*$O$7*1.15),IF(N190="Severe",(((($AA$3*Q190)+($AE$3*R190*$T$5))/2)*$O$7*1.15),IF(N190="Hostile",(((($AB$3*Q190)+($AF$3*R190*$T$5))/2)*$O$7*1.15))))</f>
        <v>537627.23286300001</v>
      </c>
      <c r="Z190" s="48">
        <f>IF(N190="Standard",(((($Z$4*Q190)+($AD$4*R190*$T$5))/2)*$O$7*1.15),IF(N190="Severe",(((($AA$4*Q190)+($AE$4*R190*$T$5))/2)*$O$7*1.15),IF(N190="Hostile",(((($AB$4*Q190)+($AF$4*R190*$T$5))/2)*$O$7*1.15))))</f>
        <v>593892.8539060998</v>
      </c>
      <c r="AA190" s="48">
        <f>IF(N190="Standard",(((($Z$5*Q190)+($AD$5*R190*$T$5))/2)*$O$7*1.15),IF(N190="Severe",(((($AA$5*Q190)+($AE$5*R190*$T$5))/2)*$O$7*1.15),IF(N190="Hostile",(((($AB$5*Q190)+($AF$5*R190*$T$5))/2)*$O$7*1.15))))</f>
        <v>670883.01826070005</v>
      </c>
      <c r="AB190" s="48">
        <f>IF(N190="Standard",(((($Z$6*Q190)+($AD$6*R190*$T$5))/2)*$O$7*1.15),IF(N190="Severe",(((($AA$6*Q190)+($AE$6*R190*$T$5))/2)*$O$7*1.15),IF(N190="Hostile",(((($AB$6*Q190)+($AF$6*R190*$T$5))/2)*$O$7*1.15))))</f>
        <v>727154.03193440009</v>
      </c>
      <c r="AC190" s="48">
        <f>IF(N190="Standard",(((($Z$7*Q190)+($AD$7*R190*$T$5))/2)*$O$7*1.15),IF(N190="Severe",(((($AA$7*Q190)+($AE$7*R190*$T$5))/2)*$O$7*1.15),IF(N190="Hostile",(((($AB$7*Q190)+($AF$7*R190*$T$5))/2)*$O$7*1.15))))</f>
        <v>784795.42359260004</v>
      </c>
      <c r="AD190" s="1"/>
      <c r="AE190" s="1"/>
      <c r="AF190" s="1"/>
      <c r="AI190" s="9"/>
      <c r="AJ190" s="1"/>
      <c r="AK190" s="1"/>
      <c r="AL190" s="1"/>
      <c r="AM190" s="1"/>
      <c r="AN190" s="1"/>
      <c r="AO190" s="1"/>
      <c r="AP190" s="9"/>
      <c r="AQ190" s="3"/>
      <c r="AR190" s="4"/>
      <c r="AS190" s="1"/>
      <c r="AT190" s="1"/>
      <c r="AU190" s="1"/>
      <c r="AV190" s="1"/>
      <c r="AW190" s="1"/>
      <c r="AX190" s="3"/>
      <c r="AY190" s="3"/>
      <c r="AZ190" s="5"/>
      <c r="BA190" s="5"/>
      <c r="BB190" s="5"/>
      <c r="BC190" s="5"/>
      <c r="BD190" s="6"/>
      <c r="BE190" s="6"/>
      <c r="BF190" s="12"/>
      <c r="BG190" s="12"/>
      <c r="BH190" s="12"/>
      <c r="BI190" s="12"/>
      <c r="BJ190" s="12"/>
    </row>
    <row r="191" spans="2:62" x14ac:dyDescent="0.25">
      <c r="B191" s="1" t="s">
        <v>1180</v>
      </c>
      <c r="C191" s="1" t="s">
        <v>1741</v>
      </c>
      <c r="D191" s="1" t="s">
        <v>1190</v>
      </c>
      <c r="E191" s="1" t="s">
        <v>1742</v>
      </c>
      <c r="F191" s="1" t="s">
        <v>1743</v>
      </c>
      <c r="G191" s="1" t="s">
        <v>1185</v>
      </c>
      <c r="H191" s="1" t="s">
        <v>1186</v>
      </c>
      <c r="I191" s="7" t="s">
        <v>1187</v>
      </c>
      <c r="J191" s="44">
        <v>1</v>
      </c>
      <c r="K191" s="45">
        <v>1</v>
      </c>
      <c r="L191" s="1">
        <v>997</v>
      </c>
      <c r="M191" s="1" t="s">
        <v>1188</v>
      </c>
      <c r="N191" s="1" t="s">
        <v>1141</v>
      </c>
      <c r="O191" s="1" t="s">
        <v>1189</v>
      </c>
      <c r="P191" s="7" t="s">
        <v>1073</v>
      </c>
      <c r="Q191" s="44">
        <f>IF($L191=996,Multipliers!C$174,IF($L191=997,Multipliers!C$175,IF($L191=998,Multipliers!C$176,"NONE")))</f>
        <v>1.3</v>
      </c>
      <c r="R191" s="44">
        <f>IF($L191=996,Multipliers!C$5,IF($L191=997,Multipliers!C$6,IF($L191=998,Multipliers!C$7,"NONE")))</f>
        <v>1.34</v>
      </c>
      <c r="S191" s="46">
        <f t="shared" si="69"/>
        <v>576770.33050000016</v>
      </c>
      <c r="T191" s="46">
        <f t="shared" si="70"/>
        <v>595942.1664000001</v>
      </c>
      <c r="U191" s="46">
        <f t="shared" si="71"/>
        <v>589982.74473600008</v>
      </c>
      <c r="V191" s="46">
        <f t="shared" ref="V191:V196" si="72">((S191+U191)/2*1.15)</f>
        <v>670883.01826070005</v>
      </c>
      <c r="W191" s="47">
        <f t="shared" ref="W191:W197" si="73">IF(F191=F192,(V191+V192)/2,IF(F191=F190,(V191+V190)/2,IF(F191&lt;&gt;F190,V191)))</f>
        <v>670883.01826070005</v>
      </c>
      <c r="X191" s="47"/>
      <c r="Y191" s="48">
        <f t="shared" ref="Y191:Y196" si="74">IF(N191="Standard",(((($Z$3*Q191)+($AD$3*R191*$T$5))/2)*$O$7*1.15),IF(N191="Severe",(((($AA$3*Q191)+($AE$3*R191*$T$5))/2)*$O$7*1.15),IF(N191="Hostile",(((($AB$3*Q191)+($AF$3*R191*$T$5))/2)*$O$7*1.15))))</f>
        <v>537627.23286300001</v>
      </c>
      <c r="Z191" s="48">
        <f t="shared" ref="Z191:Z196" si="75">IF(N191="Standard",(((($Z$4*Q191)+($AD$4*R191*$T$5))/2)*$O$7*1.15),IF(N191="Severe",(((($AA$4*Q191)+($AE$4*R191*$T$5))/2)*$O$7*1.15),IF(N191="Hostile",(((($AB$4*Q191)+($AF$4*R191*$T$5))/2)*$O$7*1.15))))</f>
        <v>593892.8539060998</v>
      </c>
      <c r="AA191" s="48">
        <f t="shared" ref="AA191:AA196" si="76">IF(N191="Standard",(((($Z$5*Q191)+($AD$5*R191*$T$5))/2)*$O$7*1.15),IF(N191="Severe",(((($AA$5*Q191)+($AE$5*R191*$T$5))/2)*$O$7*1.15),IF(N191="Hostile",(((($AB$5*Q191)+($AF$5*R191*$T$5))/2)*$O$7*1.15))))</f>
        <v>670883.01826070005</v>
      </c>
      <c r="AB191" s="48">
        <f t="shared" ref="AB191:AB196" si="77">IF(N191="Standard",(((($Z$6*Q191)+($AD$6*R191*$T$5))/2)*$O$7*1.15),IF(N191="Severe",(((($AA$6*Q191)+($AE$6*R191*$T$5))/2)*$O$7*1.15),IF(N191="Hostile",(((($AB$6*Q191)+($AF$6*R191*$T$5))/2)*$O$7*1.15))))</f>
        <v>727154.03193440009</v>
      </c>
      <c r="AC191" s="48">
        <f t="shared" ref="AC191:AC196" si="78">IF(N191="Standard",(((($Z$7*Q191)+($AD$7*R191*$T$5))/2)*$O$7*1.15),IF(N191="Severe",(((($AA$7*Q191)+($AE$7*R191*$T$5))/2)*$O$7*1.15),IF(N191="Hostile",(((($AB$7*Q191)+($AF$7*R191*$T$5))/2)*$O$7*1.15))))</f>
        <v>784795.42359260004</v>
      </c>
      <c r="AD191" s="1"/>
      <c r="AE191" s="1"/>
      <c r="AF191" s="1"/>
      <c r="AI191" s="9"/>
      <c r="AJ191" s="1"/>
      <c r="AK191" s="1"/>
      <c r="AL191" s="1"/>
      <c r="AM191" s="1"/>
      <c r="AN191" s="1"/>
      <c r="AO191" s="1"/>
      <c r="AP191" s="9"/>
      <c r="AQ191" s="3"/>
      <c r="AR191" s="4"/>
      <c r="AS191" s="1"/>
      <c r="AT191" s="1"/>
      <c r="AU191" s="1"/>
      <c r="AV191" s="1"/>
      <c r="AW191" s="1"/>
      <c r="AX191" s="3"/>
      <c r="AY191" s="3"/>
      <c r="AZ191" s="5"/>
      <c r="BA191" s="5"/>
      <c r="BB191" s="5"/>
      <c r="BC191" s="5"/>
      <c r="BD191" s="6"/>
      <c r="BE191" s="6"/>
      <c r="BF191" s="12"/>
      <c r="BG191" s="12"/>
      <c r="BH191" s="12"/>
      <c r="BI191" s="12"/>
      <c r="BJ191" s="12"/>
    </row>
    <row r="192" spans="2:62" x14ac:dyDescent="0.25">
      <c r="B192" s="1" t="s">
        <v>1180</v>
      </c>
      <c r="C192" s="1" t="s">
        <v>1744</v>
      </c>
      <c r="D192" s="1" t="s">
        <v>1190</v>
      </c>
      <c r="E192" s="1" t="s">
        <v>1745</v>
      </c>
      <c r="F192" s="1" t="s">
        <v>1746</v>
      </c>
      <c r="G192" s="1" t="s">
        <v>1223</v>
      </c>
      <c r="H192" s="1" t="s">
        <v>1224</v>
      </c>
      <c r="I192" s="7" t="s">
        <v>1187</v>
      </c>
      <c r="J192" s="44">
        <v>1</v>
      </c>
      <c r="K192" s="45">
        <v>1</v>
      </c>
      <c r="L192" s="1">
        <v>997</v>
      </c>
      <c r="M192" s="1" t="s">
        <v>1188</v>
      </c>
      <c r="N192" s="1" t="s">
        <v>1141</v>
      </c>
      <c r="O192" s="1" t="s">
        <v>1189</v>
      </c>
      <c r="P192" s="7" t="s">
        <v>1073</v>
      </c>
      <c r="Q192" s="44">
        <f>IF($L192=996,Multipliers!C$174,IF($L192=997,Multipliers!C$175,IF($L192=998,Multipliers!C$176,"NONE")))</f>
        <v>1.3</v>
      </c>
      <c r="R192" s="44">
        <f>IF($L192=996,Multipliers!C$5,IF($L192=997,Multipliers!C$6,IF($L192=998,Multipliers!C$7,"NONE")))</f>
        <v>1.34</v>
      </c>
      <c r="S192" s="46">
        <f t="shared" si="69"/>
        <v>576770.33050000016</v>
      </c>
      <c r="T192" s="46">
        <f t="shared" si="70"/>
        <v>595942.1664000001</v>
      </c>
      <c r="U192" s="46">
        <f t="shared" si="71"/>
        <v>589982.74473600008</v>
      </c>
      <c r="V192" s="46">
        <f t="shared" si="72"/>
        <v>670883.01826070005</v>
      </c>
      <c r="W192" s="47">
        <f t="shared" si="73"/>
        <v>670883.01826070005</v>
      </c>
      <c r="X192" s="47"/>
      <c r="Y192" s="48">
        <f t="shared" si="74"/>
        <v>537627.23286300001</v>
      </c>
      <c r="Z192" s="48">
        <f t="shared" si="75"/>
        <v>593892.8539060998</v>
      </c>
      <c r="AA192" s="48">
        <f t="shared" si="76"/>
        <v>670883.01826070005</v>
      </c>
      <c r="AB192" s="48">
        <f t="shared" si="77"/>
        <v>727154.03193440009</v>
      </c>
      <c r="AC192" s="48">
        <f t="shared" si="78"/>
        <v>784795.42359260004</v>
      </c>
      <c r="AD192" s="1"/>
      <c r="AE192" s="1"/>
      <c r="AF192" s="1"/>
      <c r="AI192" s="9"/>
      <c r="AJ192" s="1"/>
      <c r="AK192" s="1"/>
      <c r="AL192" s="1"/>
      <c r="AM192" s="1"/>
      <c r="AN192" s="1"/>
      <c r="AO192" s="1"/>
      <c r="AP192" s="9"/>
      <c r="AQ192" s="3"/>
      <c r="AR192" s="4"/>
      <c r="AS192" s="1"/>
      <c r="AT192" s="1"/>
      <c r="AU192" s="1"/>
      <c r="AV192" s="1"/>
      <c r="AW192" s="1"/>
      <c r="AX192" s="3"/>
      <c r="AY192" s="3"/>
      <c r="AZ192" s="5"/>
      <c r="BA192" s="5"/>
      <c r="BB192" s="5"/>
      <c r="BC192" s="5"/>
      <c r="BD192" s="6"/>
      <c r="BE192" s="6"/>
      <c r="BF192" s="12"/>
      <c r="BG192" s="12"/>
      <c r="BH192" s="12"/>
      <c r="BI192" s="12"/>
      <c r="BJ192" s="12"/>
    </row>
    <row r="193" spans="2:62" x14ac:dyDescent="0.25">
      <c r="B193" s="1" t="s">
        <v>1180</v>
      </c>
      <c r="C193" s="1" t="s">
        <v>1747</v>
      </c>
      <c r="D193" s="1" t="s">
        <v>1190</v>
      </c>
      <c r="E193" s="1" t="s">
        <v>1748</v>
      </c>
      <c r="F193" s="1" t="s">
        <v>1749</v>
      </c>
      <c r="G193" s="1" t="s">
        <v>1210</v>
      </c>
      <c r="H193" s="1" t="s">
        <v>1211</v>
      </c>
      <c r="I193" s="7" t="s">
        <v>1187</v>
      </c>
      <c r="J193" s="44">
        <v>1</v>
      </c>
      <c r="K193" s="45">
        <v>1</v>
      </c>
      <c r="L193" s="1">
        <v>997</v>
      </c>
      <c r="M193" s="1" t="s">
        <v>1188</v>
      </c>
      <c r="N193" s="1" t="s">
        <v>1141</v>
      </c>
      <c r="O193" s="1" t="s">
        <v>1189</v>
      </c>
      <c r="P193" s="7" t="s">
        <v>1073</v>
      </c>
      <c r="Q193" s="44">
        <f>IF($L193=996,Multipliers!C$174,IF($L193=997,Multipliers!C$175,IF($L193=998,Multipliers!C$176,"NONE")))</f>
        <v>1.3</v>
      </c>
      <c r="R193" s="44">
        <f>IF($L193=996,Multipliers!C$5,IF($L193=997,Multipliers!C$6,IF($L193=998,Multipliers!C$7,"NONE")))</f>
        <v>1.34</v>
      </c>
      <c r="S193" s="46">
        <f t="shared" ref="S193:S218" si="79">IF(N193="Standard",$O$5*Q193*$O$7,IF(N193="Severe",$O$4*Q193*$O$7,IF(N193="Hostile",$O$3*Q193*$O$7)))</f>
        <v>576770.33050000016</v>
      </c>
      <c r="T193" s="46">
        <f t="shared" ref="T193:T218" si="80">IF(N193="Standard",$P$5*R193*$O$7,IF(N193="Severe",$P$4*R193*$O$7,IF(N193="Hostile",$P$3*R193*$O$7)))</f>
        <v>595942.1664000001</v>
      </c>
      <c r="U193" s="46">
        <f t="shared" si="71"/>
        <v>589982.74473600008</v>
      </c>
      <c r="V193" s="46">
        <f t="shared" si="72"/>
        <v>670883.01826070005</v>
      </c>
      <c r="W193" s="47">
        <f t="shared" si="73"/>
        <v>670883.01826070005</v>
      </c>
      <c r="X193" s="47"/>
      <c r="Y193" s="48">
        <f t="shared" si="74"/>
        <v>537627.23286300001</v>
      </c>
      <c r="Z193" s="48">
        <f t="shared" si="75"/>
        <v>593892.8539060998</v>
      </c>
      <c r="AA193" s="48">
        <f t="shared" si="76"/>
        <v>670883.01826070005</v>
      </c>
      <c r="AB193" s="48">
        <f t="shared" si="77"/>
        <v>727154.03193440009</v>
      </c>
      <c r="AC193" s="48">
        <f t="shared" si="78"/>
        <v>784795.42359260004</v>
      </c>
      <c r="AD193" s="1"/>
      <c r="AE193" s="1"/>
      <c r="AF193" s="1"/>
      <c r="AI193" s="9"/>
      <c r="AJ193" s="1"/>
      <c r="AK193" s="1"/>
      <c r="AL193" s="1"/>
      <c r="AM193" s="1"/>
      <c r="AN193" s="1"/>
      <c r="AO193" s="1"/>
      <c r="AP193" s="9"/>
      <c r="AQ193" s="3"/>
      <c r="AR193" s="4"/>
      <c r="AS193" s="1"/>
      <c r="AT193" s="1"/>
      <c r="AU193" s="1"/>
      <c r="AV193" s="1"/>
      <c r="AW193" s="1"/>
      <c r="AX193" s="3"/>
      <c r="AY193" s="3"/>
      <c r="AZ193" s="5"/>
      <c r="BA193" s="5"/>
      <c r="BB193" s="5"/>
      <c r="BC193" s="5"/>
      <c r="BD193" s="6"/>
      <c r="BE193" s="6"/>
      <c r="BF193" s="12"/>
      <c r="BG193" s="12"/>
      <c r="BH193" s="12"/>
      <c r="BI193" s="12"/>
      <c r="BJ193" s="12"/>
    </row>
    <row r="194" spans="2:62" x14ac:dyDescent="0.25">
      <c r="B194" s="1" t="s">
        <v>1180</v>
      </c>
      <c r="C194" s="1" t="s">
        <v>1750</v>
      </c>
      <c r="D194" s="1" t="s">
        <v>1190</v>
      </c>
      <c r="E194" s="1" t="s">
        <v>1751</v>
      </c>
      <c r="F194" s="1" t="s">
        <v>1752</v>
      </c>
      <c r="G194" s="1" t="s">
        <v>1210</v>
      </c>
      <c r="H194" s="1" t="s">
        <v>1211</v>
      </c>
      <c r="I194" s="7" t="s">
        <v>1187</v>
      </c>
      <c r="J194" s="44">
        <v>1</v>
      </c>
      <c r="K194" s="45">
        <v>1</v>
      </c>
      <c r="L194" s="1">
        <v>997</v>
      </c>
      <c r="M194" s="1" t="s">
        <v>1188</v>
      </c>
      <c r="N194" s="1" t="s">
        <v>1141</v>
      </c>
      <c r="O194" s="1" t="s">
        <v>1189</v>
      </c>
      <c r="P194" s="7" t="s">
        <v>1073</v>
      </c>
      <c r="Q194" s="44">
        <f>IF($L194=996,Multipliers!C$174,IF($L194=997,Multipliers!C$175,IF($L194=998,Multipliers!C$176,"NONE")))</f>
        <v>1.3</v>
      </c>
      <c r="R194" s="44">
        <f>IF($L194=996,Multipliers!C$5,IF($L194=997,Multipliers!C$6,IF($L194=998,Multipliers!C$7,"NONE")))</f>
        <v>1.34</v>
      </c>
      <c r="S194" s="46">
        <f t="shared" ref="S194:S199" si="81">IF(N194="Standard",$O$5*Q194*$O$7,IF(N194="Severe",$O$4*Q194*$O$7,IF(N194="Hostile",$O$3*Q194*$O$7)))</f>
        <v>576770.33050000016</v>
      </c>
      <c r="T194" s="46">
        <f t="shared" ref="T194:T199" si="82">IF(N194="Standard",$P$5*R194*$O$7,IF(N194="Severe",$P$4*R194*$O$7,IF(N194="Hostile",$P$3*R194*$O$7)))</f>
        <v>595942.1664000001</v>
      </c>
      <c r="U194" s="46">
        <f t="shared" si="71"/>
        <v>589982.74473600008</v>
      </c>
      <c r="V194" s="46">
        <f t="shared" si="72"/>
        <v>670883.01826070005</v>
      </c>
      <c r="W194" s="47">
        <f t="shared" si="73"/>
        <v>670883.01826070005</v>
      </c>
      <c r="X194" s="47"/>
      <c r="Y194" s="48">
        <f t="shared" si="74"/>
        <v>537627.23286300001</v>
      </c>
      <c r="Z194" s="48">
        <f t="shared" si="75"/>
        <v>593892.8539060998</v>
      </c>
      <c r="AA194" s="48">
        <f t="shared" si="76"/>
        <v>670883.01826070005</v>
      </c>
      <c r="AB194" s="48">
        <f t="shared" si="77"/>
        <v>727154.03193440009</v>
      </c>
      <c r="AC194" s="48">
        <f t="shared" si="78"/>
        <v>784795.42359260004</v>
      </c>
      <c r="AD194" s="1"/>
      <c r="AE194" s="1"/>
      <c r="AF194" s="1"/>
      <c r="AI194" s="9"/>
      <c r="AJ194" s="1"/>
      <c r="AK194" s="1"/>
      <c r="AL194" s="1"/>
      <c r="AM194" s="1"/>
      <c r="AN194" s="1"/>
      <c r="AO194" s="1"/>
      <c r="AP194" s="9"/>
      <c r="AQ194" s="3"/>
      <c r="AR194" s="4"/>
      <c r="AS194" s="1"/>
      <c r="AT194" s="1"/>
      <c r="AU194" s="1"/>
      <c r="AV194" s="1"/>
      <c r="AW194" s="1"/>
      <c r="AX194" s="3"/>
      <c r="AY194" s="3"/>
      <c r="AZ194" s="5"/>
      <c r="BA194" s="5"/>
      <c r="BB194" s="5"/>
      <c r="BC194" s="5"/>
      <c r="BD194" s="6"/>
      <c r="BE194" s="6"/>
      <c r="BF194" s="12"/>
      <c r="BG194" s="12"/>
      <c r="BH194" s="12"/>
      <c r="BI194" s="12"/>
      <c r="BJ194" s="12"/>
    </row>
    <row r="195" spans="2:62" x14ac:dyDescent="0.25">
      <c r="B195" s="1" t="s">
        <v>1180</v>
      </c>
      <c r="C195" s="1" t="s">
        <v>1753</v>
      </c>
      <c r="D195" s="1" t="s">
        <v>1190</v>
      </c>
      <c r="E195" s="1" t="s">
        <v>1754</v>
      </c>
      <c r="F195" s="1" t="s">
        <v>1755</v>
      </c>
      <c r="G195" s="1" t="s">
        <v>1218</v>
      </c>
      <c r="H195" s="1" t="s">
        <v>1219</v>
      </c>
      <c r="I195" s="7" t="s">
        <v>1187</v>
      </c>
      <c r="J195" s="44">
        <v>1</v>
      </c>
      <c r="K195" s="45">
        <v>1</v>
      </c>
      <c r="L195" s="1">
        <v>997</v>
      </c>
      <c r="M195" s="1" t="s">
        <v>1188</v>
      </c>
      <c r="N195" s="1" t="s">
        <v>1141</v>
      </c>
      <c r="O195" s="1" t="s">
        <v>1189</v>
      </c>
      <c r="P195" s="7" t="s">
        <v>1073</v>
      </c>
      <c r="Q195" s="44">
        <f>IF($L195=996,Multipliers!C$174,IF($L195=997,Multipliers!C$175,IF($L195=998,Multipliers!C$176,"NONE")))</f>
        <v>1.3</v>
      </c>
      <c r="R195" s="44">
        <f>IF($L195=996,Multipliers!C$5,IF($L195=997,Multipliers!C$6,IF($L195=998,Multipliers!C$7,"NONE")))</f>
        <v>1.34</v>
      </c>
      <c r="S195" s="46">
        <f t="shared" si="81"/>
        <v>576770.33050000016</v>
      </c>
      <c r="T195" s="46">
        <f t="shared" si="82"/>
        <v>595942.1664000001</v>
      </c>
      <c r="U195" s="46">
        <f t="shared" si="71"/>
        <v>589982.74473600008</v>
      </c>
      <c r="V195" s="46">
        <f t="shared" si="72"/>
        <v>670883.01826070005</v>
      </c>
      <c r="W195" s="47">
        <f t="shared" si="73"/>
        <v>670883.01826070005</v>
      </c>
      <c r="X195" s="47"/>
      <c r="Y195" s="48">
        <f t="shared" si="74"/>
        <v>537627.23286300001</v>
      </c>
      <c r="Z195" s="48">
        <f t="shared" si="75"/>
        <v>593892.8539060998</v>
      </c>
      <c r="AA195" s="48">
        <f t="shared" si="76"/>
        <v>670883.01826070005</v>
      </c>
      <c r="AB195" s="48">
        <f t="shared" si="77"/>
        <v>727154.03193440009</v>
      </c>
      <c r="AC195" s="48">
        <f t="shared" si="78"/>
        <v>784795.42359260004</v>
      </c>
      <c r="AD195" s="1"/>
      <c r="AE195" s="1"/>
      <c r="AF195" s="1"/>
      <c r="AI195" s="9"/>
      <c r="AJ195" s="1"/>
      <c r="AK195" s="1"/>
      <c r="AL195" s="1"/>
      <c r="AM195" s="1"/>
      <c r="AN195" s="1"/>
      <c r="AO195" s="1"/>
      <c r="AP195" s="9"/>
      <c r="AQ195" s="3"/>
      <c r="AR195" s="4"/>
      <c r="AS195" s="1"/>
      <c r="AT195" s="1"/>
      <c r="AU195" s="1"/>
      <c r="AV195" s="1"/>
      <c r="AW195" s="1"/>
      <c r="AX195" s="3"/>
      <c r="AY195" s="3"/>
      <c r="AZ195" s="5"/>
      <c r="BA195" s="5"/>
      <c r="BB195" s="5"/>
      <c r="BC195" s="5"/>
      <c r="BD195" s="6"/>
      <c r="BE195" s="6"/>
      <c r="BF195" s="12"/>
      <c r="BG195" s="12"/>
      <c r="BH195" s="12"/>
      <c r="BI195" s="12"/>
      <c r="BJ195" s="12"/>
    </row>
    <row r="196" spans="2:62" x14ac:dyDescent="0.25">
      <c r="B196" s="1" t="s">
        <v>1180</v>
      </c>
      <c r="C196" s="1" t="s">
        <v>1756</v>
      </c>
      <c r="D196" s="1" t="s">
        <v>1190</v>
      </c>
      <c r="E196" s="1" t="s">
        <v>1757</v>
      </c>
      <c r="F196" s="1" t="s">
        <v>1758</v>
      </c>
      <c r="G196" s="1" t="s">
        <v>1202</v>
      </c>
      <c r="H196" s="1" t="s">
        <v>1203</v>
      </c>
      <c r="I196" s="7" t="s">
        <v>1187</v>
      </c>
      <c r="J196" s="44">
        <v>1</v>
      </c>
      <c r="K196" s="45">
        <v>1</v>
      </c>
      <c r="L196" s="1">
        <v>997</v>
      </c>
      <c r="M196" s="1" t="s">
        <v>1188</v>
      </c>
      <c r="N196" s="1" t="s">
        <v>1141</v>
      </c>
      <c r="O196" s="1" t="s">
        <v>1189</v>
      </c>
      <c r="P196" s="7" t="s">
        <v>1073</v>
      </c>
      <c r="Q196" s="44">
        <f>IF($L196=996,Multipliers!C$174,IF($L196=997,Multipliers!C$175,IF($L196=998,Multipliers!C$176,"NONE")))</f>
        <v>1.3</v>
      </c>
      <c r="R196" s="44">
        <f>IF($L196=996,Multipliers!C$5,IF($L196=997,Multipliers!C$6,IF($L196=998,Multipliers!C$7,"NONE")))</f>
        <v>1.34</v>
      </c>
      <c r="S196" s="46">
        <f t="shared" si="81"/>
        <v>576770.33050000016</v>
      </c>
      <c r="T196" s="46">
        <f t="shared" si="82"/>
        <v>595942.1664000001</v>
      </c>
      <c r="U196" s="46">
        <f t="shared" si="71"/>
        <v>589982.74473600008</v>
      </c>
      <c r="V196" s="46">
        <f t="shared" si="72"/>
        <v>670883.01826070005</v>
      </c>
      <c r="W196" s="47">
        <f t="shared" si="73"/>
        <v>670883.01826070005</v>
      </c>
      <c r="X196" s="47"/>
      <c r="Y196" s="48">
        <f t="shared" si="74"/>
        <v>537627.23286300001</v>
      </c>
      <c r="Z196" s="48">
        <f t="shared" si="75"/>
        <v>593892.8539060998</v>
      </c>
      <c r="AA196" s="48">
        <f t="shared" si="76"/>
        <v>670883.01826070005</v>
      </c>
      <c r="AB196" s="48">
        <f t="shared" si="77"/>
        <v>727154.03193440009</v>
      </c>
      <c r="AC196" s="48">
        <f t="shared" si="78"/>
        <v>784795.42359260004</v>
      </c>
      <c r="AD196" s="1"/>
      <c r="AE196" s="1"/>
      <c r="AF196" s="1"/>
      <c r="AI196" s="9"/>
      <c r="AJ196" s="1"/>
      <c r="AK196" s="1"/>
      <c r="AL196" s="1"/>
      <c r="AM196" s="1"/>
      <c r="AN196" s="1"/>
      <c r="AO196" s="1"/>
      <c r="AP196" s="9"/>
      <c r="AQ196" s="3"/>
      <c r="AR196" s="4"/>
      <c r="AS196" s="1"/>
      <c r="AT196" s="1"/>
      <c r="AU196" s="1"/>
      <c r="AV196" s="1"/>
      <c r="AW196" s="1"/>
      <c r="AX196" s="3"/>
      <c r="AY196" s="3"/>
      <c r="AZ196" s="5"/>
      <c r="BA196" s="5"/>
      <c r="BB196" s="5"/>
      <c r="BC196" s="5"/>
      <c r="BD196" s="6"/>
      <c r="BE196" s="6"/>
      <c r="BF196" s="12"/>
      <c r="BG196" s="12"/>
      <c r="BH196" s="12"/>
      <c r="BI196" s="12"/>
      <c r="BJ196" s="12"/>
    </row>
    <row r="197" spans="2:62" x14ac:dyDescent="0.25">
      <c r="B197" s="1" t="s">
        <v>1180</v>
      </c>
      <c r="C197" s="1" t="s">
        <v>1759</v>
      </c>
      <c r="D197" s="1" t="s">
        <v>1190</v>
      </c>
      <c r="E197" s="1" t="s">
        <v>1760</v>
      </c>
      <c r="F197" s="1" t="s">
        <v>1761</v>
      </c>
      <c r="G197" s="1" t="s">
        <v>1218</v>
      </c>
      <c r="H197" s="1" t="s">
        <v>1219</v>
      </c>
      <c r="I197" s="7" t="s">
        <v>1187</v>
      </c>
      <c r="J197" s="44">
        <v>1</v>
      </c>
      <c r="K197" s="45">
        <v>1</v>
      </c>
      <c r="L197" s="1">
        <v>998</v>
      </c>
      <c r="M197" s="1" t="s">
        <v>1188</v>
      </c>
      <c r="N197" s="1" t="s">
        <v>1141</v>
      </c>
      <c r="O197" s="1" t="s">
        <v>1189</v>
      </c>
      <c r="P197" s="7" t="s">
        <v>1074</v>
      </c>
      <c r="Q197" s="44">
        <f>IF($L197=996,Multipliers!C$174,IF($L197=997,Multipliers!C$175,IF($L197=998,Multipliers!C$176,"NONE")))</f>
        <v>1.34</v>
      </c>
      <c r="R197" s="44">
        <f>IF($L197=996,Multipliers!C$5,IF($L197=997,Multipliers!C$6,IF($L197=998,Multipliers!C$7,"NONE")))</f>
        <v>1.36</v>
      </c>
      <c r="S197" s="46">
        <f t="shared" si="81"/>
        <v>594517.10990000016</v>
      </c>
      <c r="T197" s="46">
        <f t="shared" si="82"/>
        <v>604836.82559999998</v>
      </c>
      <c r="U197" s="46">
        <f t="shared" si="71"/>
        <v>598788.45734399999</v>
      </c>
      <c r="V197" s="46">
        <f>((S197+U197)/2*1.2)</f>
        <v>715983.34034640016</v>
      </c>
      <c r="W197" s="47">
        <f t="shared" si="73"/>
        <v>715983.34034640016</v>
      </c>
      <c r="X197" s="47"/>
      <c r="Y197" s="48">
        <f>IF(N197="Standard",(((($Z$3*Q197)+($AD$3*R197*$T$5))/2)*$O$7*1.2),IF(N197="Severe",(((($AA$3*Q197)+($AE$3*R197*$T$5))/2)*$O$7*1.2),IF(N197="Hostile",(((($AB$3*Q197)+($AF$3*R197*$T$5))/2)*$O$7*1.2))))</f>
        <v>573912.50187599997</v>
      </c>
      <c r="Z197" s="48">
        <f>IF(N197="Standard",(((($Z$4*Q197)+($AD$4*R197*$T$5))/2)*$O$7*1.2),IF(N197="Severe",(((($AA$4*Q197)+($AE$4*R197*$T$5))/2)*$O$7*1.2),IF(N197="Hostile",(((($AB$4*Q197)+($AF$4*R197*$T$5))/2)*$O$7*1.2))))</f>
        <v>633906.89508719998</v>
      </c>
      <c r="AA197" s="48">
        <f>IF(N197="Standard",(((($Z$5*Q197)+($AD$5*R197*$T$5))/2)*$O$7*1.2),IF(N197="Severe",(((($AA$5*Q197)+($AE$5*R197*$T$5))/2)*$O$7*1.2),IF(N197="Hostile",((($AB$5*Q197)+($AF$5*R197*$T$5))/2)*$O$7*1.2)))</f>
        <v>715983.34034640016</v>
      </c>
      <c r="AB197" s="48">
        <f>IF(N197="Standard",(((($Z$6*Q197)+($AD$6*R197*$T$5))/2)*$O$7*1.2),IF(N197="Severe",(((($AA$6*Q197)+($AE$6*R197*$T$5))/2)*$O$7*1.2),IF(N197="Hostile",((($AB$6*Q197)+($AF$6*R197*$T$5))/2)*$O$7*1.2)))</f>
        <v>775980.51116880018</v>
      </c>
      <c r="AC197" s="48">
        <f>IF(N197="Standard",((($Z$7*Q197)+($AD$7*R197*$T$5))/2)*$O$7*1.2,IF(N197="Severe",((($AA$7*Q197)+($AE$7*R197*$T$5))/2)*$O$7*1.2,IF(N197="Hostile",((($AB$7*Q197)+($AF$7*R197*$T$5))/2)*$O$7*1.2)))</f>
        <v>837476.24333520012</v>
      </c>
      <c r="AD197" s="1"/>
      <c r="AE197" s="1"/>
      <c r="AF197" s="1"/>
      <c r="AI197" s="9"/>
      <c r="AJ197" s="1"/>
      <c r="AK197" s="1"/>
      <c r="AL197" s="1"/>
      <c r="AM197" s="1"/>
      <c r="AN197" s="1"/>
      <c r="AO197" s="1"/>
      <c r="AP197" s="9"/>
      <c r="AQ197" s="3"/>
      <c r="AR197" s="4"/>
      <c r="AS197" s="1"/>
      <c r="AT197" s="1"/>
      <c r="AU197" s="1"/>
      <c r="AV197" s="1"/>
      <c r="AW197" s="1"/>
      <c r="AX197" s="3"/>
      <c r="AY197" s="3"/>
      <c r="AZ197" s="5"/>
      <c r="BA197" s="5"/>
      <c r="BB197" s="5"/>
      <c r="BC197" s="5"/>
      <c r="BD197" s="6"/>
      <c r="BE197" s="6"/>
      <c r="BF197" s="12"/>
      <c r="BG197" s="12"/>
      <c r="BH197" s="12"/>
      <c r="BI197" s="12"/>
      <c r="BJ197" s="12"/>
    </row>
    <row r="198" spans="2:62" x14ac:dyDescent="0.25">
      <c r="B198" s="1" t="s">
        <v>1180</v>
      </c>
      <c r="C198" s="1" t="s">
        <v>1762</v>
      </c>
      <c r="D198" s="1" t="s">
        <v>1190</v>
      </c>
      <c r="E198" s="1" t="s">
        <v>1763</v>
      </c>
      <c r="F198" s="1" t="s">
        <v>1764</v>
      </c>
      <c r="G198" s="1" t="s">
        <v>1202</v>
      </c>
      <c r="H198" s="1" t="s">
        <v>1203</v>
      </c>
      <c r="I198" s="7" t="s">
        <v>1187</v>
      </c>
      <c r="J198" s="44">
        <v>1</v>
      </c>
      <c r="K198" s="45">
        <v>1</v>
      </c>
      <c r="L198" s="1">
        <v>997</v>
      </c>
      <c r="M198" s="1" t="s">
        <v>1188</v>
      </c>
      <c r="N198" s="1" t="s">
        <v>1141</v>
      </c>
      <c r="O198" s="1" t="s">
        <v>1189</v>
      </c>
      <c r="P198" s="7" t="s">
        <v>1073</v>
      </c>
      <c r="Q198" s="44">
        <f>IF($L198=996,Multipliers!C$174,IF($L198=997,Multipliers!C$175,IF($L198=998,Multipliers!C$176,"NONE")))</f>
        <v>1.3</v>
      </c>
      <c r="R198" s="44">
        <f>IF($L198=996,Multipliers!C$5,IF($L198=997,Multipliers!C$6,IF($L198=998,Multipliers!C$7,"NONE")))</f>
        <v>1.34</v>
      </c>
      <c r="S198" s="46">
        <f t="shared" si="81"/>
        <v>576770.33050000016</v>
      </c>
      <c r="T198" s="46">
        <f t="shared" si="82"/>
        <v>595942.1664000001</v>
      </c>
      <c r="U198" s="46">
        <f t="shared" si="71"/>
        <v>589982.74473600008</v>
      </c>
      <c r="V198" s="46">
        <f>((S198+U198)/2*1.15)</f>
        <v>670883.01826070005</v>
      </c>
      <c r="W198" s="47">
        <f t="shared" ref="W198:W211" si="83">IF(F198=F199,(V198+V199)/2,IF(F198=F197,(V198+V197)/2,IF(F198&lt;&gt;F197,V198)))</f>
        <v>670883.01826070005</v>
      </c>
      <c r="X198" s="47"/>
      <c r="Y198" s="48">
        <f>IF(N198="Standard",(((($Z$3*Q198)+($AD$3*R198*$T$5))/2)*$O$7*1.15),IF(N198="Severe",(((($AA$3*Q198)+($AE$3*R198*$T$5))/2)*$O$7*1.15),IF(N198="Hostile",(((($AB$3*Q198)+($AF$3*R198*$T$5))/2)*$O$7*1.15))))</f>
        <v>537627.23286300001</v>
      </c>
      <c r="Z198" s="48">
        <f>IF(N198="Standard",(((($Z$4*Q198)+($AD$4*R198*$T$5))/2)*$O$7*1.15),IF(N198="Severe",(((($AA$4*Q198)+($AE$4*R198*$T$5))/2)*$O$7*1.15),IF(N198="Hostile",(((($AB$4*Q198)+($AF$4*R198*$T$5))/2)*$O$7*1.15))))</f>
        <v>593892.8539060998</v>
      </c>
      <c r="AA198" s="48">
        <f>IF(N198="Standard",(((($Z$5*Q198)+($AD$5*R198*$T$5))/2)*$O$7*1.15),IF(N198="Severe",(((($AA$5*Q198)+($AE$5*R198*$T$5))/2)*$O$7*1.15),IF(N198="Hostile",(((($AB$5*Q198)+($AF$5*R198*$T$5))/2)*$O$7*1.15))))</f>
        <v>670883.01826070005</v>
      </c>
      <c r="AB198" s="48">
        <f>IF(N198="Standard",(((($Z$6*Q198)+($AD$6*R198*$T$5))/2)*$O$7*1.15),IF(N198="Severe",(((($AA$6*Q198)+($AE$6*R198*$T$5))/2)*$O$7*1.15),IF(N198="Hostile",(((($AB$6*Q198)+($AF$6*R198*$T$5))/2)*$O$7*1.15))))</f>
        <v>727154.03193440009</v>
      </c>
      <c r="AC198" s="48">
        <f>IF(N198="Standard",(((($Z$7*Q198)+($AD$7*R198*$T$5))/2)*$O$7*1.15),IF(N198="Severe",(((($AA$7*Q198)+($AE$7*R198*$T$5))/2)*$O$7*1.15),IF(N198="Hostile",(((($AB$7*Q198)+($AF$7*R198*$T$5))/2)*$O$7*1.15))))</f>
        <v>784795.42359260004</v>
      </c>
      <c r="AD198" s="1"/>
      <c r="AE198" s="1"/>
      <c r="AF198" s="1"/>
      <c r="AI198" s="9"/>
      <c r="AJ198" s="1"/>
      <c r="AK198" s="1"/>
      <c r="AL198" s="1"/>
      <c r="AM198" s="1"/>
      <c r="AN198" s="1"/>
      <c r="AO198" s="1"/>
      <c r="AP198" s="9"/>
      <c r="AQ198" s="3"/>
      <c r="AR198" s="4"/>
      <c r="AS198" s="1"/>
      <c r="AT198" s="1"/>
      <c r="AU198" s="1"/>
      <c r="AV198" s="1"/>
      <c r="AW198" s="1"/>
      <c r="AX198" s="3"/>
      <c r="AY198" s="3"/>
      <c r="AZ198" s="5"/>
      <c r="BA198" s="5"/>
      <c r="BB198" s="5"/>
      <c r="BC198" s="5"/>
      <c r="BD198" s="6"/>
      <c r="BE198" s="6"/>
      <c r="BF198" s="12"/>
      <c r="BG198" s="12"/>
      <c r="BH198" s="12"/>
      <c r="BI198" s="12"/>
      <c r="BJ198" s="12"/>
    </row>
    <row r="199" spans="2:62" x14ac:dyDescent="0.25">
      <c r="B199" s="1" t="s">
        <v>1180</v>
      </c>
      <c r="C199" s="1" t="s">
        <v>1765</v>
      </c>
      <c r="D199" s="1" t="s">
        <v>1766</v>
      </c>
      <c r="E199" s="1" t="s">
        <v>1767</v>
      </c>
      <c r="F199" s="1" t="s">
        <v>1768</v>
      </c>
      <c r="G199" s="1" t="s">
        <v>1210</v>
      </c>
      <c r="H199" s="1" t="s">
        <v>1211</v>
      </c>
      <c r="I199" s="7" t="s">
        <v>1187</v>
      </c>
      <c r="J199" s="44">
        <v>1</v>
      </c>
      <c r="K199" s="45">
        <v>1</v>
      </c>
      <c r="L199" s="1">
        <v>997</v>
      </c>
      <c r="M199" s="1" t="s">
        <v>1188</v>
      </c>
      <c r="N199" s="1" t="s">
        <v>1141</v>
      </c>
      <c r="O199" s="1" t="s">
        <v>1189</v>
      </c>
      <c r="P199" s="7" t="s">
        <v>1073</v>
      </c>
      <c r="Q199" s="44">
        <f>IF($L199=996,Multipliers!C$174,IF($L199=997,Multipliers!C$175,IF($L199=998,Multipliers!C$176,"NONE")))</f>
        <v>1.3</v>
      </c>
      <c r="R199" s="44">
        <f>IF($L199=996,Multipliers!C$5,IF($L199=997,Multipliers!C$6,IF($L199=998,Multipliers!C$7,"NONE")))</f>
        <v>1.34</v>
      </c>
      <c r="S199" s="46">
        <f t="shared" si="81"/>
        <v>576770.33050000016</v>
      </c>
      <c r="T199" s="46">
        <f t="shared" si="82"/>
        <v>595942.1664000001</v>
      </c>
      <c r="U199" s="46">
        <f t="shared" si="71"/>
        <v>589982.74473600008</v>
      </c>
      <c r="V199" s="46">
        <f>((S199+U199)/2*1.15)</f>
        <v>670883.01826070005</v>
      </c>
      <c r="W199" s="47">
        <f t="shared" si="83"/>
        <v>670883.01826070005</v>
      </c>
      <c r="X199" s="47"/>
      <c r="Y199" s="48">
        <f>IF(N199="Standard",(((($Z$3*Q199)+($AD$3*R199*$T$5))/2)*$O$7*1.15),IF(N199="Severe",(((($AA$3*Q199)+($AE$3*R199*$T$5))/2)*$O$7*1.15),IF(N199="Hostile",(((($AB$3*Q199)+($AF$3*R199*$T$5))/2)*$O$7*1.15))))</f>
        <v>537627.23286300001</v>
      </c>
      <c r="Z199" s="48">
        <f>IF(N199="Standard",(((($Z$4*Q199)+($AD$4*R199*$T$5))/2)*$O$7*1.15),IF(N199="Severe",(((($AA$4*Q199)+($AE$4*R199*$T$5))/2)*$O$7*1.15),IF(N199="Hostile",(((($AB$4*Q199)+($AF$4*R199*$T$5))/2)*$O$7*1.15))))</f>
        <v>593892.8539060998</v>
      </c>
      <c r="AA199" s="48">
        <f>IF(N199="Standard",(((($Z$5*Q199)+($AD$5*R199*$T$5))/2)*$O$7*1.15),IF(N199="Severe",(((($AA$5*Q199)+($AE$5*R199*$T$5))/2)*$O$7*1.15),IF(N199="Hostile",(((($AB$5*Q199)+($AF$5*R199*$T$5))/2)*$O$7*1.15))))</f>
        <v>670883.01826070005</v>
      </c>
      <c r="AB199" s="48">
        <f>IF(N199="Standard",(((($Z$6*Q199)+($AD$6*R199*$T$5))/2)*$O$7*1.15),IF(N199="Severe",(((($AA$6*Q199)+($AE$6*R199*$T$5))/2)*$O$7*1.15),IF(N199="Hostile",(((($AB$6*Q199)+($AF$6*R199*$T$5))/2)*$O$7*1.15))))</f>
        <v>727154.03193440009</v>
      </c>
      <c r="AC199" s="48">
        <f>IF(N199="Standard",(((($Z$7*Q199)+($AD$7*R199*$T$5))/2)*$O$7*1.15),IF(N199="Severe",(((($AA$7*Q199)+($AE$7*R199*$T$5))/2)*$O$7*1.15),IF(N199="Hostile",(((($AB$7*Q199)+($AF$7*R199*$T$5))/2)*$O$7*1.15))))</f>
        <v>784795.42359260004</v>
      </c>
      <c r="AD199" s="1"/>
      <c r="AE199" s="1"/>
      <c r="AF199" s="1"/>
      <c r="AI199" s="9"/>
      <c r="AJ199" s="1"/>
      <c r="AK199" s="1"/>
      <c r="AL199" s="1"/>
      <c r="AM199" s="1"/>
      <c r="AN199" s="1"/>
      <c r="AO199" s="1"/>
      <c r="AP199" s="9"/>
      <c r="AQ199" s="3"/>
      <c r="AR199" s="4"/>
      <c r="AS199" s="1"/>
      <c r="AT199" s="1"/>
      <c r="AU199" s="1"/>
      <c r="AV199" s="1"/>
      <c r="AW199" s="1"/>
      <c r="AX199" s="3"/>
      <c r="AY199" s="3"/>
      <c r="AZ199" s="5"/>
      <c r="BA199" s="5"/>
      <c r="BB199" s="5"/>
      <c r="BC199" s="5"/>
      <c r="BD199" s="6"/>
      <c r="BE199" s="6"/>
      <c r="BF199" s="12"/>
      <c r="BG199" s="12"/>
      <c r="BH199" s="12"/>
      <c r="BI199" s="12"/>
      <c r="BJ199" s="12"/>
    </row>
    <row r="200" spans="2:62" x14ac:dyDescent="0.25">
      <c r="B200" s="1" t="s">
        <v>1180</v>
      </c>
      <c r="C200" s="1" t="s">
        <v>1769</v>
      </c>
      <c r="D200" s="1" t="s">
        <v>1190</v>
      </c>
      <c r="E200" s="1" t="s">
        <v>1770</v>
      </c>
      <c r="F200" s="1" t="s">
        <v>1771</v>
      </c>
      <c r="G200" s="1" t="s">
        <v>1294</v>
      </c>
      <c r="H200" s="1" t="s">
        <v>1295</v>
      </c>
      <c r="I200" s="7" t="s">
        <v>1187</v>
      </c>
      <c r="J200" s="44">
        <v>1</v>
      </c>
      <c r="K200" s="45">
        <v>1</v>
      </c>
      <c r="L200" s="1">
        <v>997</v>
      </c>
      <c r="M200" s="1" t="s">
        <v>1188</v>
      </c>
      <c r="N200" s="1" t="s">
        <v>1141</v>
      </c>
      <c r="O200" s="1" t="s">
        <v>1189</v>
      </c>
      <c r="P200" s="7" t="s">
        <v>1073</v>
      </c>
      <c r="Q200" s="44">
        <f>IF($L200=996,Multipliers!C$174,IF($L200=997,Multipliers!C$175,IF($L200=998,Multipliers!C$176,"NONE")))</f>
        <v>1.3</v>
      </c>
      <c r="R200" s="44">
        <f>IF($L200=996,Multipliers!C$5,IF($L200=997,Multipliers!C$6,IF($L200=998,Multipliers!C$7,"NONE")))</f>
        <v>1.34</v>
      </c>
      <c r="S200" s="46">
        <f t="shared" si="79"/>
        <v>576770.33050000016</v>
      </c>
      <c r="T200" s="46">
        <f t="shared" si="80"/>
        <v>595942.1664000001</v>
      </c>
      <c r="U200" s="46">
        <f t="shared" si="71"/>
        <v>589982.74473600008</v>
      </c>
      <c r="V200" s="46">
        <f>((S200+U200)/2*1.15)</f>
        <v>670883.01826070005</v>
      </c>
      <c r="W200" s="47">
        <f t="shared" si="83"/>
        <v>670883.01826070005</v>
      </c>
      <c r="X200" s="47"/>
      <c r="Y200" s="48">
        <f>IF(N200="Standard",(((($Z$3*Q200)+($AD$3*R200*$T$5))/2)*$O$7*1.15),IF(N200="Severe",(((($AA$3*Q200)+($AE$3*R200*$T$5))/2)*$O$7*1.15),IF(N200="Hostile",(((($AB$3*Q200)+($AF$3*R200*$T$5))/2)*$O$7*1.15))))</f>
        <v>537627.23286300001</v>
      </c>
      <c r="Z200" s="48">
        <f>IF(N200="Standard",(((($Z$4*Q200)+($AD$4*R200*$T$5))/2)*$O$7*1.15),IF(N200="Severe",(((($AA$4*Q200)+($AE$4*R200*$T$5))/2)*$O$7*1.15),IF(N200="Hostile",(((($AB$4*Q200)+($AF$4*R200*$T$5))/2)*$O$7*1.15))))</f>
        <v>593892.8539060998</v>
      </c>
      <c r="AA200" s="48">
        <f>IF(N200="Standard",(((($Z$5*Q200)+($AD$5*R200*$T$5))/2)*$O$7*1.15),IF(N200="Severe",(((($AA$5*Q200)+($AE$5*R200*$T$5))/2)*$O$7*1.15),IF(N200="Hostile",(((($AB$5*Q200)+($AF$5*R200*$T$5))/2)*$O$7*1.15))))</f>
        <v>670883.01826070005</v>
      </c>
      <c r="AB200" s="48">
        <f>IF(N200="Standard",(((($Z$6*Q200)+($AD$6*R200*$T$5))/2)*$O$7*1.15),IF(N200="Severe",(((($AA$6*Q200)+($AE$6*R200*$T$5))/2)*$O$7*1.15),IF(N200="Hostile",(((($AB$6*Q200)+($AF$6*R200*$T$5))/2)*$O$7*1.15))))</f>
        <v>727154.03193440009</v>
      </c>
      <c r="AC200" s="48">
        <f>IF(N200="Standard",(((($Z$7*Q200)+($AD$7*R200*$T$5))/2)*$O$7*1.15),IF(N200="Severe",(((($AA$7*Q200)+($AE$7*R200*$T$5))/2)*$O$7*1.15),IF(N200="Hostile",(((($AB$7*Q200)+($AF$7*R200*$T$5))/2)*$O$7*1.15))))</f>
        <v>784795.42359260004</v>
      </c>
      <c r="AD200" s="1"/>
      <c r="AE200" s="1"/>
      <c r="AF200" s="1"/>
      <c r="AI200" s="9"/>
      <c r="AJ200" s="1"/>
      <c r="AK200" s="1"/>
      <c r="AL200" s="1"/>
      <c r="AM200" s="1"/>
      <c r="AN200" s="1"/>
      <c r="AO200" s="1"/>
      <c r="AP200" s="9"/>
      <c r="AQ200" s="3"/>
      <c r="AR200" s="4"/>
      <c r="AS200" s="1"/>
      <c r="AT200" s="1"/>
      <c r="AU200" s="1"/>
      <c r="AV200" s="1"/>
      <c r="AW200" s="1"/>
      <c r="AX200" s="3"/>
      <c r="AY200" s="3"/>
      <c r="AZ200" s="5"/>
      <c r="BA200" s="5"/>
      <c r="BB200" s="5"/>
      <c r="BC200" s="5"/>
      <c r="BD200" s="6"/>
      <c r="BE200" s="6"/>
      <c r="BF200" s="12"/>
      <c r="BG200" s="12"/>
      <c r="BH200" s="12"/>
      <c r="BI200" s="12"/>
      <c r="BJ200" s="12"/>
    </row>
    <row r="201" spans="2:62" x14ac:dyDescent="0.25">
      <c r="B201" s="1" t="s">
        <v>1180</v>
      </c>
      <c r="C201" s="1" t="s">
        <v>1765</v>
      </c>
      <c r="D201" s="1" t="s">
        <v>1772</v>
      </c>
      <c r="E201" s="1" t="s">
        <v>1773</v>
      </c>
      <c r="F201" s="1" t="s">
        <v>1774</v>
      </c>
      <c r="G201" s="1" t="s">
        <v>1210</v>
      </c>
      <c r="H201" s="1" t="s">
        <v>1211</v>
      </c>
      <c r="I201" s="7" t="s">
        <v>1187</v>
      </c>
      <c r="J201" s="44">
        <v>1</v>
      </c>
      <c r="K201" s="45">
        <v>1</v>
      </c>
      <c r="L201" s="1">
        <v>997</v>
      </c>
      <c r="M201" s="1" t="s">
        <v>1188</v>
      </c>
      <c r="N201" s="1" t="s">
        <v>1141</v>
      </c>
      <c r="O201" s="1" t="s">
        <v>1189</v>
      </c>
      <c r="P201" s="7" t="s">
        <v>1073</v>
      </c>
      <c r="Q201" s="44">
        <f>IF($L201=996,Multipliers!C$174,IF($L201=997,Multipliers!C$175,IF($L201=998,Multipliers!C$176,"NONE")))</f>
        <v>1.3</v>
      </c>
      <c r="R201" s="44">
        <f>IF($L201=996,Multipliers!C$5,IF($L201=997,Multipliers!C$6,IF($L201=998,Multipliers!C$7,"NONE")))</f>
        <v>1.34</v>
      </c>
      <c r="S201" s="46">
        <f>IF(N201="Standard",$O$5*Q201*$O$7,IF(N201="Severe",$O$4*Q201*$O$7,IF(N201="Hostile",$O$3*Q201*$O$7)))</f>
        <v>576770.33050000016</v>
      </c>
      <c r="T201" s="46">
        <f>IF(N201="Standard",$P$5*R201*$O$7,IF(N201="Severe",$P$4*R201*$O$7,IF(N201="Hostile",$P$3*R201*$O$7)))</f>
        <v>595942.1664000001</v>
      </c>
      <c r="U201" s="46">
        <f t="shared" si="71"/>
        <v>589982.74473600008</v>
      </c>
      <c r="V201" s="46">
        <f>((S201+U201)/2*1.15)</f>
        <v>670883.01826070005</v>
      </c>
      <c r="W201" s="47">
        <f t="shared" si="83"/>
        <v>670883.01826070005</v>
      </c>
      <c r="X201" s="47"/>
      <c r="Y201" s="48">
        <f>IF(N201="Standard",(((($Z$3*Q201)+($AD$3*R201*$T$5))/2)*$O$7*1.15),IF(N201="Severe",(((($AA$3*Q201)+($AE$3*R201*$T$5))/2)*$O$7*1.15),IF(N201="Hostile",(((($AB$3*Q201)+($AF$3*R201*$T$5))/2)*$O$7*1.15))))</f>
        <v>537627.23286300001</v>
      </c>
      <c r="Z201" s="48">
        <f>IF(N201="Standard",(((($Z$4*Q201)+($AD$4*R201*$T$5))/2)*$O$7*1.15),IF(N201="Severe",(((($AA$4*Q201)+($AE$4*R201*$T$5))/2)*$O$7*1.15),IF(N201="Hostile",(((($AB$4*Q201)+($AF$4*R201*$T$5))/2)*$O$7*1.15))))</f>
        <v>593892.8539060998</v>
      </c>
      <c r="AA201" s="48">
        <f>IF(N201="Standard",(((($Z$5*Q201)+($AD$5*R201*$T$5))/2)*$O$7*1.15),IF(N201="Severe",(((($AA$5*Q201)+($AE$5*R201*$T$5))/2)*$O$7*1.15),IF(N201="Hostile",(((($AB$5*Q201)+($AF$5*R201*$T$5))/2)*$O$7*1.15))))</f>
        <v>670883.01826070005</v>
      </c>
      <c r="AB201" s="48">
        <f>IF(N201="Standard",(((($Z$6*Q201)+($AD$6*R201*$T$5))/2)*$O$7*1.15),IF(N201="Severe",(((($AA$6*Q201)+($AE$6*R201*$T$5))/2)*$O$7*1.15),IF(N201="Hostile",(((($AB$6*Q201)+($AF$6*R201*$T$5))/2)*$O$7*1.15))))</f>
        <v>727154.03193440009</v>
      </c>
      <c r="AC201" s="48">
        <f>IF(N201="Standard",(((($Z$7*Q201)+($AD$7*R201*$T$5))/2)*$O$7*1.15),IF(N201="Severe",(((($AA$7*Q201)+($AE$7*R201*$T$5))/2)*$O$7*1.15),IF(N201="Hostile",(((($AB$7*Q201)+($AF$7*R201*$T$5))/2)*$O$7*1.15))))</f>
        <v>784795.42359260004</v>
      </c>
      <c r="AD201" s="1"/>
      <c r="AE201" s="1"/>
      <c r="AF201" s="1"/>
      <c r="AI201" s="9"/>
      <c r="AJ201" s="1"/>
      <c r="AK201" s="1"/>
      <c r="AL201" s="1"/>
      <c r="AM201" s="1"/>
      <c r="AN201" s="1"/>
      <c r="AO201" s="1"/>
      <c r="AP201" s="9"/>
      <c r="AQ201" s="3"/>
      <c r="AR201" s="4"/>
      <c r="AS201" s="1"/>
      <c r="AT201" s="1"/>
      <c r="AU201" s="1"/>
      <c r="AV201" s="1"/>
      <c r="AW201" s="1"/>
      <c r="AX201" s="3"/>
      <c r="AY201" s="3"/>
      <c r="AZ201" s="5"/>
      <c r="BA201" s="5"/>
      <c r="BB201" s="5"/>
      <c r="BC201" s="5"/>
      <c r="BD201" s="6"/>
      <c r="BE201" s="6"/>
      <c r="BF201" s="12"/>
      <c r="BG201" s="12"/>
      <c r="BH201" s="12"/>
      <c r="BI201" s="12"/>
      <c r="BJ201" s="12"/>
    </row>
    <row r="202" spans="2:62" x14ac:dyDescent="0.25">
      <c r="B202" s="1" t="s">
        <v>1180</v>
      </c>
      <c r="C202" s="1" t="s">
        <v>1775</v>
      </c>
      <c r="D202" s="1" t="s">
        <v>1190</v>
      </c>
      <c r="E202" s="1" t="s">
        <v>1776</v>
      </c>
      <c r="F202" s="1" t="s">
        <v>1777</v>
      </c>
      <c r="G202" s="84" t="s">
        <v>1323</v>
      </c>
      <c r="H202" s="84" t="s">
        <v>1324</v>
      </c>
      <c r="I202" s="7" t="s">
        <v>1187</v>
      </c>
      <c r="J202" s="44">
        <v>1</v>
      </c>
      <c r="K202" s="45">
        <v>1</v>
      </c>
      <c r="L202" s="1">
        <v>996</v>
      </c>
      <c r="M202" s="1" t="s">
        <v>1188</v>
      </c>
      <c r="N202" s="1" t="s">
        <v>1141</v>
      </c>
      <c r="O202" s="1" t="s">
        <v>1189</v>
      </c>
      <c r="P202" s="1" t="s">
        <v>1190</v>
      </c>
      <c r="Q202" s="44">
        <f>IF($L202=996,Multipliers!C$174,IF($L202=997,Multipliers!C$175,IF($L202=998,Multipliers!C$176,"NONE")))</f>
        <v>1.29</v>
      </c>
      <c r="R202" s="44">
        <f>IF($L202=996,Multipliers!C$5,IF($L202=997,Multipliers!C$6,IF($L202=998,Multipliers!C$7,"NONE")))</f>
        <v>1.34</v>
      </c>
      <c r="S202" s="46">
        <f t="shared" si="79"/>
        <v>572333.63565000007</v>
      </c>
      <c r="T202" s="46">
        <f t="shared" si="80"/>
        <v>595942.1664000001</v>
      </c>
      <c r="U202" s="46">
        <f t="shared" si="71"/>
        <v>589982.74473600008</v>
      </c>
      <c r="V202" s="46">
        <f>(S202+U202)/2</f>
        <v>581158.19019300002</v>
      </c>
      <c r="W202" s="47">
        <f t="shared" si="83"/>
        <v>581158.19019300002</v>
      </c>
      <c r="X202" s="47"/>
      <c r="Y202" s="48">
        <f>IF(N202="Standard",(((($Z$3*Q202)+($AD$3*R202*$T$5))/2)*$O$7),IF(N202="Severe",(((($AA$3*Q202)+($AE$3*R202*$T$5))/2)*$O$7),IF(N202="Hostile",(((($AB$3*Q202)+($AF$3*R202*$T$5))/2)*$O$7))))</f>
        <v>465666.31849500001</v>
      </c>
      <c r="Z202" s="48">
        <f>IF(N202="Standard",(((($Z$4*Q202)+($AD$4*R202*$T$5))/2)*$O$7),IF(N202="Severe",(((($AA$4*Q202)+($AE$4*R202*$T$5))/2)*$O$7),IF(N202="Hostile",(((($AB$4*Q202)+($AF$4*R202*$T$5))/2)*$O$7))))</f>
        <v>514428.62433899997</v>
      </c>
      <c r="AA202" s="48">
        <f>IF(N202="Standard",((($Z$5*Q202)+($AD$5*R202*$T$5))/2)*$O$7,IF(N202="Severe",((($AA$5*Q202)+($AE$5*R202*$T$5))/2)*$O$7,IF(N202="Hostile",((($AB$5*Q202)+($AF$5*R202*$T$5))/2)*$O$7)))</f>
        <v>581158.19019300013</v>
      </c>
      <c r="AB202" s="48">
        <f>IF(N202="Standard",((($Z$6*Q202)+($AD$6*R202*$T$5))/2)*$O$7,IF(N202="Severe",((($AA$6*Q202)+($AE$6*R202*$T$5))/2)*$O$7,IF(N202="Hostile",((($AB$6*Q202)+($AF$6*R202*$T$5))/2)*$O$7)))</f>
        <v>629926.37213100016</v>
      </c>
      <c r="AC202" s="48">
        <f>IF(N202="Standard",((($Z$7*Q202)+($AD$7*R202*$T$5))/2)*$O$7,IF(N202="Severe",((($AA$7*Q202)+($AE$7*R202*$T$5))/2)*$O$7,IF(N202="Hostile",((($AB$7*Q202)+($AF$7*R202*$T$5))/2)*$O$7)))</f>
        <v>679867.06659900001</v>
      </c>
      <c r="AD202" s="1"/>
      <c r="AE202" s="1"/>
      <c r="AF202" s="1"/>
      <c r="AI202" s="9"/>
      <c r="AJ202" s="1"/>
      <c r="AK202" s="1"/>
      <c r="AL202" s="1"/>
      <c r="AM202" s="1"/>
      <c r="AN202" s="1"/>
      <c r="AO202" s="1"/>
      <c r="AP202" s="9"/>
      <c r="AQ202" s="3"/>
      <c r="AR202" s="4"/>
      <c r="AS202" s="1"/>
      <c r="AT202" s="1"/>
      <c r="AU202" s="1"/>
      <c r="AV202" s="1"/>
      <c r="AW202" s="1"/>
      <c r="AX202" s="3"/>
      <c r="AY202" s="3"/>
      <c r="AZ202" s="5"/>
      <c r="BA202" s="5"/>
      <c r="BB202" s="5"/>
      <c r="BC202" s="5"/>
      <c r="BD202" s="6"/>
      <c r="BE202" s="6"/>
      <c r="BF202" s="12"/>
      <c r="BG202" s="12"/>
      <c r="BH202" s="12"/>
      <c r="BI202" s="12"/>
      <c r="BJ202" s="12"/>
    </row>
    <row r="203" spans="2:62" x14ac:dyDescent="0.25">
      <c r="B203" s="1" t="s">
        <v>1180</v>
      </c>
      <c r="C203" s="1" t="s">
        <v>1778</v>
      </c>
      <c r="D203" s="1" t="s">
        <v>1190</v>
      </c>
      <c r="E203" s="1" t="s">
        <v>1779</v>
      </c>
      <c r="F203" s="1" t="s">
        <v>1780</v>
      </c>
      <c r="G203" s="1" t="s">
        <v>1294</v>
      </c>
      <c r="H203" s="1" t="s">
        <v>1295</v>
      </c>
      <c r="I203" s="7" t="s">
        <v>1187</v>
      </c>
      <c r="J203" s="44">
        <v>1</v>
      </c>
      <c r="K203" s="45">
        <v>1</v>
      </c>
      <c r="L203" s="1">
        <v>998</v>
      </c>
      <c r="M203" s="1" t="s">
        <v>1188</v>
      </c>
      <c r="N203" s="1" t="s">
        <v>1141</v>
      </c>
      <c r="O203" s="1" t="s">
        <v>1189</v>
      </c>
      <c r="P203" s="7" t="s">
        <v>1074</v>
      </c>
      <c r="Q203" s="44">
        <f>IF($L203=996,Multipliers!C$174,IF($L203=997,Multipliers!C$175,IF($L203=998,Multipliers!C$176,"NONE")))</f>
        <v>1.34</v>
      </c>
      <c r="R203" s="44">
        <f>IF($L203=996,Multipliers!C$5,IF($L203=997,Multipliers!C$6,IF($L203=998,Multipliers!C$7,"NONE")))</f>
        <v>1.36</v>
      </c>
      <c r="S203" s="46">
        <f t="shared" si="79"/>
        <v>594517.10990000016</v>
      </c>
      <c r="T203" s="46">
        <f t="shared" si="80"/>
        <v>604836.82559999998</v>
      </c>
      <c r="U203" s="46">
        <f t="shared" si="71"/>
        <v>598788.45734399999</v>
      </c>
      <c r="V203" s="46">
        <f>((S203+U203)/2*1.2)</f>
        <v>715983.34034640016</v>
      </c>
      <c r="W203" s="47">
        <f t="shared" si="83"/>
        <v>715983.34034640016</v>
      </c>
      <c r="X203" s="47"/>
      <c r="Y203" s="48">
        <f>IF(N203="Standard",(((($Z$3*Q203)+($AD$3*R203*$T$5))/2)*$O$7*1.2),IF(N203="Severe",(((($AA$3*Q203)+($AE$3*R203*$T$5))/2)*$O$7*1.2),IF(N203="Hostile",(((($AB$3*Q203)+($AF$3*R203*$T$5))/2)*$O$7*1.2))))</f>
        <v>573912.50187599997</v>
      </c>
      <c r="Z203" s="48">
        <f>IF(N203="Standard",(((($Z$4*Q203)+($AD$4*R203*$T$5))/2)*$O$7*1.2),IF(N203="Severe",(((($AA$4*Q203)+($AE$4*R203*$T$5))/2)*$O$7*1.2),IF(N203="Hostile",(((($AB$4*Q203)+($AF$4*R203*$T$5))/2)*$O$7*1.2))))</f>
        <v>633906.89508719998</v>
      </c>
      <c r="AA203" s="48">
        <f>IF(N203="Standard",(((($Z$5*Q203)+($AD$5*R203*$T$5))/2)*$O$7*1.2),IF(N203="Severe",(((($AA$5*Q203)+($AE$5*R203*$T$5))/2)*$O$7*1.2),IF(N203="Hostile",((($AB$5*Q203)+($AF$5*R203*$T$5))/2)*$O$7*1.2)))</f>
        <v>715983.34034640016</v>
      </c>
      <c r="AB203" s="48">
        <f>IF(N203="Standard",(((($Z$6*Q203)+($AD$6*R203*$T$5))/2)*$O$7*1.2),IF(N203="Severe",(((($AA$6*Q203)+($AE$6*R203*$T$5))/2)*$O$7*1.2),IF(N203="Hostile",((($AB$6*Q203)+($AF$6*R203*$T$5))/2)*$O$7*1.2)))</f>
        <v>775980.51116880018</v>
      </c>
      <c r="AC203" s="48">
        <f>IF(N203="Standard",((($Z$7*Q203)+($AD$7*R203*$T$5))/2)*$O$7*1.2,IF(N203="Severe",((($AA$7*Q203)+($AE$7*R203*$T$5))/2)*$O$7*1.2,IF(N203="Hostile",((($AB$7*Q203)+($AF$7*R203*$T$5))/2)*$O$7*1.2)))</f>
        <v>837476.24333520012</v>
      </c>
      <c r="AD203" s="1"/>
      <c r="AE203" s="1"/>
      <c r="AF203" s="1"/>
      <c r="AI203" s="9"/>
      <c r="AJ203" s="1"/>
      <c r="AK203" s="1"/>
      <c r="AL203" s="1"/>
      <c r="AM203" s="1"/>
      <c r="AN203" s="1"/>
      <c r="AO203" s="1"/>
      <c r="AP203" s="9"/>
      <c r="AQ203" s="3"/>
      <c r="AR203" s="4"/>
      <c r="AS203" s="1"/>
      <c r="AT203" s="1"/>
      <c r="AU203" s="1"/>
      <c r="AV203" s="1"/>
      <c r="AW203" s="1"/>
      <c r="AX203" s="3"/>
      <c r="AY203" s="3"/>
      <c r="AZ203" s="5"/>
      <c r="BA203" s="5"/>
      <c r="BB203" s="5"/>
      <c r="BC203" s="5"/>
      <c r="BD203" s="6"/>
      <c r="BE203" s="6"/>
      <c r="BF203" s="12"/>
      <c r="BG203" s="12"/>
      <c r="BH203" s="12"/>
      <c r="BI203" s="12"/>
      <c r="BJ203" s="12"/>
    </row>
    <row r="204" spans="2:62" x14ac:dyDescent="0.25">
      <c r="B204" s="1" t="s">
        <v>1180</v>
      </c>
      <c r="C204" s="1" t="s">
        <v>1781</v>
      </c>
      <c r="D204" s="1" t="s">
        <v>1190</v>
      </c>
      <c r="E204" s="1" t="s">
        <v>1782</v>
      </c>
      <c r="F204" s="1" t="s">
        <v>1783</v>
      </c>
      <c r="G204" s="1" t="s">
        <v>1249</v>
      </c>
      <c r="H204" s="1" t="s">
        <v>1250</v>
      </c>
      <c r="I204" s="7" t="s">
        <v>1187</v>
      </c>
      <c r="J204" s="44">
        <v>1</v>
      </c>
      <c r="K204" s="45">
        <v>1</v>
      </c>
      <c r="L204" s="1">
        <v>996</v>
      </c>
      <c r="M204" s="1" t="s">
        <v>1188</v>
      </c>
      <c r="N204" s="1" t="s">
        <v>1141</v>
      </c>
      <c r="O204" s="1" t="s">
        <v>1189</v>
      </c>
      <c r="P204" s="1" t="s">
        <v>1190</v>
      </c>
      <c r="Q204" s="44">
        <f>IF($L204=996,Multipliers!C$174,IF($L204=997,Multipliers!C$175,IF($L204=998,Multipliers!C$176,"NONE")))</f>
        <v>1.29</v>
      </c>
      <c r="R204" s="44">
        <f>IF($L204=996,Multipliers!C$5,IF($L204=997,Multipliers!C$6,IF($L204=998,Multipliers!C$7,"NONE")))</f>
        <v>1.34</v>
      </c>
      <c r="S204" s="46">
        <f t="shared" si="79"/>
        <v>572333.63565000007</v>
      </c>
      <c r="T204" s="46">
        <f t="shared" si="80"/>
        <v>595942.1664000001</v>
      </c>
      <c r="U204" s="46">
        <f t="shared" si="71"/>
        <v>589982.74473600008</v>
      </c>
      <c r="V204" s="46">
        <f>(S204+U204)/2</f>
        <v>581158.19019300002</v>
      </c>
      <c r="W204" s="47">
        <f t="shared" si="83"/>
        <v>581158.19019300002</v>
      </c>
      <c r="X204" s="47"/>
      <c r="Y204" s="48">
        <f>IF(N204="Standard",(((($Z$3*Q204)+($AD$3*R204*$T$5))/2)*$O$7),IF(N204="Severe",(((($AA$3*Q204)+($AE$3*R204*$T$5))/2)*$O$7),IF(N204="Hostile",(((($AB$3*Q204)+($AF$3*R204*$T$5))/2)*$O$7))))</f>
        <v>465666.31849500001</v>
      </c>
      <c r="Z204" s="48">
        <f>IF(N204="Standard",(((($Z$4*Q204)+($AD$4*R204*$T$5))/2)*$O$7),IF(N204="Severe",(((($AA$4*Q204)+($AE$4*R204*$T$5))/2)*$O$7),IF(N204="Hostile",(((($AB$4*Q204)+($AF$4*R204*$T$5))/2)*$O$7))))</f>
        <v>514428.62433899997</v>
      </c>
      <c r="AA204" s="48">
        <f>IF(N204="Standard",((($Z$5*Q204)+($AD$5*R204*$T$5))/2)*$O$7,IF(N204="Severe",((($AA$5*Q204)+($AE$5*R204*$T$5))/2)*$O$7,IF(N204="Hostile",((($AB$5*Q204)+($AF$5*R204*$T$5))/2)*$O$7)))</f>
        <v>581158.19019300013</v>
      </c>
      <c r="AB204" s="48">
        <f>IF(N204="Standard",((($Z$6*Q204)+($AD$6*R204*$T$5))/2)*$O$7,IF(N204="Severe",((($AA$6*Q204)+($AE$6*R204*$T$5))/2)*$O$7,IF(N204="Hostile",((($AB$6*Q204)+($AF$6*R204*$T$5))/2)*$O$7)))</f>
        <v>629926.37213100016</v>
      </c>
      <c r="AC204" s="48">
        <f>IF(N204="Standard",((($Z$7*Q204)+($AD$7*R204*$T$5))/2)*$O$7,IF(N204="Severe",((($AA$7*Q204)+($AE$7*R204*$T$5))/2)*$O$7,IF(N204="Hostile",((($AB$7*Q204)+($AF$7*R204*$T$5))/2)*$O$7)))</f>
        <v>679867.06659900001</v>
      </c>
      <c r="AD204" s="1"/>
      <c r="AE204" s="1"/>
      <c r="AF204" s="1"/>
      <c r="AI204" s="9"/>
      <c r="AJ204" s="1"/>
      <c r="AK204" s="1"/>
      <c r="AL204" s="1"/>
      <c r="AM204" s="1"/>
      <c r="AN204" s="1"/>
      <c r="AO204" s="1"/>
      <c r="AP204" s="9"/>
      <c r="AQ204" s="3"/>
      <c r="AR204" s="4"/>
      <c r="AS204" s="1"/>
      <c r="AT204" s="1"/>
      <c r="AU204" s="1"/>
      <c r="AV204" s="1"/>
      <c r="AW204" s="1"/>
      <c r="AX204" s="3"/>
      <c r="AY204" s="3"/>
      <c r="AZ204" s="5"/>
      <c r="BA204" s="5"/>
      <c r="BB204" s="5"/>
      <c r="BC204" s="5"/>
      <c r="BD204" s="6"/>
      <c r="BE204" s="6"/>
      <c r="BF204" s="12"/>
      <c r="BG204" s="12"/>
      <c r="BH204" s="12"/>
      <c r="BI204" s="12"/>
      <c r="BJ204" s="12"/>
    </row>
    <row r="205" spans="2:62" x14ac:dyDescent="0.25">
      <c r="B205" s="1" t="s">
        <v>1180</v>
      </c>
      <c r="C205" s="1" t="s">
        <v>1784</v>
      </c>
      <c r="D205" s="1" t="s">
        <v>1190</v>
      </c>
      <c r="E205" s="1" t="s">
        <v>1785</v>
      </c>
      <c r="F205" s="1" t="s">
        <v>1786</v>
      </c>
      <c r="G205" s="1" t="s">
        <v>1202</v>
      </c>
      <c r="H205" s="1" t="s">
        <v>1203</v>
      </c>
      <c r="I205" s="7" t="s">
        <v>1187</v>
      </c>
      <c r="J205" s="44">
        <v>1</v>
      </c>
      <c r="K205" s="45">
        <v>1</v>
      </c>
      <c r="L205" s="1">
        <v>997</v>
      </c>
      <c r="M205" s="1" t="s">
        <v>1188</v>
      </c>
      <c r="N205" s="1" t="s">
        <v>1141</v>
      </c>
      <c r="O205" s="1" t="s">
        <v>1189</v>
      </c>
      <c r="P205" s="7" t="s">
        <v>1073</v>
      </c>
      <c r="Q205" s="44">
        <f>IF($L205=996,Multipliers!C$174,IF($L205=997,Multipliers!C$175,IF($L205=998,Multipliers!C$176,"NONE")))</f>
        <v>1.3</v>
      </c>
      <c r="R205" s="44">
        <f>IF($L205=996,Multipliers!C$5,IF($L205=997,Multipliers!C$6,IF($L205=998,Multipliers!C$7,"NONE")))</f>
        <v>1.34</v>
      </c>
      <c r="S205" s="46">
        <f t="shared" si="79"/>
        <v>576770.33050000016</v>
      </c>
      <c r="T205" s="46">
        <f t="shared" si="80"/>
        <v>595942.1664000001</v>
      </c>
      <c r="U205" s="46">
        <f t="shared" si="71"/>
        <v>589982.74473600008</v>
      </c>
      <c r="V205" s="46">
        <f>((S205+U205)/2*1.15)</f>
        <v>670883.01826070005</v>
      </c>
      <c r="W205" s="47">
        <f t="shared" si="83"/>
        <v>670883.01826070005</v>
      </c>
      <c r="X205" s="47"/>
      <c r="Y205" s="48">
        <f>IF(N205="Standard",(((($Z$3*Q205)+($AD$3*R205*$T$5))/2)*$O$7*1.15),IF(N205="Severe",(((($AA$3*Q205)+($AE$3*R205*$T$5))/2)*$O$7*1.15),IF(N205="Hostile",(((($AB$3*Q205)+($AF$3*R205*$T$5))/2)*$O$7*1.15))))</f>
        <v>537627.23286300001</v>
      </c>
      <c r="Z205" s="48">
        <f>IF(N205="Standard",(((($Z$4*Q205)+($AD$4*R205*$T$5))/2)*$O$7*1.15),IF(N205="Severe",(((($AA$4*Q205)+($AE$4*R205*$T$5))/2)*$O$7*1.15),IF(N205="Hostile",(((($AB$4*Q205)+($AF$4*R205*$T$5))/2)*$O$7*1.15))))</f>
        <v>593892.8539060998</v>
      </c>
      <c r="AA205" s="48">
        <f>IF(N205="Standard",(((($Z$5*Q205)+($AD$5*R205*$T$5))/2)*$O$7*1.15),IF(N205="Severe",(((($AA$5*Q205)+($AE$5*R205*$T$5))/2)*$O$7*1.15),IF(N205="Hostile",(((($AB$5*Q205)+($AF$5*R205*$T$5))/2)*$O$7*1.15))))</f>
        <v>670883.01826070005</v>
      </c>
      <c r="AB205" s="48">
        <f>IF(N205="Standard",(((($Z$6*Q205)+($AD$6*R205*$T$5))/2)*$O$7*1.15),IF(N205="Severe",(((($AA$6*Q205)+($AE$6*R205*$T$5))/2)*$O$7*1.15),IF(N205="Hostile",(((($AB$6*Q205)+($AF$6*R205*$T$5))/2)*$O$7*1.15))))</f>
        <v>727154.03193440009</v>
      </c>
      <c r="AC205" s="48">
        <f>IF(N205="Standard",(((($Z$7*Q205)+($AD$7*R205*$T$5))/2)*$O$7*1.15),IF(N205="Severe",(((($AA$7*Q205)+($AE$7*R205*$T$5))/2)*$O$7*1.15),IF(N205="Hostile",(((($AB$7*Q205)+($AF$7*R205*$T$5))/2)*$O$7*1.15))))</f>
        <v>784795.42359260004</v>
      </c>
      <c r="AD205" s="1"/>
      <c r="AE205" s="1"/>
      <c r="AF205" s="1"/>
      <c r="AI205" s="9"/>
      <c r="AJ205" s="1"/>
      <c r="AK205" s="1"/>
      <c r="AL205" s="1"/>
      <c r="AM205" s="1"/>
      <c r="AN205" s="1"/>
      <c r="AO205" s="1"/>
      <c r="AP205" s="9"/>
      <c r="AQ205" s="3"/>
      <c r="AR205" s="4"/>
      <c r="AS205" s="1"/>
      <c r="AT205" s="1"/>
      <c r="AU205" s="1"/>
      <c r="AV205" s="1"/>
      <c r="AW205" s="1"/>
      <c r="AX205" s="3"/>
      <c r="AY205" s="3"/>
      <c r="AZ205" s="5"/>
      <c r="BA205" s="5"/>
      <c r="BB205" s="5"/>
      <c r="BC205" s="5"/>
      <c r="BD205" s="6"/>
      <c r="BE205" s="6"/>
      <c r="BF205" s="12"/>
      <c r="BG205" s="12"/>
      <c r="BH205" s="12"/>
      <c r="BI205" s="12"/>
      <c r="BJ205" s="12"/>
    </row>
    <row r="206" spans="2:62" x14ac:dyDescent="0.25">
      <c r="B206" s="1" t="s">
        <v>1180</v>
      </c>
      <c r="C206" s="1" t="s">
        <v>1787</v>
      </c>
      <c r="D206" s="1" t="s">
        <v>1190</v>
      </c>
      <c r="E206" s="1" t="s">
        <v>1788</v>
      </c>
      <c r="F206" s="1" t="s">
        <v>1789</v>
      </c>
      <c r="G206" s="1" t="s">
        <v>1236</v>
      </c>
      <c r="H206" s="1" t="s">
        <v>1237</v>
      </c>
      <c r="I206" s="7" t="s">
        <v>1187</v>
      </c>
      <c r="J206" s="44">
        <v>1</v>
      </c>
      <c r="K206" s="45">
        <v>1</v>
      </c>
      <c r="L206" s="1">
        <v>997</v>
      </c>
      <c r="M206" s="1" t="s">
        <v>1188</v>
      </c>
      <c r="N206" s="1" t="s">
        <v>1141</v>
      </c>
      <c r="O206" s="1" t="s">
        <v>1189</v>
      </c>
      <c r="P206" s="7" t="s">
        <v>1073</v>
      </c>
      <c r="Q206" s="44">
        <f>IF($L206=996,Multipliers!C$174,IF($L206=997,Multipliers!C$175,IF($L206=998,Multipliers!C$176,"NONE")))</f>
        <v>1.3</v>
      </c>
      <c r="R206" s="44">
        <f>IF($L206=996,Multipliers!C$5,IF($L206=997,Multipliers!C$6,IF($L206=998,Multipliers!C$7,"NONE")))</f>
        <v>1.34</v>
      </c>
      <c r="S206" s="46">
        <f t="shared" si="79"/>
        <v>576770.33050000016</v>
      </c>
      <c r="T206" s="46">
        <f t="shared" si="80"/>
        <v>595942.1664000001</v>
      </c>
      <c r="U206" s="46">
        <f t="shared" ref="U206:U222" si="84">IF(O206="E",$T$3*T206,IF(O206="C",$T$4*T206,IF(O206="W",$T$5*T206,1)))</f>
        <v>589982.74473600008</v>
      </c>
      <c r="V206" s="46">
        <f>((S206+U206)/2*1.15)</f>
        <v>670883.01826070005</v>
      </c>
      <c r="W206" s="47">
        <f t="shared" si="83"/>
        <v>670883.01826070005</v>
      </c>
      <c r="X206" s="47"/>
      <c r="Y206" s="48">
        <f>IF(N206="Standard",(((($Z$3*Q206)+($AD$3*R206*$T$5))/2)*$O$7*1.15),IF(N206="Severe",(((($AA$3*Q206)+($AE$3*R206*$T$5))/2)*$O$7*1.15),IF(N206="Hostile",(((($AB$3*Q206)+($AF$3*R206*$T$5))/2)*$O$7*1.15))))</f>
        <v>537627.23286300001</v>
      </c>
      <c r="Z206" s="48">
        <f>IF(N206="Standard",(((($Z$4*Q206)+($AD$4*R206*$T$5))/2)*$O$7*1.15),IF(N206="Severe",(((($AA$4*Q206)+($AE$4*R206*$T$5))/2)*$O$7*1.15),IF(N206="Hostile",(((($AB$4*Q206)+($AF$4*R206*$T$5))/2)*$O$7*1.15))))</f>
        <v>593892.8539060998</v>
      </c>
      <c r="AA206" s="48">
        <f>IF(N206="Standard",(((($Z$5*Q206)+($AD$5*R206*$T$5))/2)*$O$7*1.15),IF(N206="Severe",(((($AA$5*Q206)+($AE$5*R206*$T$5))/2)*$O$7*1.15),IF(N206="Hostile",(((($AB$5*Q206)+($AF$5*R206*$T$5))/2)*$O$7*1.15))))</f>
        <v>670883.01826070005</v>
      </c>
      <c r="AB206" s="48">
        <f>IF(N206="Standard",(((($Z$6*Q206)+($AD$6*R206*$T$5))/2)*$O$7*1.15),IF(N206="Severe",(((($AA$6*Q206)+($AE$6*R206*$T$5))/2)*$O$7*1.15),IF(N206="Hostile",(((($AB$6*Q206)+($AF$6*R206*$T$5))/2)*$O$7*1.15))))</f>
        <v>727154.03193440009</v>
      </c>
      <c r="AC206" s="48">
        <f>IF(N206="Standard",(((($Z$7*Q206)+($AD$7*R206*$T$5))/2)*$O$7*1.15),IF(N206="Severe",(((($AA$7*Q206)+($AE$7*R206*$T$5))/2)*$O$7*1.15),IF(N206="Hostile",(((($AB$7*Q206)+($AF$7*R206*$T$5))/2)*$O$7*1.15))))</f>
        <v>784795.42359260004</v>
      </c>
      <c r="AD206" s="1"/>
      <c r="AE206" s="1"/>
      <c r="AF206" s="1"/>
      <c r="AI206" s="9"/>
      <c r="AJ206" s="1"/>
      <c r="AK206" s="1"/>
      <c r="AL206" s="1"/>
      <c r="AM206" s="1"/>
      <c r="AN206" s="1"/>
      <c r="AO206" s="1"/>
      <c r="AP206" s="9"/>
      <c r="AQ206" s="3"/>
      <c r="AR206" s="4"/>
      <c r="AS206" s="1"/>
      <c r="AT206" s="1"/>
      <c r="AU206" s="1"/>
      <c r="AV206" s="1"/>
      <c r="AW206" s="1"/>
      <c r="AX206" s="3"/>
      <c r="AY206" s="3"/>
      <c r="AZ206" s="5"/>
      <c r="BA206" s="5"/>
      <c r="BB206" s="5"/>
      <c r="BC206" s="5"/>
      <c r="BD206" s="6"/>
      <c r="BE206" s="6"/>
      <c r="BF206" s="12"/>
      <c r="BG206" s="12"/>
      <c r="BH206" s="12"/>
      <c r="BI206" s="12"/>
      <c r="BJ206" s="12"/>
    </row>
    <row r="207" spans="2:62" x14ac:dyDescent="0.25">
      <c r="B207" s="1" t="s">
        <v>1180</v>
      </c>
      <c r="C207" s="1" t="s">
        <v>1790</v>
      </c>
      <c r="D207" s="1" t="s">
        <v>1190</v>
      </c>
      <c r="E207" s="1" t="s">
        <v>1791</v>
      </c>
      <c r="F207" s="1" t="s">
        <v>1792</v>
      </c>
      <c r="G207" s="1" t="s">
        <v>1323</v>
      </c>
      <c r="H207" s="1" t="s">
        <v>1324</v>
      </c>
      <c r="I207" s="7" t="s">
        <v>1187</v>
      </c>
      <c r="J207" s="44">
        <v>1</v>
      </c>
      <c r="K207" s="45">
        <v>1</v>
      </c>
      <c r="L207" s="1">
        <v>996</v>
      </c>
      <c r="M207" s="1" t="s">
        <v>1188</v>
      </c>
      <c r="N207" s="1" t="s">
        <v>1141</v>
      </c>
      <c r="O207" s="1" t="s">
        <v>1189</v>
      </c>
      <c r="P207" s="1" t="s">
        <v>1190</v>
      </c>
      <c r="Q207" s="44">
        <f>IF($L207=996,Multipliers!C$174,IF($L207=997,Multipliers!C$175,IF($L207=998,Multipliers!C$176,"NONE")))</f>
        <v>1.29</v>
      </c>
      <c r="R207" s="44">
        <f>IF($L207=996,Multipliers!C$5,IF($L207=997,Multipliers!C$6,IF($L207=998,Multipliers!C$7,"NONE")))</f>
        <v>1.34</v>
      </c>
      <c r="S207" s="46">
        <f t="shared" si="79"/>
        <v>572333.63565000007</v>
      </c>
      <c r="T207" s="46">
        <f t="shared" si="80"/>
        <v>595942.1664000001</v>
      </c>
      <c r="U207" s="46">
        <f t="shared" si="84"/>
        <v>589982.74473600008</v>
      </c>
      <c r="V207" s="46">
        <f>(S207+U207)/2</f>
        <v>581158.19019300002</v>
      </c>
      <c r="W207" s="47">
        <f t="shared" si="83"/>
        <v>581158.19019300002</v>
      </c>
      <c r="X207" s="47"/>
      <c r="Y207" s="48">
        <f>IF(N207="Standard",(((($Z$3*Q207)+($AD$3*R207*$T$5))/2)*$O$7),IF(N207="Severe",(((($AA$3*Q207)+($AE$3*R207*$T$5))/2)*$O$7),IF(N207="Hostile",(((($AB$3*Q207)+($AF$3*R207*$T$5))/2)*$O$7))))</f>
        <v>465666.31849500001</v>
      </c>
      <c r="Z207" s="48">
        <f>IF(N207="Standard",(((($Z$4*Q207)+($AD$4*R207*$T$5))/2)*$O$7),IF(N207="Severe",(((($AA$4*Q207)+($AE$4*R207*$T$5))/2)*$O$7),IF(N207="Hostile",(((($AB$4*Q207)+($AF$4*R207*$T$5))/2)*$O$7))))</f>
        <v>514428.62433899997</v>
      </c>
      <c r="AA207" s="48">
        <f>IF(N207="Standard",((($Z$5*Q207)+($AD$5*R207*$T$5))/2)*$O$7,IF(N207="Severe",((($AA$5*Q207)+($AE$5*R207*$T$5))/2)*$O$7,IF(N207="Hostile",((($AB$5*Q207)+($AF$5*R207*$T$5))/2)*$O$7)))</f>
        <v>581158.19019300013</v>
      </c>
      <c r="AB207" s="48">
        <f>IF(N207="Standard",((($Z$6*Q207)+($AD$6*R207*$T$5))/2)*$O$7,IF(N207="Severe",((($AA$6*Q207)+($AE$6*R207*$T$5))/2)*$O$7,IF(N207="Hostile",((($AB$6*Q207)+($AF$6*R207*$T$5))/2)*$O$7)))</f>
        <v>629926.37213100016</v>
      </c>
      <c r="AC207" s="48">
        <f>IF(N207="Standard",((($Z$7*Q207)+($AD$7*R207*$T$5))/2)*$O$7,IF(N207="Severe",((($AA$7*Q207)+($AE$7*R207*$T$5))/2)*$O$7,IF(N207="Hostile",((($AB$7*Q207)+($AF$7*R207*$T$5))/2)*$O$7)))</f>
        <v>679867.06659900001</v>
      </c>
      <c r="AD207" s="1"/>
      <c r="AE207" s="1"/>
      <c r="AF207" s="1"/>
      <c r="AI207" s="9"/>
      <c r="AJ207" s="1"/>
      <c r="AK207" s="1"/>
      <c r="AL207" s="1"/>
      <c r="AM207" s="1"/>
      <c r="AN207" s="1"/>
      <c r="AO207" s="1"/>
      <c r="AP207" s="9"/>
      <c r="AQ207" s="3"/>
      <c r="AR207" s="4"/>
      <c r="AS207" s="1"/>
      <c r="AT207" s="1"/>
      <c r="AU207" s="1"/>
      <c r="AV207" s="1"/>
      <c r="AW207" s="1"/>
      <c r="AX207" s="3"/>
      <c r="AY207" s="3"/>
      <c r="AZ207" s="5"/>
      <c r="BA207" s="5"/>
      <c r="BB207" s="5"/>
      <c r="BC207" s="5"/>
      <c r="BD207" s="6"/>
      <c r="BE207" s="6"/>
      <c r="BF207" s="12"/>
      <c r="BG207" s="12"/>
      <c r="BH207" s="12"/>
      <c r="BI207" s="12"/>
      <c r="BJ207" s="12"/>
    </row>
    <row r="208" spans="2:62" x14ac:dyDescent="0.25">
      <c r="B208" s="1" t="s">
        <v>1180</v>
      </c>
      <c r="C208" s="1" t="s">
        <v>1793</v>
      </c>
      <c r="D208" s="1" t="s">
        <v>1190</v>
      </c>
      <c r="E208" s="1" t="s">
        <v>1794</v>
      </c>
      <c r="F208" s="1" t="s">
        <v>1795</v>
      </c>
      <c r="G208" s="1" t="s">
        <v>1218</v>
      </c>
      <c r="H208" s="1" t="s">
        <v>1219</v>
      </c>
      <c r="I208" s="7" t="s">
        <v>1187</v>
      </c>
      <c r="J208" s="44">
        <v>1</v>
      </c>
      <c r="K208" s="45">
        <v>1</v>
      </c>
      <c r="L208" s="1">
        <v>997</v>
      </c>
      <c r="M208" s="1" t="s">
        <v>1188</v>
      </c>
      <c r="N208" s="1" t="s">
        <v>1141</v>
      </c>
      <c r="O208" s="1" t="s">
        <v>1189</v>
      </c>
      <c r="P208" s="7" t="s">
        <v>1073</v>
      </c>
      <c r="Q208" s="44">
        <f>IF($L208=996,Multipliers!C$174,IF($L208=997,Multipliers!C$175,IF($L208=998,Multipliers!C$176,"NONE")))</f>
        <v>1.3</v>
      </c>
      <c r="R208" s="44">
        <f>IF($L208=996,Multipliers!C$5,IF($L208=997,Multipliers!C$6,IF($L208=998,Multipliers!C$7,"NONE")))</f>
        <v>1.34</v>
      </c>
      <c r="S208" s="46">
        <f t="shared" si="79"/>
        <v>576770.33050000016</v>
      </c>
      <c r="T208" s="46">
        <f t="shared" si="80"/>
        <v>595942.1664000001</v>
      </c>
      <c r="U208" s="46">
        <f t="shared" si="84"/>
        <v>589982.74473600008</v>
      </c>
      <c r="V208" s="46">
        <f>((S208+U208)/2*1.15)</f>
        <v>670883.01826070005</v>
      </c>
      <c r="W208" s="47">
        <f t="shared" si="83"/>
        <v>670883.01826070005</v>
      </c>
      <c r="X208" s="47"/>
      <c r="Y208" s="48">
        <f>IF(N208="Standard",(((($Z$3*Q208)+($AD$3*R208*$T$5))/2)*$O$7*1.15),IF(N208="Severe",(((($AA$3*Q208)+($AE$3*R208*$T$5))/2)*$O$7*1.15),IF(N208="Hostile",(((($AB$3*Q208)+($AF$3*R208*$T$5))/2)*$O$7*1.15))))</f>
        <v>537627.23286300001</v>
      </c>
      <c r="Z208" s="48">
        <f>IF(N208="Standard",(((($Z$4*Q208)+($AD$4*R208*$T$5))/2)*$O$7*1.15),IF(N208="Severe",(((($AA$4*Q208)+($AE$4*R208*$T$5))/2)*$O$7*1.15),IF(N208="Hostile",(((($AB$4*Q208)+($AF$4*R208*$T$5))/2)*$O$7*1.15))))</f>
        <v>593892.8539060998</v>
      </c>
      <c r="AA208" s="48">
        <f>IF(N208="Standard",(((($Z$5*Q208)+($AD$5*R208*$T$5))/2)*$O$7*1.15),IF(N208="Severe",(((($AA$5*Q208)+($AE$5*R208*$T$5))/2)*$O$7*1.15),IF(N208="Hostile",(((($AB$5*Q208)+($AF$5*R208*$T$5))/2)*$O$7*1.15))))</f>
        <v>670883.01826070005</v>
      </c>
      <c r="AB208" s="48">
        <f>IF(N208="Standard",(((($Z$6*Q208)+($AD$6*R208*$T$5))/2)*$O$7*1.15),IF(N208="Severe",(((($AA$6*Q208)+($AE$6*R208*$T$5))/2)*$O$7*1.15),IF(N208="Hostile",(((($AB$6*Q208)+($AF$6*R208*$T$5))/2)*$O$7*1.15))))</f>
        <v>727154.03193440009</v>
      </c>
      <c r="AC208" s="48">
        <f>IF(N208="Standard",(((($Z$7*Q208)+($AD$7*R208*$T$5))/2)*$O$7*1.15),IF(N208="Severe",(((($AA$7*Q208)+($AE$7*R208*$T$5))/2)*$O$7*1.15),IF(N208="Hostile",(((($AB$7*Q208)+($AF$7*R208*$T$5))/2)*$O$7*1.15))))</f>
        <v>784795.42359260004</v>
      </c>
      <c r="AD208" s="1"/>
      <c r="AE208" s="1"/>
      <c r="AF208" s="1"/>
      <c r="AI208" s="9"/>
      <c r="AJ208" s="1"/>
      <c r="AK208" s="1"/>
      <c r="AL208" s="1"/>
      <c r="AM208" s="1"/>
      <c r="AN208" s="1"/>
      <c r="AO208" s="1"/>
      <c r="AP208" s="9"/>
      <c r="AQ208" s="3"/>
      <c r="AR208" s="4"/>
      <c r="AS208" s="1"/>
      <c r="AT208" s="1"/>
      <c r="AU208" s="1"/>
      <c r="AV208" s="1"/>
      <c r="AW208" s="1"/>
      <c r="AX208" s="3"/>
      <c r="AY208" s="3"/>
      <c r="AZ208" s="5"/>
      <c r="BA208" s="5"/>
      <c r="BB208" s="5"/>
      <c r="BC208" s="5"/>
      <c r="BD208" s="6"/>
      <c r="BE208" s="6"/>
      <c r="BF208" s="12"/>
      <c r="BG208" s="12"/>
      <c r="BH208" s="12"/>
      <c r="BI208" s="12"/>
      <c r="BJ208" s="12"/>
    </row>
    <row r="209" spans="2:62" x14ac:dyDescent="0.25">
      <c r="B209" s="1" t="s">
        <v>1180</v>
      </c>
      <c r="C209" s="1" t="s">
        <v>1796</v>
      </c>
      <c r="D209" s="1" t="s">
        <v>1190</v>
      </c>
      <c r="E209" s="1" t="s">
        <v>1797</v>
      </c>
      <c r="F209" s="1" t="s">
        <v>1798</v>
      </c>
      <c r="G209" s="1" t="s">
        <v>1294</v>
      </c>
      <c r="H209" s="1" t="s">
        <v>1295</v>
      </c>
      <c r="I209" s="7" t="s">
        <v>1187</v>
      </c>
      <c r="J209" s="44">
        <v>1</v>
      </c>
      <c r="K209" s="45">
        <v>1</v>
      </c>
      <c r="L209" s="1">
        <v>997</v>
      </c>
      <c r="M209" s="1" t="s">
        <v>1188</v>
      </c>
      <c r="N209" s="1" t="s">
        <v>1141</v>
      </c>
      <c r="O209" s="1" t="s">
        <v>1189</v>
      </c>
      <c r="P209" s="7" t="s">
        <v>1073</v>
      </c>
      <c r="Q209" s="44">
        <f>IF($L209=996,Multipliers!C$174,IF($L209=997,Multipliers!C$175,IF($L209=998,Multipliers!C$176,"NONE")))</f>
        <v>1.3</v>
      </c>
      <c r="R209" s="44">
        <f>IF($L209=996,Multipliers!C$5,IF($L209=997,Multipliers!C$6,IF($L209=998,Multipliers!C$7,"NONE")))</f>
        <v>1.34</v>
      </c>
      <c r="S209" s="46">
        <f t="shared" si="79"/>
        <v>576770.33050000016</v>
      </c>
      <c r="T209" s="46">
        <f t="shared" si="80"/>
        <v>595942.1664000001</v>
      </c>
      <c r="U209" s="46">
        <f t="shared" si="84"/>
        <v>589982.74473600008</v>
      </c>
      <c r="V209" s="46">
        <f>((S209+U209)/2*1.15)</f>
        <v>670883.01826070005</v>
      </c>
      <c r="W209" s="47">
        <f t="shared" si="83"/>
        <v>670883.01826070005</v>
      </c>
      <c r="X209" s="47"/>
      <c r="Y209" s="48">
        <f>IF(N209="Standard",(((($Z$3*Q209)+($AD$3*R209*$T$5))/2)*$O$7*1.15),IF(N209="Severe",(((($AA$3*Q209)+($AE$3*R209*$T$5))/2)*$O$7*1.15),IF(N209="Hostile",(((($AB$3*Q209)+($AF$3*R209*$T$5))/2)*$O$7*1.15))))</f>
        <v>537627.23286300001</v>
      </c>
      <c r="Z209" s="48">
        <f>IF(N209="Standard",(((($Z$4*Q209)+($AD$4*R209*$T$5))/2)*$O$7*1.15),IF(N209="Severe",(((($AA$4*Q209)+($AE$4*R209*$T$5))/2)*$O$7*1.15),IF(N209="Hostile",(((($AB$4*Q209)+($AF$4*R209*$T$5))/2)*$O$7*1.15))))</f>
        <v>593892.8539060998</v>
      </c>
      <c r="AA209" s="48">
        <f>IF(N209="Standard",(((($Z$5*Q209)+($AD$5*R209*$T$5))/2)*$O$7*1.15),IF(N209="Severe",(((($AA$5*Q209)+($AE$5*R209*$T$5))/2)*$O$7*1.15),IF(N209="Hostile",(((($AB$5*Q209)+($AF$5*R209*$T$5))/2)*$O$7*1.15))))</f>
        <v>670883.01826070005</v>
      </c>
      <c r="AB209" s="48">
        <f>IF(N209="Standard",(((($Z$6*Q209)+($AD$6*R209*$T$5))/2)*$O$7*1.15),IF(N209="Severe",(((($AA$6*Q209)+($AE$6*R209*$T$5))/2)*$O$7*1.15),IF(N209="Hostile",(((($AB$6*Q209)+($AF$6*R209*$T$5))/2)*$O$7*1.15))))</f>
        <v>727154.03193440009</v>
      </c>
      <c r="AC209" s="48">
        <f>IF(N209="Standard",(((($Z$7*Q209)+($AD$7*R209*$T$5))/2)*$O$7*1.15),IF(N209="Severe",(((($AA$7*Q209)+($AE$7*R209*$T$5))/2)*$O$7*1.15),IF(N209="Hostile",(((($AB$7*Q209)+($AF$7*R209*$T$5))/2)*$O$7*1.15))))</f>
        <v>784795.42359260004</v>
      </c>
      <c r="AD209" s="1"/>
      <c r="AE209" s="1"/>
      <c r="AF209" s="1"/>
      <c r="AI209" s="9"/>
      <c r="AJ209" s="1"/>
      <c r="AK209" s="1"/>
      <c r="AL209" s="1"/>
      <c r="AM209" s="1"/>
      <c r="AN209" s="1"/>
      <c r="AO209" s="1"/>
      <c r="AP209" s="9"/>
      <c r="AQ209" s="3"/>
      <c r="AR209" s="4"/>
      <c r="AS209" s="1"/>
      <c r="AT209" s="1"/>
      <c r="AU209" s="1"/>
      <c r="AV209" s="1"/>
      <c r="AW209" s="1"/>
      <c r="AX209" s="3"/>
      <c r="AY209" s="3"/>
      <c r="AZ209" s="5"/>
      <c r="BA209" s="5"/>
      <c r="BB209" s="5"/>
      <c r="BC209" s="5"/>
      <c r="BD209" s="6"/>
      <c r="BE209" s="6"/>
      <c r="BF209" s="12"/>
      <c r="BG209" s="12"/>
      <c r="BH209" s="12"/>
      <c r="BI209" s="12"/>
      <c r="BJ209" s="12"/>
    </row>
    <row r="210" spans="2:62" x14ac:dyDescent="0.25">
      <c r="B210" s="1" t="s">
        <v>1180</v>
      </c>
      <c r="C210" s="1" t="s">
        <v>1799</v>
      </c>
      <c r="D210" s="1" t="s">
        <v>1190</v>
      </c>
      <c r="E210" s="1" t="s">
        <v>1800</v>
      </c>
      <c r="F210" s="1" t="s">
        <v>1801</v>
      </c>
      <c r="G210" s="1" t="s">
        <v>1202</v>
      </c>
      <c r="H210" s="1" t="s">
        <v>1203</v>
      </c>
      <c r="I210" s="7" t="s">
        <v>1187</v>
      </c>
      <c r="J210" s="44">
        <v>1</v>
      </c>
      <c r="K210" s="45">
        <v>1</v>
      </c>
      <c r="L210" s="1">
        <v>997</v>
      </c>
      <c r="M210" s="1" t="s">
        <v>1188</v>
      </c>
      <c r="N210" s="1" t="s">
        <v>1141</v>
      </c>
      <c r="O210" s="1" t="s">
        <v>1189</v>
      </c>
      <c r="P210" s="7" t="s">
        <v>1073</v>
      </c>
      <c r="Q210" s="44">
        <f>IF($L210=996,Multipliers!C$174,IF($L210=997,Multipliers!C$175,IF($L210=998,Multipliers!C$176,"NONE")))</f>
        <v>1.3</v>
      </c>
      <c r="R210" s="44">
        <f>IF($L210=996,Multipliers!C$5,IF($L210=997,Multipliers!C$6,IF($L210=998,Multipliers!C$7,"NONE")))</f>
        <v>1.34</v>
      </c>
      <c r="S210" s="46">
        <f t="shared" si="79"/>
        <v>576770.33050000016</v>
      </c>
      <c r="T210" s="46">
        <f t="shared" si="80"/>
        <v>595942.1664000001</v>
      </c>
      <c r="U210" s="46">
        <f t="shared" si="84"/>
        <v>589982.74473600008</v>
      </c>
      <c r="V210" s="46">
        <f>((S210+U210)/2*1.15)</f>
        <v>670883.01826070005</v>
      </c>
      <c r="W210" s="47">
        <f t="shared" si="83"/>
        <v>670883.01826070005</v>
      </c>
      <c r="X210" s="47"/>
      <c r="Y210" s="48">
        <f>IF(N210="Standard",(((($Z$3*Q210)+($AD$3*R210*$T$5))/2)*$O$7*1.15),IF(N210="Severe",(((($AA$3*Q210)+($AE$3*R210*$T$5))/2)*$O$7*1.15),IF(N210="Hostile",(((($AB$3*Q210)+($AF$3*R210*$T$5))/2)*$O$7*1.15))))</f>
        <v>537627.23286300001</v>
      </c>
      <c r="Z210" s="48">
        <f>IF(N210="Standard",(((($Z$4*Q210)+($AD$4*R210*$T$5))/2)*$O$7*1.15),IF(N210="Severe",(((($AA$4*Q210)+($AE$4*R210*$T$5))/2)*$O$7*1.15),IF(N210="Hostile",(((($AB$4*Q210)+($AF$4*R210*$T$5))/2)*$O$7*1.15))))</f>
        <v>593892.8539060998</v>
      </c>
      <c r="AA210" s="48">
        <f>IF(N210="Standard",(((($Z$5*Q210)+($AD$5*R210*$T$5))/2)*$O$7*1.15),IF(N210="Severe",(((($AA$5*Q210)+($AE$5*R210*$T$5))/2)*$O$7*1.15),IF(N210="Hostile",(((($AB$5*Q210)+($AF$5*R210*$T$5))/2)*$O$7*1.15))))</f>
        <v>670883.01826070005</v>
      </c>
      <c r="AB210" s="48">
        <f>IF(N210="Standard",(((($Z$6*Q210)+($AD$6*R210*$T$5))/2)*$O$7*1.15),IF(N210="Severe",(((($AA$6*Q210)+($AE$6*R210*$T$5))/2)*$O$7*1.15),IF(N210="Hostile",(((($AB$6*Q210)+($AF$6*R210*$T$5))/2)*$O$7*1.15))))</f>
        <v>727154.03193440009</v>
      </c>
      <c r="AC210" s="48">
        <f>IF(N210="Standard",(((($Z$7*Q210)+($AD$7*R210*$T$5))/2)*$O$7*1.15),IF(N210="Severe",(((($AA$7*Q210)+($AE$7*R210*$T$5))/2)*$O$7*1.15),IF(N210="Hostile",(((($AB$7*Q210)+($AF$7*R210*$T$5))/2)*$O$7*1.15))))</f>
        <v>784795.42359260004</v>
      </c>
      <c r="AD210" s="1"/>
      <c r="AE210" s="1"/>
      <c r="AF210" s="1"/>
      <c r="AI210" s="9"/>
      <c r="AJ210" s="1"/>
      <c r="AK210" s="1"/>
      <c r="AL210" s="1"/>
      <c r="AM210" s="1"/>
      <c r="AN210" s="1"/>
      <c r="AO210" s="1"/>
      <c r="AP210" s="9"/>
      <c r="AQ210" s="3"/>
      <c r="AR210" s="4"/>
      <c r="AS210" s="1"/>
      <c r="AT210" s="1"/>
      <c r="AU210" s="1"/>
      <c r="AV210" s="1"/>
      <c r="AW210" s="1"/>
      <c r="AX210" s="3"/>
      <c r="AY210" s="3"/>
      <c r="AZ210" s="5"/>
      <c r="BA210" s="5"/>
      <c r="BB210" s="5"/>
      <c r="BC210" s="5"/>
      <c r="BD210" s="6"/>
      <c r="BE210" s="6"/>
      <c r="BF210" s="12"/>
      <c r="BG210" s="12"/>
      <c r="BH210" s="12"/>
      <c r="BI210" s="12"/>
      <c r="BJ210" s="12"/>
    </row>
    <row r="211" spans="2:62" x14ac:dyDescent="0.25">
      <c r="B211" s="1" t="s">
        <v>1180</v>
      </c>
      <c r="C211" s="1" t="s">
        <v>1802</v>
      </c>
      <c r="D211" s="1" t="s">
        <v>1190</v>
      </c>
      <c r="E211" s="1" t="s">
        <v>1803</v>
      </c>
      <c r="F211" s="1" t="s">
        <v>1804</v>
      </c>
      <c r="G211" s="1" t="s">
        <v>1294</v>
      </c>
      <c r="H211" s="1" t="s">
        <v>1295</v>
      </c>
      <c r="I211" s="7" t="s">
        <v>1187</v>
      </c>
      <c r="J211" s="44">
        <v>1</v>
      </c>
      <c r="K211" s="45">
        <v>1</v>
      </c>
      <c r="L211" s="1">
        <v>997</v>
      </c>
      <c r="M211" s="1" t="s">
        <v>1188</v>
      </c>
      <c r="N211" s="1" t="s">
        <v>1141</v>
      </c>
      <c r="O211" s="1" t="s">
        <v>1189</v>
      </c>
      <c r="P211" s="7" t="s">
        <v>1073</v>
      </c>
      <c r="Q211" s="44">
        <f>IF($L211=996,Multipliers!C$174,IF($L211=997,Multipliers!C$175,IF($L211=998,Multipliers!C$176,"NONE")))</f>
        <v>1.3</v>
      </c>
      <c r="R211" s="44">
        <f>IF($L211=996,Multipliers!C$5,IF($L211=997,Multipliers!C$6,IF($L211=998,Multipliers!C$7,"NONE")))</f>
        <v>1.34</v>
      </c>
      <c r="S211" s="46">
        <f t="shared" si="79"/>
        <v>576770.33050000016</v>
      </c>
      <c r="T211" s="46">
        <f t="shared" si="80"/>
        <v>595942.1664000001</v>
      </c>
      <c r="U211" s="46">
        <f t="shared" si="84"/>
        <v>589982.74473600008</v>
      </c>
      <c r="V211" s="46">
        <f>((S211+U211)/2*1.15)</f>
        <v>670883.01826070005</v>
      </c>
      <c r="W211" s="47">
        <f t="shared" si="83"/>
        <v>670883.01826070005</v>
      </c>
      <c r="X211" s="47"/>
      <c r="Y211" s="48">
        <f>IF(N211="Standard",(((($Z$3*Q211)+($AD$3*R211*$T$5))/2)*$O$7*1.15),IF(N211="Severe",(((($AA$3*Q211)+($AE$3*R211*$T$5))/2)*$O$7*1.15),IF(N211="Hostile",(((($AB$3*Q211)+($AF$3*R211*$T$5))/2)*$O$7*1.15))))</f>
        <v>537627.23286300001</v>
      </c>
      <c r="Z211" s="48">
        <f>IF(N211="Standard",(((($Z$4*Q211)+($AD$4*R211*$T$5))/2)*$O$7*1.15),IF(N211="Severe",(((($AA$4*Q211)+($AE$4*R211*$T$5))/2)*$O$7*1.15),IF(N211="Hostile",(((($AB$4*Q211)+($AF$4*R211*$T$5))/2)*$O$7*1.15))))</f>
        <v>593892.8539060998</v>
      </c>
      <c r="AA211" s="48">
        <f>IF(N211="Standard",(((($Z$5*Q211)+($AD$5*R211*$T$5))/2)*$O$7*1.15),IF(N211="Severe",(((($AA$5*Q211)+($AE$5*R211*$T$5))/2)*$O$7*1.15),IF(N211="Hostile",(((($AB$5*Q211)+($AF$5*R211*$T$5))/2)*$O$7*1.15))))</f>
        <v>670883.01826070005</v>
      </c>
      <c r="AB211" s="48">
        <f>IF(N211="Standard",(((($Z$6*Q211)+($AD$6*R211*$T$5))/2)*$O$7*1.15),IF(N211="Severe",(((($AA$6*Q211)+($AE$6*R211*$T$5))/2)*$O$7*1.15),IF(N211="Hostile",(((($AB$6*Q211)+($AF$6*R211*$T$5))/2)*$O$7*1.15))))</f>
        <v>727154.03193440009</v>
      </c>
      <c r="AC211" s="48">
        <f>IF(N211="Standard",(((($Z$7*Q211)+($AD$7*R211*$T$5))/2)*$O$7*1.15),IF(N211="Severe",(((($AA$7*Q211)+($AE$7*R211*$T$5))/2)*$O$7*1.15),IF(N211="Hostile",(((($AB$7*Q211)+($AF$7*R211*$T$5))/2)*$O$7*1.15))))</f>
        <v>784795.42359260004</v>
      </c>
      <c r="AD211" s="1"/>
      <c r="AE211" s="1"/>
      <c r="AF211" s="1"/>
      <c r="AI211" s="9"/>
      <c r="AJ211" s="1"/>
      <c r="AK211" s="1"/>
      <c r="AL211" s="1"/>
      <c r="AM211" s="1"/>
      <c r="AN211" s="1"/>
      <c r="AO211" s="1"/>
      <c r="AP211" s="9"/>
      <c r="AQ211" s="3"/>
      <c r="AR211" s="4"/>
      <c r="AS211" s="1"/>
      <c r="AT211" s="1"/>
      <c r="AU211" s="1"/>
      <c r="AV211" s="1"/>
      <c r="AW211" s="1"/>
      <c r="AX211" s="3"/>
      <c r="AY211" s="3"/>
      <c r="AZ211" s="5"/>
      <c r="BA211" s="5"/>
      <c r="BB211" s="5"/>
      <c r="BC211" s="5"/>
      <c r="BD211" s="6"/>
      <c r="BE211" s="6"/>
      <c r="BF211" s="12"/>
      <c r="BG211" s="12"/>
      <c r="BH211" s="12"/>
      <c r="BI211" s="12"/>
      <c r="BJ211" s="12"/>
    </row>
    <row r="212" spans="2:62" x14ac:dyDescent="0.25">
      <c r="B212" s="1" t="s">
        <v>1180</v>
      </c>
      <c r="C212" s="1"/>
      <c r="D212" s="1"/>
      <c r="E212" s="1"/>
      <c r="F212" s="85" t="s">
        <v>2651</v>
      </c>
      <c r="G212" s="84" t="s">
        <v>1185</v>
      </c>
      <c r="H212" s="84" t="s">
        <v>2662</v>
      </c>
      <c r="I212" s="7" t="s">
        <v>1187</v>
      </c>
      <c r="J212" s="44">
        <v>1</v>
      </c>
      <c r="K212" s="1">
        <v>1</v>
      </c>
      <c r="L212" s="7">
        <v>996</v>
      </c>
      <c r="M212" s="1" t="s">
        <v>1188</v>
      </c>
      <c r="N212" s="1" t="s">
        <v>1141</v>
      </c>
      <c r="O212" s="1" t="s">
        <v>1189</v>
      </c>
      <c r="P212" s="1"/>
      <c r="Q212" s="44">
        <f>IF($L212=996,Multipliers!C$174,IF($L212=997,Multipliers!C$175,IF($L212=998,Multipliers!C$176,"NONE")))</f>
        <v>1.29</v>
      </c>
      <c r="R212" s="44">
        <f>IF($L212=996,Multipliers!C$5,IF($L212=997,Multipliers!C$6,IF($L212=998,Multipliers!C$7,"NONE")))</f>
        <v>1.34</v>
      </c>
      <c r="S212" s="46">
        <f>IF(N212="Standard",$O$5*Q212*$O$7,IF(N212="Severe",$O$4*Q212*$O$7,IF(N212="Hostile",$O$3*Q212*$O$7)))</f>
        <v>572333.63565000007</v>
      </c>
      <c r="T212" s="46">
        <f>IF(N212="Standard",$P$5*R212*$O$7,IF(N212="Severe",$P$4*R212*$O$7,IF(N212="Hostile",$P$3*R212*$O$7)))</f>
        <v>595942.1664000001</v>
      </c>
      <c r="U212" s="46">
        <f>IF(O212="E",$T$3*T212,IF(O212="C",$T$4*T212,IF(O212="W",$T$5*T212,1)))</f>
        <v>589982.74473600008</v>
      </c>
      <c r="V212" s="46">
        <f>(S212+U212)/2</f>
        <v>581158.19019300002</v>
      </c>
      <c r="W212" s="47">
        <f>IF(F212=F629,(V212+V629)/2,IF(F212=F119,(V212+V119)/2,IF(F212&lt;&gt;F119,V212)))</f>
        <v>581158.19019300002</v>
      </c>
      <c r="X212" s="47"/>
      <c r="Y212" s="48">
        <f>IF(N212="Standard",(((($Z$3*Q212)+($AD$3*R212*$T$5))/2)*$O$7),IF(N212="Severe",(((($AA$3*Q212)+($AE$3*R212*$T$5))/2)*$O$7),IF(N212="Hostile",(((($AB$3*Q212)+($AF$3*R212*$T$5))/2)*$O$7))))</f>
        <v>465666.31849500001</v>
      </c>
      <c r="Z212" s="48">
        <f>IF(N212="Standard",(((($Z$4*Q212)+($AD$4*R212*$T$5))/2)*$O$7),IF(N212="Severe",(((($AA$4*Q212)+($AE$4*R212*$T$5))/2)*$O$7),IF(N212="Hostile",(((($AB$4*Q212)+($AF$4*R212*$T$5))/2)*$O$7))))</f>
        <v>514428.62433899997</v>
      </c>
      <c r="AA212" s="48">
        <f>IF(N212="Standard",((($Z$5*Q212)+($AD$5*R212*$T$5))/2)*$O$7,IF(N212="Severe",((($AA$5*Q212)+($AE$5*R212*$T$5))/2)*$O$7,IF(N212="Hostile",((($AB$5*Q212)+($AF$5*R212*$T$5))/2)*$O$7)))</f>
        <v>581158.19019300013</v>
      </c>
      <c r="AB212" s="48">
        <f>IF(N212="Standard",((($Z$6*Q212)+($AD$6*R212*$T$5))/2)*$O$7,IF(N212="Severe",((($AA$6*Q212)+($AE$6*R212*$T$5))/2)*$O$7,IF(N212="Hostile",((($AB$6*Q212)+($AF$6*R212*$T$5))/2)*$O$7)))</f>
        <v>629926.37213100016</v>
      </c>
      <c r="AC212" s="48">
        <f>IF(N212="Standard",((($Z$7*Q212)+($AD$7*R212*$T$5))/2)*$O$7,IF(N212="Severe",((($AA$7*Q212)+($AE$7*R212*$T$5))/2)*$O$7,IF(N212="Hostile",((($AB$7*Q212)+($AF$7*R212*$T$5))/2)*$O$7)))</f>
        <v>679867.06659900001</v>
      </c>
      <c r="AD212" s="1"/>
      <c r="AE212" s="1"/>
      <c r="AF212" s="1"/>
    </row>
    <row r="213" spans="2:62" x14ac:dyDescent="0.25">
      <c r="B213" s="1" t="s">
        <v>1180</v>
      </c>
      <c r="C213" s="1" t="s">
        <v>1805</v>
      </c>
      <c r="D213" s="1" t="s">
        <v>1190</v>
      </c>
      <c r="E213" s="1" t="s">
        <v>1806</v>
      </c>
      <c r="F213" s="1" t="s">
        <v>1807</v>
      </c>
      <c r="G213" s="1" t="s">
        <v>1236</v>
      </c>
      <c r="H213" s="1" t="s">
        <v>1237</v>
      </c>
      <c r="I213" s="7" t="s">
        <v>1187</v>
      </c>
      <c r="J213" s="44">
        <v>1</v>
      </c>
      <c r="K213" s="45">
        <v>1</v>
      </c>
      <c r="L213" s="1">
        <v>998</v>
      </c>
      <c r="M213" s="1" t="s">
        <v>1188</v>
      </c>
      <c r="N213" s="1" t="s">
        <v>1141</v>
      </c>
      <c r="O213" s="1" t="s">
        <v>1189</v>
      </c>
      <c r="P213" s="7" t="s">
        <v>1074</v>
      </c>
      <c r="Q213" s="44">
        <f>IF($L213=996,Multipliers!C$174,IF($L213=997,Multipliers!C$175,IF($L213=998,Multipliers!C$176,"NONE")))</f>
        <v>1.34</v>
      </c>
      <c r="R213" s="44">
        <f>IF($L213=996,Multipliers!C$5,IF($L213=997,Multipliers!C$6,IF($L213=998,Multipliers!C$7,"NONE")))</f>
        <v>1.36</v>
      </c>
      <c r="S213" s="46">
        <f t="shared" si="79"/>
        <v>594517.10990000016</v>
      </c>
      <c r="T213" s="46">
        <f t="shared" si="80"/>
        <v>604836.82559999998</v>
      </c>
      <c r="U213" s="46">
        <f t="shared" si="84"/>
        <v>598788.45734399999</v>
      </c>
      <c r="V213" s="46">
        <f>((S213+U213)/2*1.2)</f>
        <v>715983.34034640016</v>
      </c>
      <c r="W213" s="47">
        <f t="shared" ref="W213:W221" si="85">IF(F213=F214,(V213+V214)/2,IF(F213=F212,(V213+V212)/2,IF(F213&lt;&gt;F212,V213)))</f>
        <v>715983.34034640016</v>
      </c>
      <c r="X213" s="47"/>
      <c r="Y213" s="48">
        <f>IF(N213="Standard",(((($Z$3*Q213)+($AD$3*R213*$T$5))/2)*$O$7*1.2),IF(N213="Severe",(((($AA$3*Q213)+($AE$3*R213*$T$5))/2)*$O$7*1.2),IF(N213="Hostile",(((($AB$3*Q213)+($AF$3*R213*$T$5))/2)*$O$7*1.2))))</f>
        <v>573912.50187599997</v>
      </c>
      <c r="Z213" s="48">
        <f>IF(N213="Standard",(((($Z$4*Q213)+($AD$4*R213*$T$5))/2)*$O$7*1.2),IF(N213="Severe",(((($AA$4*Q213)+($AE$4*R213*$T$5))/2)*$O$7*1.2),IF(N213="Hostile",(((($AB$4*Q213)+($AF$4*R213*$T$5))/2)*$O$7*1.2))))</f>
        <v>633906.89508719998</v>
      </c>
      <c r="AA213" s="48">
        <f>IF(N213="Standard",(((($Z$5*Q213)+($AD$5*R213*$T$5))/2)*$O$7*1.2),IF(N213="Severe",(((($AA$5*Q213)+($AE$5*R213*$T$5))/2)*$O$7*1.2),IF(N213="Hostile",((($AB$5*Q213)+($AF$5*R213*$T$5))/2)*$O$7*1.2)))</f>
        <v>715983.34034640016</v>
      </c>
      <c r="AB213" s="48">
        <f>IF(N213="Standard",(((($Z$6*Q213)+($AD$6*R213*$T$5))/2)*$O$7*1.2),IF(N213="Severe",(((($AA$6*Q213)+($AE$6*R213*$T$5))/2)*$O$7*1.2),IF(N213="Hostile",((($AB$6*Q213)+($AF$6*R213*$T$5))/2)*$O$7*1.2)))</f>
        <v>775980.51116880018</v>
      </c>
      <c r="AC213" s="48">
        <f>IF(N213="Standard",((($Z$7*Q213)+($AD$7*R213*$T$5))/2)*$O$7*1.2,IF(N213="Severe",((($AA$7*Q213)+($AE$7*R213*$T$5))/2)*$O$7*1.2,IF(N213="Hostile",((($AB$7*Q213)+($AF$7*R213*$T$5))/2)*$O$7*1.2)))</f>
        <v>837476.24333520012</v>
      </c>
      <c r="AD213" s="1"/>
      <c r="AE213" s="1"/>
      <c r="AF213" s="1"/>
      <c r="AI213" s="9"/>
      <c r="AJ213" s="1"/>
      <c r="AK213" s="1"/>
      <c r="AL213" s="1"/>
      <c r="AM213" s="1"/>
      <c r="AN213" s="1"/>
      <c r="AO213" s="1"/>
      <c r="AP213" s="9"/>
      <c r="AQ213" s="3"/>
      <c r="AR213" s="4"/>
      <c r="AS213" s="1"/>
      <c r="AT213" s="1"/>
      <c r="AU213" s="1"/>
      <c r="AV213" s="1"/>
      <c r="AW213" s="1"/>
      <c r="AX213" s="3"/>
      <c r="AY213" s="3"/>
      <c r="AZ213" s="5"/>
      <c r="BA213" s="5"/>
      <c r="BB213" s="5"/>
      <c r="BC213" s="5"/>
      <c r="BD213" s="6"/>
      <c r="BE213" s="6"/>
      <c r="BF213" s="12"/>
      <c r="BG213" s="12"/>
      <c r="BH213" s="12"/>
      <c r="BI213" s="12"/>
      <c r="BJ213" s="12"/>
    </row>
    <row r="214" spans="2:62" x14ac:dyDescent="0.25">
      <c r="B214" s="1" t="s">
        <v>1180</v>
      </c>
      <c r="C214" s="1" t="s">
        <v>1181</v>
      </c>
      <c r="D214" s="1" t="s">
        <v>1808</v>
      </c>
      <c r="E214" s="1" t="s">
        <v>1809</v>
      </c>
      <c r="F214" s="7" t="s">
        <v>1810</v>
      </c>
      <c r="G214" s="1" t="s">
        <v>1811</v>
      </c>
      <c r="H214" s="1" t="s">
        <v>1812</v>
      </c>
      <c r="I214" s="7" t="s">
        <v>1187</v>
      </c>
      <c r="J214" s="44">
        <v>1</v>
      </c>
      <c r="K214" s="45">
        <v>1</v>
      </c>
      <c r="L214" s="1">
        <v>996</v>
      </c>
      <c r="M214" s="1" t="s">
        <v>1188</v>
      </c>
      <c r="N214" s="1" t="s">
        <v>1141</v>
      </c>
      <c r="O214" s="1" t="s">
        <v>1189</v>
      </c>
      <c r="P214" s="1" t="s">
        <v>1190</v>
      </c>
      <c r="Q214" s="44">
        <f>IF($L214=996,Multipliers!C$174,IF($L214=997,Multipliers!C$175,IF($L214=998,Multipliers!C$176,"NONE")))</f>
        <v>1.29</v>
      </c>
      <c r="R214" s="44">
        <f>IF($L214=996,Multipliers!C$5,IF($L214=997,Multipliers!C$6,IF($L214=998,Multipliers!C$7,"NONE")))</f>
        <v>1.34</v>
      </c>
      <c r="S214" s="46">
        <f>IF(N214="Standard",$O$5*Q214*$O$7,IF(N214="Severe",$O$4*Q214*$O$7,IF(N214="Hostile",$O$3*Q214*$O$7)))</f>
        <v>572333.63565000007</v>
      </c>
      <c r="T214" s="46">
        <f>IF(N214="Standard",$P$5*R214*$O$7,IF(N214="Severe",$P$4*R214*$O$7,IF(N214="Hostile",$P$3*R214*$O$7)))</f>
        <v>595942.1664000001</v>
      </c>
      <c r="U214" s="46">
        <f t="shared" si="84"/>
        <v>589982.74473600008</v>
      </c>
      <c r="V214" s="46">
        <f>(S214+U214)/2</f>
        <v>581158.19019300002</v>
      </c>
      <c r="W214" s="47">
        <f t="shared" si="85"/>
        <v>581158.19019300002</v>
      </c>
      <c r="X214" s="47"/>
      <c r="Y214" s="48">
        <f>IF(N214="Standard",(((($Z$3*Q214)+($AD$3*R214*$T$5))/2)*$O$7),IF(N214="Severe",(((($AA$3*Q214)+($AE$3*R214*$T$5))/2)*$O$7),IF(N214="Hostile",(((($AB$3*Q214)+($AF$3*R214*$T$5))/2)*$O$7))))</f>
        <v>465666.31849500001</v>
      </c>
      <c r="Z214" s="48">
        <f>IF(N214="Standard",(((($Z$4*Q214)+($AD$4*R214*$T$5))/2)*$O$7),IF(N214="Severe",(((($AA$4*Q214)+($AE$4*R214*$T$5))/2)*$O$7),IF(N214="Hostile",(((($AB$4*Q214)+($AF$4*R214*$T$5))/2)*$O$7))))</f>
        <v>514428.62433899997</v>
      </c>
      <c r="AA214" s="48">
        <f>IF(N214="Standard",((($Z$5*Q214)+($AD$5*R214*$T$5))/2)*$O$7,IF(N214="Severe",((($AA$5*Q214)+($AE$5*R214*$T$5))/2)*$O$7,IF(N214="Hostile",((($AB$5*Q214)+($AF$5*R214*$T$5))/2)*$O$7)))</f>
        <v>581158.19019300013</v>
      </c>
      <c r="AB214" s="48">
        <f>IF(N214="Standard",((($Z$6*Q214)+($AD$6*R214*$T$5))/2)*$O$7,IF(N214="Severe",((($AA$6*Q214)+($AE$6*R214*$T$5))/2)*$O$7,IF(N214="Hostile",((($AB$6*Q214)+($AF$6*R214*$T$5))/2)*$O$7)))</f>
        <v>629926.37213100016</v>
      </c>
      <c r="AC214" s="48">
        <f>IF(N214="Standard",((($Z$7*Q214)+($AD$7*R214*$T$5))/2)*$O$7,IF(N214="Severe",((($AA$7*Q214)+($AE$7*R214*$T$5))/2)*$O$7,IF(N214="Hostile",((($AB$7*Q214)+($AF$7*R214*$T$5))/2)*$O$7)))</f>
        <v>679867.06659900001</v>
      </c>
      <c r="AD214" s="1"/>
      <c r="AE214" s="1"/>
      <c r="AF214" s="1"/>
      <c r="AI214" s="9"/>
      <c r="AJ214" s="1"/>
      <c r="AK214" s="1"/>
      <c r="AL214" s="1"/>
      <c r="AM214" s="1"/>
      <c r="AN214" s="1"/>
      <c r="AO214" s="1"/>
      <c r="AP214" s="9"/>
      <c r="AQ214" s="3"/>
      <c r="AR214" s="4"/>
      <c r="AS214" s="1"/>
      <c r="AT214" s="1"/>
      <c r="AU214" s="1"/>
      <c r="AV214" s="1"/>
      <c r="AW214" s="1"/>
      <c r="AX214" s="3"/>
      <c r="AY214" s="3"/>
      <c r="AZ214" s="5"/>
      <c r="BA214" s="5"/>
      <c r="BB214" s="5"/>
      <c r="BC214" s="5"/>
      <c r="BD214" s="6"/>
      <c r="BE214" s="6"/>
      <c r="BF214" s="12"/>
      <c r="BG214" s="12"/>
      <c r="BH214" s="12"/>
      <c r="BI214" s="12"/>
      <c r="BJ214" s="12"/>
    </row>
    <row r="215" spans="2:62" x14ac:dyDescent="0.25">
      <c r="B215" s="1" t="s">
        <v>1180</v>
      </c>
      <c r="C215" s="1" t="s">
        <v>1181</v>
      </c>
      <c r="D215" s="1" t="s">
        <v>1813</v>
      </c>
      <c r="E215" s="1" t="s">
        <v>1814</v>
      </c>
      <c r="F215" s="1" t="s">
        <v>1815</v>
      </c>
      <c r="G215" s="1" t="s">
        <v>1249</v>
      </c>
      <c r="H215" s="1" t="s">
        <v>1250</v>
      </c>
      <c r="I215" s="7" t="s">
        <v>1187</v>
      </c>
      <c r="J215" s="44">
        <v>1</v>
      </c>
      <c r="K215" s="45">
        <v>1</v>
      </c>
      <c r="L215" s="1">
        <v>996</v>
      </c>
      <c r="M215" s="1" t="s">
        <v>1188</v>
      </c>
      <c r="N215" s="1" t="s">
        <v>1141</v>
      </c>
      <c r="O215" s="1" t="s">
        <v>1189</v>
      </c>
      <c r="P215" s="1" t="s">
        <v>1190</v>
      </c>
      <c r="Q215" s="44">
        <f>IF($L215=996,Multipliers!C$174,IF($L215=997,Multipliers!C$175,IF($L215=998,Multipliers!C$176,"NONE")))</f>
        <v>1.29</v>
      </c>
      <c r="R215" s="44">
        <f>IF($L215=996,Multipliers!C$5,IF($L215=997,Multipliers!C$6,IF($L215=998,Multipliers!C$7,"NONE")))</f>
        <v>1.34</v>
      </c>
      <c r="S215" s="46">
        <f>IF(N215="Standard",$O$5*Q215*$O$7,IF(N215="Severe",$O$4*Q215*$O$7,IF(N215="Hostile",$O$3*Q215*$O$7)))</f>
        <v>572333.63565000007</v>
      </c>
      <c r="T215" s="46">
        <f>IF(N215="Standard",$P$5*R215*$O$7,IF(N215="Severe",$P$4*R215*$O$7,IF(N215="Hostile",$P$3*R215*$O$7)))</f>
        <v>595942.1664000001</v>
      </c>
      <c r="U215" s="46">
        <f t="shared" si="84"/>
        <v>589982.74473600008</v>
      </c>
      <c r="V215" s="46">
        <f>(S215+U215)/2</f>
        <v>581158.19019300002</v>
      </c>
      <c r="W215" s="47">
        <f t="shared" si="85"/>
        <v>581158.19019300002</v>
      </c>
      <c r="X215" s="47"/>
      <c r="Y215" s="48">
        <f>IF(N215="Standard",(((($Z$3*Q215)+($AD$3*R215*$T$5))/2)*$O$7),IF(N215="Severe",(((($AA$3*Q215)+($AE$3*R215*$T$5))/2)*$O$7),IF(N215="Hostile",(((($AB$3*Q215)+($AF$3*R215*$T$5))/2)*$O$7))))</f>
        <v>465666.31849500001</v>
      </c>
      <c r="Z215" s="48">
        <f>IF(N215="Standard",(((($Z$4*Q215)+($AD$4*R215*$T$5))/2)*$O$7),IF(N215="Severe",(((($AA$4*Q215)+($AE$4*R215*$T$5))/2)*$O$7),IF(N215="Hostile",(((($AB$4*Q215)+($AF$4*R215*$T$5))/2)*$O$7))))</f>
        <v>514428.62433899997</v>
      </c>
      <c r="AA215" s="48">
        <f>IF(N215="Standard",((($Z$5*Q215)+($AD$5*R215*$T$5))/2)*$O$7,IF(N215="Severe",((($AA$5*Q215)+($AE$5*R215*$T$5))/2)*$O$7,IF(N215="Hostile",((($AB$5*Q215)+($AF$5*R215*$T$5))/2)*$O$7)))</f>
        <v>581158.19019300013</v>
      </c>
      <c r="AB215" s="48">
        <f>IF(N215="Standard",((($Z$6*Q215)+($AD$6*R215*$T$5))/2)*$O$7,IF(N215="Severe",((($AA$6*Q215)+($AE$6*R215*$T$5))/2)*$O$7,IF(N215="Hostile",((($AB$6*Q215)+($AF$6*R215*$T$5))/2)*$O$7)))</f>
        <v>629926.37213100016</v>
      </c>
      <c r="AC215" s="48">
        <f>IF(N215="Standard",((($Z$7*Q215)+($AD$7*R215*$T$5))/2)*$O$7,IF(N215="Severe",((($AA$7*Q215)+($AE$7*R215*$T$5))/2)*$O$7,IF(N215="Hostile",((($AB$7*Q215)+($AF$7*R215*$T$5))/2)*$O$7)))</f>
        <v>679867.06659900001</v>
      </c>
      <c r="AD215" s="1"/>
      <c r="AE215" s="1"/>
      <c r="AF215" s="1"/>
      <c r="AI215" s="9"/>
      <c r="AJ215" s="1"/>
      <c r="AK215" s="1"/>
      <c r="AL215" s="1"/>
      <c r="AM215" s="1"/>
      <c r="AN215" s="1"/>
      <c r="AO215" s="1"/>
      <c r="AP215" s="9"/>
      <c r="AQ215" s="3"/>
      <c r="AR215" s="4"/>
      <c r="AS215" s="1"/>
      <c r="AT215" s="1"/>
      <c r="AU215" s="1"/>
      <c r="AV215" s="1"/>
      <c r="AW215" s="1"/>
      <c r="AX215" s="3"/>
      <c r="AY215" s="3"/>
      <c r="AZ215" s="5"/>
      <c r="BA215" s="5"/>
      <c r="BB215" s="5"/>
      <c r="BC215" s="5"/>
      <c r="BD215" s="6"/>
      <c r="BE215" s="6"/>
      <c r="BF215" s="12"/>
      <c r="BG215" s="12"/>
      <c r="BH215" s="12"/>
      <c r="BI215" s="12"/>
      <c r="BJ215" s="12"/>
    </row>
    <row r="216" spans="2:62" x14ac:dyDescent="0.25">
      <c r="B216" s="1" t="s">
        <v>1180</v>
      </c>
      <c r="C216" s="1" t="s">
        <v>1816</v>
      </c>
      <c r="D216" s="1" t="s">
        <v>1190</v>
      </c>
      <c r="E216" s="1" t="s">
        <v>1817</v>
      </c>
      <c r="F216" s="1" t="s">
        <v>1818</v>
      </c>
      <c r="G216" s="1" t="s">
        <v>1202</v>
      </c>
      <c r="H216" s="1" t="s">
        <v>1203</v>
      </c>
      <c r="I216" s="7" t="s">
        <v>1187</v>
      </c>
      <c r="J216" s="44">
        <v>1</v>
      </c>
      <c r="K216" s="45">
        <v>1</v>
      </c>
      <c r="L216" s="1">
        <v>997</v>
      </c>
      <c r="M216" s="1" t="s">
        <v>1188</v>
      </c>
      <c r="N216" s="1" t="s">
        <v>1141</v>
      </c>
      <c r="O216" s="1" t="s">
        <v>1189</v>
      </c>
      <c r="P216" s="7" t="s">
        <v>1073</v>
      </c>
      <c r="Q216" s="44">
        <f>IF($L216=996,Multipliers!C$174,IF($L216=997,Multipliers!C$175,IF($L216=998,Multipliers!C$176,"NONE")))</f>
        <v>1.3</v>
      </c>
      <c r="R216" s="44">
        <f>IF($L216=996,Multipliers!C$5,IF($L216=997,Multipliers!C$6,IF($L216=998,Multipliers!C$7,"NONE")))</f>
        <v>1.34</v>
      </c>
      <c r="S216" s="46">
        <f t="shared" si="79"/>
        <v>576770.33050000016</v>
      </c>
      <c r="T216" s="46">
        <f t="shared" si="80"/>
        <v>595942.1664000001</v>
      </c>
      <c r="U216" s="46">
        <f t="shared" si="84"/>
        <v>589982.74473600008</v>
      </c>
      <c r="V216" s="46">
        <f>((S216+U216)/2*1.15)</f>
        <v>670883.01826070005</v>
      </c>
      <c r="W216" s="47">
        <f t="shared" si="85"/>
        <v>670883.01826070005</v>
      </c>
      <c r="X216" s="47"/>
      <c r="Y216" s="48">
        <f>IF(N216="Standard",(((($Z$3*Q216)+($AD$3*R216*$T$5))/2)*$O$7*1.15),IF(N216="Severe",(((($AA$3*Q216)+($AE$3*R216*$T$5))/2)*$O$7*1.15),IF(N216="Hostile",(((($AB$3*Q216)+($AF$3*R216*$T$5))/2)*$O$7*1.15))))</f>
        <v>537627.23286300001</v>
      </c>
      <c r="Z216" s="48">
        <f>IF(N216="Standard",(((($Z$4*Q216)+($AD$4*R216*$T$5))/2)*$O$7*1.15),IF(N216="Severe",(((($AA$4*Q216)+($AE$4*R216*$T$5))/2)*$O$7*1.15),IF(N216="Hostile",(((($AB$4*Q216)+($AF$4*R216*$T$5))/2)*$O$7*1.15))))</f>
        <v>593892.8539060998</v>
      </c>
      <c r="AA216" s="48">
        <f>IF(N216="Standard",(((($Z$5*Q216)+($AD$5*R216*$T$5))/2)*$O$7*1.15),IF(N216="Severe",(((($AA$5*Q216)+($AE$5*R216*$T$5))/2)*$O$7*1.15),IF(N216="Hostile",(((($AB$5*Q216)+($AF$5*R216*$T$5))/2)*$O$7*1.15))))</f>
        <v>670883.01826070005</v>
      </c>
      <c r="AB216" s="48">
        <f>IF(N216="Standard",(((($Z$6*Q216)+($AD$6*R216*$T$5))/2)*$O$7*1.15),IF(N216="Severe",(((($AA$6*Q216)+($AE$6*R216*$T$5))/2)*$O$7*1.15),IF(N216="Hostile",(((($AB$6*Q216)+($AF$6*R216*$T$5))/2)*$O$7*1.15))))</f>
        <v>727154.03193440009</v>
      </c>
      <c r="AC216" s="48">
        <f>IF(N216="Standard",(((($Z$7*Q216)+($AD$7*R216*$T$5))/2)*$O$7*1.15),IF(N216="Severe",(((($AA$7*Q216)+($AE$7*R216*$T$5))/2)*$O$7*1.15),IF(N216="Hostile",(((($AB$7*Q216)+($AF$7*R216*$T$5))/2)*$O$7*1.15))))</f>
        <v>784795.42359260004</v>
      </c>
      <c r="AD216" s="1"/>
      <c r="AE216" s="1"/>
      <c r="AF216" s="1"/>
      <c r="AI216" s="9"/>
      <c r="AJ216" s="1"/>
      <c r="AK216" s="1"/>
      <c r="AL216" s="1"/>
      <c r="AM216" s="1"/>
      <c r="AN216" s="1"/>
      <c r="AO216" s="1"/>
      <c r="AP216" s="9"/>
      <c r="AQ216" s="3"/>
      <c r="AR216" s="4"/>
      <c r="AS216" s="1"/>
      <c r="AT216" s="1"/>
      <c r="AU216" s="1"/>
      <c r="AV216" s="1"/>
      <c r="AW216" s="1"/>
      <c r="AX216" s="3"/>
      <c r="AY216" s="3"/>
      <c r="AZ216" s="5"/>
      <c r="BA216" s="5"/>
      <c r="BB216" s="5"/>
      <c r="BC216" s="5"/>
      <c r="BD216" s="6"/>
      <c r="BE216" s="6"/>
      <c r="BF216" s="12"/>
      <c r="BG216" s="12"/>
      <c r="BH216" s="12"/>
      <c r="BI216" s="12"/>
      <c r="BJ216" s="12"/>
    </row>
    <row r="217" spans="2:62" x14ac:dyDescent="0.25">
      <c r="B217" s="1" t="s">
        <v>1180</v>
      </c>
      <c r="C217" s="1" t="s">
        <v>1819</v>
      </c>
      <c r="D217" s="1" t="s">
        <v>1190</v>
      </c>
      <c r="E217" s="1" t="s">
        <v>1820</v>
      </c>
      <c r="F217" s="1" t="s">
        <v>1821</v>
      </c>
      <c r="G217" s="1" t="s">
        <v>1294</v>
      </c>
      <c r="H217" s="1" t="s">
        <v>1295</v>
      </c>
      <c r="I217" s="7" t="s">
        <v>1187</v>
      </c>
      <c r="J217" s="44">
        <v>1</v>
      </c>
      <c r="K217" s="45">
        <v>1</v>
      </c>
      <c r="L217" s="1">
        <v>997</v>
      </c>
      <c r="M217" s="1" t="s">
        <v>1188</v>
      </c>
      <c r="N217" s="1" t="s">
        <v>1141</v>
      </c>
      <c r="O217" s="1" t="s">
        <v>1189</v>
      </c>
      <c r="P217" s="7" t="s">
        <v>1073</v>
      </c>
      <c r="Q217" s="44">
        <f>IF($L217=996,Multipliers!C$174,IF($L217=997,Multipliers!C$175,IF($L217=998,Multipliers!C$176,"NONE")))</f>
        <v>1.3</v>
      </c>
      <c r="R217" s="44">
        <f>IF($L217=996,Multipliers!C$5,IF($L217=997,Multipliers!C$6,IF($L217=998,Multipliers!C$7,"NONE")))</f>
        <v>1.34</v>
      </c>
      <c r="S217" s="46">
        <f t="shared" si="79"/>
        <v>576770.33050000016</v>
      </c>
      <c r="T217" s="46">
        <f t="shared" si="80"/>
        <v>595942.1664000001</v>
      </c>
      <c r="U217" s="46">
        <f t="shared" si="84"/>
        <v>589982.74473600008</v>
      </c>
      <c r="V217" s="46">
        <f>((S217+U217)/2*1.15)</f>
        <v>670883.01826070005</v>
      </c>
      <c r="W217" s="47">
        <f t="shared" si="85"/>
        <v>670883.01826070005</v>
      </c>
      <c r="X217" s="47"/>
      <c r="Y217" s="48">
        <f>IF(N217="Standard",(((($Z$3*Q217)+($AD$3*R217*$T$5))/2)*$O$7*1.15),IF(N217="Severe",(((($AA$3*Q217)+($AE$3*R217*$T$5))/2)*$O$7*1.15),IF(N217="Hostile",(((($AB$3*Q217)+($AF$3*R217*$T$5))/2)*$O$7*1.15))))</f>
        <v>537627.23286300001</v>
      </c>
      <c r="Z217" s="48">
        <f>IF(N217="Standard",(((($Z$4*Q217)+($AD$4*R217*$T$5))/2)*$O$7*1.15),IF(N217="Severe",(((($AA$4*Q217)+($AE$4*R217*$T$5))/2)*$O$7*1.15),IF(N217="Hostile",(((($AB$4*Q217)+($AF$4*R217*$T$5))/2)*$O$7*1.15))))</f>
        <v>593892.8539060998</v>
      </c>
      <c r="AA217" s="48">
        <f>IF(N217="Standard",(((($Z$5*Q217)+($AD$5*R217*$T$5))/2)*$O$7*1.15),IF(N217="Severe",(((($AA$5*Q217)+($AE$5*R217*$T$5))/2)*$O$7*1.15),IF(N217="Hostile",(((($AB$5*Q217)+($AF$5*R217*$T$5))/2)*$O$7*1.15))))</f>
        <v>670883.01826070005</v>
      </c>
      <c r="AB217" s="48">
        <f>IF(N217="Standard",(((($Z$6*Q217)+($AD$6*R217*$T$5))/2)*$O$7*1.15),IF(N217="Severe",(((($AA$6*Q217)+($AE$6*R217*$T$5))/2)*$O$7*1.15),IF(N217="Hostile",(((($AB$6*Q217)+($AF$6*R217*$T$5))/2)*$O$7*1.15))))</f>
        <v>727154.03193440009</v>
      </c>
      <c r="AC217" s="48">
        <f>IF(N217="Standard",(((($Z$7*Q217)+($AD$7*R217*$T$5))/2)*$O$7*1.15),IF(N217="Severe",(((($AA$7*Q217)+($AE$7*R217*$T$5))/2)*$O$7*1.15),IF(N217="Hostile",(((($AB$7*Q217)+($AF$7*R217*$T$5))/2)*$O$7*1.15))))</f>
        <v>784795.42359260004</v>
      </c>
      <c r="AD217" s="1"/>
      <c r="AE217" s="1"/>
      <c r="AF217" s="1"/>
      <c r="AI217" s="9"/>
      <c r="AJ217" s="1"/>
      <c r="AK217" s="1"/>
      <c r="AL217" s="1"/>
      <c r="AM217" s="1"/>
      <c r="AN217" s="1"/>
      <c r="AO217" s="1"/>
      <c r="AP217" s="9"/>
      <c r="AQ217" s="3"/>
      <c r="AR217" s="4"/>
      <c r="AS217" s="1"/>
      <c r="AT217" s="1"/>
      <c r="AU217" s="1"/>
      <c r="AV217" s="1"/>
      <c r="AW217" s="1"/>
      <c r="AX217" s="3"/>
      <c r="AY217" s="3"/>
      <c r="AZ217" s="5"/>
      <c r="BA217" s="5"/>
      <c r="BB217" s="5"/>
      <c r="BC217" s="5"/>
      <c r="BD217" s="6"/>
      <c r="BE217" s="6"/>
      <c r="BF217" s="12"/>
      <c r="BG217" s="12"/>
      <c r="BH217" s="12"/>
      <c r="BI217" s="12"/>
      <c r="BJ217" s="12"/>
    </row>
    <row r="218" spans="2:62" x14ac:dyDescent="0.25">
      <c r="B218" s="1" t="s">
        <v>1180</v>
      </c>
      <c r="C218" s="1" t="s">
        <v>1822</v>
      </c>
      <c r="D218" s="1" t="s">
        <v>1190</v>
      </c>
      <c r="E218" s="1" t="s">
        <v>1823</v>
      </c>
      <c r="F218" s="1" t="s">
        <v>1824</v>
      </c>
      <c r="G218" s="1" t="s">
        <v>1223</v>
      </c>
      <c r="H218" s="1" t="s">
        <v>1224</v>
      </c>
      <c r="I218" s="7" t="s">
        <v>1187</v>
      </c>
      <c r="J218" s="44">
        <v>1</v>
      </c>
      <c r="K218" s="45">
        <v>1</v>
      </c>
      <c r="L218" s="1">
        <v>997</v>
      </c>
      <c r="M218" s="1" t="s">
        <v>1188</v>
      </c>
      <c r="N218" s="1" t="s">
        <v>1141</v>
      </c>
      <c r="O218" s="1" t="s">
        <v>1189</v>
      </c>
      <c r="P218" s="7" t="s">
        <v>1073</v>
      </c>
      <c r="Q218" s="44">
        <f>IF($L218=996,Multipliers!C$174,IF($L218=997,Multipliers!C$175,IF($L218=998,Multipliers!C$176,"NONE")))</f>
        <v>1.3</v>
      </c>
      <c r="R218" s="44">
        <f>IF($L218=996,Multipliers!C$5,IF($L218=997,Multipliers!C$6,IF($L218=998,Multipliers!C$7,"NONE")))</f>
        <v>1.34</v>
      </c>
      <c r="S218" s="46">
        <f t="shared" si="79"/>
        <v>576770.33050000016</v>
      </c>
      <c r="T218" s="46">
        <f t="shared" si="80"/>
        <v>595942.1664000001</v>
      </c>
      <c r="U218" s="46">
        <f t="shared" si="84"/>
        <v>589982.74473600008</v>
      </c>
      <c r="V218" s="46">
        <f>((S218+U218)/2*1.15)</f>
        <v>670883.01826070005</v>
      </c>
      <c r="W218" s="47">
        <f t="shared" si="85"/>
        <v>670883.01826070005</v>
      </c>
      <c r="X218" s="47"/>
      <c r="Y218" s="48">
        <f>IF(N218="Standard",(((($Z$3*Q218)+($AD$3*R218*$T$5))/2)*$O$7*1.15),IF(N218="Severe",(((($AA$3*Q218)+($AE$3*R218*$T$5))/2)*$O$7*1.15),IF(N218="Hostile",(((($AB$3*Q218)+($AF$3*R218*$T$5))/2)*$O$7*1.15))))</f>
        <v>537627.23286300001</v>
      </c>
      <c r="Z218" s="48">
        <f>IF(N218="Standard",(((($Z$4*Q218)+($AD$4*R218*$T$5))/2)*$O$7*1.15),IF(N218="Severe",(((($AA$4*Q218)+($AE$4*R218*$T$5))/2)*$O$7*1.15),IF(N218="Hostile",(((($AB$4*Q218)+($AF$4*R218*$T$5))/2)*$O$7*1.15))))</f>
        <v>593892.8539060998</v>
      </c>
      <c r="AA218" s="48">
        <f>IF(N218="Standard",(((($Z$5*Q218)+($AD$5*R218*$T$5))/2)*$O$7*1.15),IF(N218="Severe",(((($AA$5*Q218)+($AE$5*R218*$T$5))/2)*$O$7*1.15),IF(N218="Hostile",(((($AB$5*Q218)+($AF$5*R218*$T$5))/2)*$O$7*1.15))))</f>
        <v>670883.01826070005</v>
      </c>
      <c r="AB218" s="48">
        <f>IF(N218="Standard",(((($Z$6*Q218)+($AD$6*R218*$T$5))/2)*$O$7*1.15),IF(N218="Severe",(((($AA$6*Q218)+($AE$6*R218*$T$5))/2)*$O$7*1.15),IF(N218="Hostile",(((($AB$6*Q218)+($AF$6*R218*$T$5))/2)*$O$7*1.15))))</f>
        <v>727154.03193440009</v>
      </c>
      <c r="AC218" s="48">
        <f>IF(N218="Standard",(((($Z$7*Q218)+($AD$7*R218*$T$5))/2)*$O$7*1.15),IF(N218="Severe",(((($AA$7*Q218)+($AE$7*R218*$T$5))/2)*$O$7*1.15),IF(N218="Hostile",(((($AB$7*Q218)+($AF$7*R218*$T$5))/2)*$O$7*1.15))))</f>
        <v>784795.42359260004</v>
      </c>
      <c r="AD218" s="1"/>
      <c r="AE218" s="1"/>
      <c r="AF218" s="1"/>
      <c r="AI218" s="9"/>
      <c r="AJ218" s="1"/>
      <c r="AK218" s="1"/>
      <c r="AL218" s="1"/>
      <c r="AM218" s="1"/>
      <c r="AN218" s="1"/>
      <c r="AO218" s="1"/>
      <c r="AP218" s="9"/>
      <c r="AQ218" s="3"/>
      <c r="AR218" s="4"/>
      <c r="AS218" s="1"/>
      <c r="AT218" s="1"/>
      <c r="AU218" s="1"/>
      <c r="AV218" s="1"/>
      <c r="AW218" s="1"/>
      <c r="AX218" s="3"/>
      <c r="AY218" s="3"/>
      <c r="AZ218" s="5"/>
      <c r="BA218" s="5"/>
      <c r="BB218" s="5"/>
      <c r="BC218" s="5"/>
      <c r="BD218" s="6"/>
      <c r="BE218" s="6"/>
      <c r="BF218" s="12"/>
      <c r="BG218" s="12"/>
      <c r="BH218" s="12"/>
      <c r="BI218" s="12"/>
      <c r="BJ218" s="12"/>
    </row>
    <row r="219" spans="2:62" x14ac:dyDescent="0.25">
      <c r="B219" s="1" t="s">
        <v>1180</v>
      </c>
      <c r="C219" s="1" t="s">
        <v>1825</v>
      </c>
      <c r="D219" s="1" t="s">
        <v>1190</v>
      </c>
      <c r="E219" s="1" t="s">
        <v>1826</v>
      </c>
      <c r="F219" s="1" t="s">
        <v>1827</v>
      </c>
      <c r="G219" s="1" t="s">
        <v>1294</v>
      </c>
      <c r="H219" s="1" t="s">
        <v>1295</v>
      </c>
      <c r="I219" s="7" t="s">
        <v>1187</v>
      </c>
      <c r="J219" s="44">
        <v>1</v>
      </c>
      <c r="K219" s="45">
        <v>1</v>
      </c>
      <c r="L219" s="1">
        <v>997</v>
      </c>
      <c r="M219" s="1" t="s">
        <v>1188</v>
      </c>
      <c r="N219" s="1" t="s">
        <v>1141</v>
      </c>
      <c r="O219" s="1" t="s">
        <v>1189</v>
      </c>
      <c r="P219" s="7" t="s">
        <v>1073</v>
      </c>
      <c r="Q219" s="44">
        <f>IF($L219=996,Multipliers!C$174,IF($L219=997,Multipliers!C$175,IF($L219=998,Multipliers!C$176,"NONE")))</f>
        <v>1.3</v>
      </c>
      <c r="R219" s="44">
        <f>IF($L219=996,Multipliers!C$5,IF($L219=997,Multipliers!C$6,IF($L219=998,Multipliers!C$7,"NONE")))</f>
        <v>1.34</v>
      </c>
      <c r="S219" s="46">
        <f t="shared" ref="S219:S236" si="86">IF(N219="Standard",$O$5*Q219*$O$7,IF(N219="Severe",$O$4*Q219*$O$7,IF(N219="Hostile",$O$3*Q219*$O$7)))</f>
        <v>576770.33050000016</v>
      </c>
      <c r="T219" s="46">
        <f t="shared" ref="T219:T236" si="87">IF(N219="Standard",$P$5*R219*$O$7,IF(N219="Severe",$P$4*R219*$O$7,IF(N219="Hostile",$P$3*R219*$O$7)))</f>
        <v>595942.1664000001</v>
      </c>
      <c r="U219" s="46">
        <f t="shared" si="84"/>
        <v>589982.74473600008</v>
      </c>
      <c r="V219" s="46">
        <f>((S219+U219)/2*1.15)</f>
        <v>670883.01826070005</v>
      </c>
      <c r="W219" s="47">
        <f t="shared" si="85"/>
        <v>670883.01826070005</v>
      </c>
      <c r="X219" s="47"/>
      <c r="Y219" s="48">
        <f>IF(N219="Standard",(((($Z$3*Q219)+($AD$3*R219*$T$5))/2)*$O$7*1.15),IF(N219="Severe",(((($AA$3*Q219)+($AE$3*R219*$T$5))/2)*$O$7*1.15),IF(N219="Hostile",(((($AB$3*Q219)+($AF$3*R219*$T$5))/2)*$O$7*1.15))))</f>
        <v>537627.23286300001</v>
      </c>
      <c r="Z219" s="48">
        <f>IF(N219="Standard",(((($Z$4*Q219)+($AD$4*R219*$T$5))/2)*$O$7*1.15),IF(N219="Severe",(((($AA$4*Q219)+($AE$4*R219*$T$5))/2)*$O$7*1.15),IF(N219="Hostile",(((($AB$4*Q219)+($AF$4*R219*$T$5))/2)*$O$7*1.15))))</f>
        <v>593892.8539060998</v>
      </c>
      <c r="AA219" s="48">
        <f>IF(N219="Standard",(((($Z$5*Q219)+($AD$5*R219*$T$5))/2)*$O$7*1.15),IF(N219="Severe",(((($AA$5*Q219)+($AE$5*R219*$T$5))/2)*$O$7*1.15),IF(N219="Hostile",(((($AB$5*Q219)+($AF$5*R219*$T$5))/2)*$O$7*1.15))))</f>
        <v>670883.01826070005</v>
      </c>
      <c r="AB219" s="48">
        <f>IF(N219="Standard",(((($Z$6*Q219)+($AD$6*R219*$T$5))/2)*$O$7*1.15),IF(N219="Severe",(((($AA$6*Q219)+($AE$6*R219*$T$5))/2)*$O$7*1.15),IF(N219="Hostile",(((($AB$6*Q219)+($AF$6*R219*$T$5))/2)*$O$7*1.15))))</f>
        <v>727154.03193440009</v>
      </c>
      <c r="AC219" s="48">
        <f>IF(N219="Standard",(((($Z$7*Q219)+($AD$7*R219*$T$5))/2)*$O$7*1.15),IF(N219="Severe",(((($AA$7*Q219)+($AE$7*R219*$T$5))/2)*$O$7*1.15),IF(N219="Hostile",(((($AB$7*Q219)+($AF$7*R219*$T$5))/2)*$O$7*1.15))))</f>
        <v>784795.42359260004</v>
      </c>
      <c r="AD219" s="1"/>
      <c r="AE219" s="1"/>
      <c r="AF219" s="1"/>
      <c r="AI219" s="9"/>
      <c r="AJ219" s="1"/>
      <c r="AK219" s="1"/>
      <c r="AL219" s="1"/>
      <c r="AM219" s="1"/>
      <c r="AN219" s="1"/>
      <c r="AO219" s="1"/>
      <c r="AP219" s="9"/>
      <c r="AQ219" s="3"/>
      <c r="AR219" s="4"/>
      <c r="AS219" s="1"/>
      <c r="AT219" s="1"/>
      <c r="AU219" s="1"/>
      <c r="AV219" s="1"/>
      <c r="AW219" s="1"/>
      <c r="AX219" s="3"/>
      <c r="AY219" s="3"/>
      <c r="AZ219" s="5"/>
      <c r="BA219" s="5"/>
      <c r="BB219" s="5"/>
      <c r="BC219" s="5"/>
      <c r="BD219" s="6"/>
      <c r="BE219" s="6"/>
      <c r="BF219" s="12"/>
      <c r="BG219" s="12"/>
      <c r="BH219" s="12"/>
      <c r="BI219" s="12"/>
      <c r="BJ219" s="12"/>
    </row>
    <row r="220" spans="2:62" x14ac:dyDescent="0.25">
      <c r="B220" s="1" t="s">
        <v>1180</v>
      </c>
      <c r="C220" s="1" t="s">
        <v>1828</v>
      </c>
      <c r="D220" s="1" t="s">
        <v>1190</v>
      </c>
      <c r="E220" s="1" t="s">
        <v>1829</v>
      </c>
      <c r="F220" s="1" t="s">
        <v>1830</v>
      </c>
      <c r="G220" s="1" t="s">
        <v>1218</v>
      </c>
      <c r="H220" s="1" t="s">
        <v>1219</v>
      </c>
      <c r="I220" s="7" t="s">
        <v>1187</v>
      </c>
      <c r="J220" s="44">
        <v>1</v>
      </c>
      <c r="K220" s="45">
        <v>1</v>
      </c>
      <c r="L220" s="1">
        <v>997</v>
      </c>
      <c r="M220" s="1" t="s">
        <v>1188</v>
      </c>
      <c r="N220" s="1" t="s">
        <v>1141</v>
      </c>
      <c r="O220" s="1" t="s">
        <v>1189</v>
      </c>
      <c r="P220" s="7" t="s">
        <v>1073</v>
      </c>
      <c r="Q220" s="44">
        <f>IF($L220=996,Multipliers!C$174,IF($L220=997,Multipliers!C$175,IF($L220=998,Multipliers!C$176,"NONE")))</f>
        <v>1.3</v>
      </c>
      <c r="R220" s="44">
        <f>IF($L220=996,Multipliers!C$5,IF($L220=997,Multipliers!C$6,IF($L220=998,Multipliers!C$7,"NONE")))</f>
        <v>1.34</v>
      </c>
      <c r="S220" s="46">
        <f t="shared" si="86"/>
        <v>576770.33050000016</v>
      </c>
      <c r="T220" s="46">
        <f t="shared" si="87"/>
        <v>595942.1664000001</v>
      </c>
      <c r="U220" s="46">
        <f t="shared" si="84"/>
        <v>589982.74473600008</v>
      </c>
      <c r="V220" s="46">
        <f>((S220+U220)/2*1.15)</f>
        <v>670883.01826070005</v>
      </c>
      <c r="W220" s="47">
        <f t="shared" si="85"/>
        <v>670883.01826070005</v>
      </c>
      <c r="X220" s="47"/>
      <c r="Y220" s="48">
        <f>IF(N220="Standard",(((($Z$3*Q220)+($AD$3*R220*$T$5))/2)*$O$7*1.15),IF(N220="Severe",(((($AA$3*Q220)+($AE$3*R220*$T$5))/2)*$O$7*1.15),IF(N220="Hostile",(((($AB$3*Q220)+($AF$3*R220*$T$5))/2)*$O$7*1.15))))</f>
        <v>537627.23286300001</v>
      </c>
      <c r="Z220" s="48">
        <f>IF(N220="Standard",(((($Z$4*Q220)+($AD$4*R220*$T$5))/2)*$O$7*1.15),IF(N220="Severe",(((($AA$4*Q220)+($AE$4*R220*$T$5))/2)*$O$7*1.15),IF(N220="Hostile",(((($AB$4*Q220)+($AF$4*R220*$T$5))/2)*$O$7*1.15))))</f>
        <v>593892.8539060998</v>
      </c>
      <c r="AA220" s="48">
        <f>IF(N220="Standard",(((($Z$5*Q220)+($AD$5*R220*$T$5))/2)*$O$7*1.15),IF(N220="Severe",(((($AA$5*Q220)+($AE$5*R220*$T$5))/2)*$O$7*1.15),IF(N220="Hostile",(((($AB$5*Q220)+($AF$5*R220*$T$5))/2)*$O$7*1.15))))</f>
        <v>670883.01826070005</v>
      </c>
      <c r="AB220" s="48">
        <f>IF(N220="Standard",(((($Z$6*Q220)+($AD$6*R220*$T$5))/2)*$O$7*1.15),IF(N220="Severe",(((($AA$6*Q220)+($AE$6*R220*$T$5))/2)*$O$7*1.15),IF(N220="Hostile",(((($AB$6*Q220)+($AF$6*R220*$T$5))/2)*$O$7*1.15))))</f>
        <v>727154.03193440009</v>
      </c>
      <c r="AC220" s="48">
        <f>IF(N220="Standard",(((($Z$7*Q220)+($AD$7*R220*$T$5))/2)*$O$7*1.15),IF(N220="Severe",(((($AA$7*Q220)+($AE$7*R220*$T$5))/2)*$O$7*1.15),IF(N220="Hostile",(((($AB$7*Q220)+($AF$7*R220*$T$5))/2)*$O$7*1.15))))</f>
        <v>784795.42359260004</v>
      </c>
      <c r="AD220" s="1"/>
      <c r="AE220" s="1"/>
      <c r="AF220" s="1"/>
      <c r="AI220" s="9"/>
      <c r="AJ220" s="1"/>
      <c r="AK220" s="1"/>
      <c r="AL220" s="1"/>
      <c r="AM220" s="1"/>
      <c r="AN220" s="1"/>
      <c r="AO220" s="1"/>
      <c r="AP220" s="9"/>
      <c r="AQ220" s="3"/>
      <c r="AR220" s="4"/>
      <c r="AS220" s="1"/>
      <c r="AT220" s="1"/>
      <c r="AU220" s="1"/>
      <c r="AV220" s="1"/>
      <c r="AW220" s="1"/>
      <c r="AX220" s="3"/>
      <c r="AY220" s="3"/>
      <c r="AZ220" s="5"/>
      <c r="BA220" s="5"/>
      <c r="BB220" s="5"/>
      <c r="BC220" s="5"/>
      <c r="BD220" s="6"/>
      <c r="BE220" s="6"/>
      <c r="BF220" s="12"/>
      <c r="BG220" s="12"/>
      <c r="BH220" s="12"/>
      <c r="BI220" s="12"/>
      <c r="BJ220" s="12"/>
    </row>
    <row r="221" spans="2:62" x14ac:dyDescent="0.25">
      <c r="B221" s="1" t="s">
        <v>1180</v>
      </c>
      <c r="C221" s="1" t="s">
        <v>1831</v>
      </c>
      <c r="D221" s="1" t="s">
        <v>1190</v>
      </c>
      <c r="E221" s="1" t="s">
        <v>1832</v>
      </c>
      <c r="F221" s="1" t="s">
        <v>1833</v>
      </c>
      <c r="G221" s="1" t="s">
        <v>1202</v>
      </c>
      <c r="H221" s="1" t="s">
        <v>1203</v>
      </c>
      <c r="I221" s="7" t="s">
        <v>1187</v>
      </c>
      <c r="J221" s="44">
        <v>1</v>
      </c>
      <c r="K221" s="45">
        <v>1</v>
      </c>
      <c r="L221" s="1">
        <v>998</v>
      </c>
      <c r="M221" s="1" t="s">
        <v>1188</v>
      </c>
      <c r="N221" s="1" t="s">
        <v>1141</v>
      </c>
      <c r="O221" s="1" t="s">
        <v>1189</v>
      </c>
      <c r="P221" s="7" t="s">
        <v>1074</v>
      </c>
      <c r="Q221" s="44">
        <f>IF($L221=996,Multipliers!C$174,IF($L221=997,Multipliers!C$175,IF($L221=998,Multipliers!C$176,"NONE")))</f>
        <v>1.34</v>
      </c>
      <c r="R221" s="44">
        <f>IF($L221=996,Multipliers!C$5,IF($L221=997,Multipliers!C$6,IF($L221=998,Multipliers!C$7,"NONE")))</f>
        <v>1.36</v>
      </c>
      <c r="S221" s="46">
        <f t="shared" si="86"/>
        <v>594517.10990000016</v>
      </c>
      <c r="T221" s="46">
        <f t="shared" si="87"/>
        <v>604836.82559999998</v>
      </c>
      <c r="U221" s="46">
        <f t="shared" si="84"/>
        <v>598788.45734399999</v>
      </c>
      <c r="V221" s="46">
        <f>((S221+U221)/2*1.2)</f>
        <v>715983.34034640016</v>
      </c>
      <c r="W221" s="47">
        <f t="shared" si="85"/>
        <v>715983.34034640016</v>
      </c>
      <c r="X221" s="47"/>
      <c r="Y221" s="48">
        <f>IF(N221="Standard",(((($Z$3*Q221)+($AD$3*R221*$T$5))/2)*$O$7*1.2),IF(N221="Severe",(((($AA$3*Q221)+($AE$3*R221*$T$5))/2)*$O$7*1.2),IF(N221="Hostile",(((($AB$3*Q221)+($AF$3*R221*$T$5))/2)*$O$7*1.2))))</f>
        <v>573912.50187599997</v>
      </c>
      <c r="Z221" s="48">
        <f>IF(N221="Standard",(((($Z$4*Q221)+($AD$4*R221*$T$5))/2)*$O$7*1.2),IF(N221="Severe",(((($AA$4*Q221)+($AE$4*R221*$T$5))/2)*$O$7*1.2),IF(N221="Hostile",(((($AB$4*Q221)+($AF$4*R221*$T$5))/2)*$O$7*1.2))))</f>
        <v>633906.89508719998</v>
      </c>
      <c r="AA221" s="48">
        <f>IF(N221="Standard",(((($Z$5*Q221)+($AD$5*R221*$T$5))/2)*$O$7*1.2),IF(N221="Severe",(((($AA$5*Q221)+($AE$5*R221*$T$5))/2)*$O$7*1.2),IF(N221="Hostile",((($AB$5*Q221)+($AF$5*R221*$T$5))/2)*$O$7*1.2)))</f>
        <v>715983.34034640016</v>
      </c>
      <c r="AB221" s="48">
        <f>IF(N221="Standard",(((($Z$6*Q221)+($AD$6*R221*$T$5))/2)*$O$7*1.2),IF(N221="Severe",(((($AA$6*Q221)+($AE$6*R221*$T$5))/2)*$O$7*1.2),IF(N221="Hostile",((($AB$6*Q221)+($AF$6*R221*$T$5))/2)*$O$7*1.2)))</f>
        <v>775980.51116880018</v>
      </c>
      <c r="AC221" s="48">
        <f>IF(N221="Standard",((($Z$7*Q221)+($AD$7*R221*$T$5))/2)*$O$7*1.2,IF(N221="Severe",((($AA$7*Q221)+($AE$7*R221*$T$5))/2)*$O$7*1.2,IF(N221="Hostile",((($AB$7*Q221)+($AF$7*R221*$T$5))/2)*$O$7*1.2)))</f>
        <v>837476.24333520012</v>
      </c>
      <c r="AD221" s="1"/>
      <c r="AE221" s="1"/>
      <c r="AF221" s="1"/>
      <c r="AI221" s="9"/>
      <c r="AJ221" s="1"/>
      <c r="AK221" s="1"/>
      <c r="AL221" s="1"/>
      <c r="AM221" s="1"/>
      <c r="AN221" s="1"/>
      <c r="AO221" s="1"/>
      <c r="AP221" s="9"/>
      <c r="AQ221" s="3"/>
      <c r="AR221" s="4"/>
      <c r="AS221" s="1"/>
      <c r="AT221" s="1"/>
      <c r="AU221" s="1"/>
      <c r="AV221" s="1"/>
      <c r="AW221" s="1"/>
      <c r="AX221" s="3"/>
      <c r="AY221" s="3"/>
      <c r="AZ221" s="5"/>
      <c r="BA221" s="5"/>
      <c r="BB221" s="5"/>
      <c r="BC221" s="5"/>
      <c r="BD221" s="6"/>
      <c r="BE221" s="6"/>
      <c r="BF221" s="12"/>
      <c r="BG221" s="12"/>
      <c r="BH221" s="12"/>
      <c r="BI221" s="12"/>
      <c r="BJ221" s="12"/>
    </row>
    <row r="222" spans="2:62" x14ac:dyDescent="0.25">
      <c r="B222" s="1" t="s">
        <v>1180</v>
      </c>
      <c r="C222" s="1" t="s">
        <v>1834</v>
      </c>
      <c r="D222" s="1" t="s">
        <v>1190</v>
      </c>
      <c r="E222" s="1" t="s">
        <v>1835</v>
      </c>
      <c r="F222" s="1" t="s">
        <v>1836</v>
      </c>
      <c r="G222" s="1" t="s">
        <v>1218</v>
      </c>
      <c r="H222" s="1" t="s">
        <v>1219</v>
      </c>
      <c r="I222" s="7" t="s">
        <v>1187</v>
      </c>
      <c r="J222" s="44">
        <v>1</v>
      </c>
      <c r="K222" s="45">
        <v>1</v>
      </c>
      <c r="L222" s="1">
        <v>998</v>
      </c>
      <c r="M222" s="1" t="s">
        <v>1188</v>
      </c>
      <c r="N222" s="1" t="s">
        <v>1141</v>
      </c>
      <c r="O222" s="1" t="s">
        <v>1189</v>
      </c>
      <c r="P222" s="7" t="s">
        <v>1074</v>
      </c>
      <c r="Q222" s="44">
        <f>IF($L222=996,Multipliers!C$174,IF($L222=997,Multipliers!C$175,IF($L222=998,Multipliers!C$176,"NONE")))</f>
        <v>1.34</v>
      </c>
      <c r="R222" s="44">
        <f>IF($L222=996,Multipliers!C$5,IF($L222=997,Multipliers!C$6,IF($L222=998,Multipliers!C$7,"NONE")))</f>
        <v>1.36</v>
      </c>
      <c r="S222" s="46">
        <f t="shared" si="86"/>
        <v>594517.10990000016</v>
      </c>
      <c r="T222" s="46">
        <f t="shared" si="87"/>
        <v>604836.82559999998</v>
      </c>
      <c r="U222" s="46">
        <f t="shared" si="84"/>
        <v>598788.45734399999</v>
      </c>
      <c r="V222" s="46">
        <f>((S222+U222)/2*1.2)</f>
        <v>715983.34034640016</v>
      </c>
      <c r="W222" s="47">
        <f t="shared" ref="W222:W230" si="88">IF(F222=F223,(V222+V223)/2,IF(F222=F221,(V222+V221)/2,IF(F222&lt;&gt;F221,V222)))</f>
        <v>715983.34034640016</v>
      </c>
      <c r="X222" s="47"/>
      <c r="Y222" s="48">
        <f>IF(N222="Standard",(((($Z$3*Q222)+($AD$3*R222*$T$5))/2)*$O$7*1.2),IF(N222="Severe",(((($AA$3*Q222)+($AE$3*R222*$T$5))/2)*$O$7*1.2),IF(N222="Hostile",(((($AB$3*Q222)+($AF$3*R222*$T$5))/2)*$O$7*1.2))))</f>
        <v>573912.50187599997</v>
      </c>
      <c r="Z222" s="48">
        <f>IF(N222="Standard",(((($Z$4*Q222)+($AD$4*R222*$T$5))/2)*$O$7*1.2),IF(N222="Severe",(((($AA$4*Q222)+($AE$4*R222*$T$5))/2)*$O$7*1.2),IF(N222="Hostile",(((($AB$4*Q222)+($AF$4*R222*$T$5))/2)*$O$7*1.2))))</f>
        <v>633906.89508719998</v>
      </c>
      <c r="AA222" s="48">
        <f>IF(N222="Standard",(((($Z$5*Q222)+($AD$5*R222*$T$5))/2)*$O$7*1.2),IF(N222="Severe",(((($AA$5*Q222)+($AE$5*R222*$T$5))/2)*$O$7*1.2),IF(N222="Hostile",((($AB$5*Q222)+($AF$5*R222*$T$5))/2)*$O$7*1.2)))</f>
        <v>715983.34034640016</v>
      </c>
      <c r="AB222" s="48">
        <f>IF(N222="Standard",(((($Z$6*Q222)+($AD$6*R222*$T$5))/2)*$O$7*1.2),IF(N222="Severe",(((($AA$6*Q222)+($AE$6*R222*$T$5))/2)*$O$7*1.2),IF(N222="Hostile",((($AB$6*Q222)+($AF$6*R222*$T$5))/2)*$O$7*1.2)))</f>
        <v>775980.51116880018</v>
      </c>
      <c r="AC222" s="48">
        <f>IF(N222="Standard",((($Z$7*Q222)+($AD$7*R222*$T$5))/2)*$O$7*1.2,IF(N222="Severe",((($AA$7*Q222)+($AE$7*R222*$T$5))/2)*$O$7*1.2,IF(N222="Hostile",((($AB$7*Q222)+($AF$7*R222*$T$5))/2)*$O$7*1.2)))</f>
        <v>837476.24333520012</v>
      </c>
      <c r="AD222" s="1"/>
      <c r="AE222" s="1"/>
      <c r="AF222" s="1"/>
      <c r="AI222" s="9"/>
      <c r="AJ222" s="1"/>
      <c r="AK222" s="1"/>
      <c r="AL222" s="1"/>
      <c r="AM222" s="1"/>
      <c r="AN222" s="1"/>
      <c r="AO222" s="1"/>
      <c r="AP222" s="9"/>
      <c r="AQ222" s="3"/>
      <c r="AR222" s="4"/>
      <c r="AS222" s="1"/>
      <c r="AT222" s="1"/>
      <c r="AU222" s="1"/>
      <c r="AV222" s="1"/>
      <c r="AW222" s="1"/>
      <c r="AX222" s="3"/>
      <c r="AY222" s="3"/>
      <c r="AZ222" s="5"/>
      <c r="BA222" s="5"/>
      <c r="BB222" s="5"/>
      <c r="BC222" s="5"/>
      <c r="BD222" s="6"/>
      <c r="BE222" s="6"/>
      <c r="BF222" s="12"/>
      <c r="BG222" s="12"/>
      <c r="BH222" s="12"/>
      <c r="BI222" s="12"/>
      <c r="BJ222" s="12"/>
    </row>
    <row r="223" spans="2:62" x14ac:dyDescent="0.25">
      <c r="B223" s="1" t="s">
        <v>1180</v>
      </c>
      <c r="C223" s="1" t="s">
        <v>1837</v>
      </c>
      <c r="D223" s="1" t="s">
        <v>1190</v>
      </c>
      <c r="E223" s="1" t="s">
        <v>1838</v>
      </c>
      <c r="F223" s="1" t="s">
        <v>1839</v>
      </c>
      <c r="G223" s="1" t="s">
        <v>1218</v>
      </c>
      <c r="H223" s="1" t="s">
        <v>1219</v>
      </c>
      <c r="I223" s="7" t="s">
        <v>1187</v>
      </c>
      <c r="J223" s="44">
        <v>1</v>
      </c>
      <c r="K223" s="45">
        <v>1</v>
      </c>
      <c r="L223" s="1">
        <v>997</v>
      </c>
      <c r="M223" s="1" t="s">
        <v>1188</v>
      </c>
      <c r="N223" s="1" t="s">
        <v>1141</v>
      </c>
      <c r="O223" s="1" t="s">
        <v>1189</v>
      </c>
      <c r="P223" s="7" t="s">
        <v>1073</v>
      </c>
      <c r="Q223" s="44">
        <f>IF($L223=996,Multipliers!C$174,IF($L223=997,Multipliers!C$175,IF($L223=998,Multipliers!C$176,"NONE")))</f>
        <v>1.3</v>
      </c>
      <c r="R223" s="44">
        <f>IF($L223=996,Multipliers!C$5,IF($L223=997,Multipliers!C$6,IF($L223=998,Multipliers!C$7,"NONE")))</f>
        <v>1.34</v>
      </c>
      <c r="S223" s="46">
        <f t="shared" si="86"/>
        <v>576770.33050000016</v>
      </c>
      <c r="T223" s="46">
        <f t="shared" si="87"/>
        <v>595942.1664000001</v>
      </c>
      <c r="U223" s="46">
        <f t="shared" ref="U223:U239" si="89">IF(O223="E",$T$3*T223,IF(O223="C",$T$4*T223,IF(O223="W",$T$5*T223,1)))</f>
        <v>589982.74473600008</v>
      </c>
      <c r="V223" s="46">
        <f>((S223+U223)/2*1.15)</f>
        <v>670883.01826070005</v>
      </c>
      <c r="W223" s="47">
        <f t="shared" si="88"/>
        <v>670883.01826070005</v>
      </c>
      <c r="X223" s="47"/>
      <c r="Y223" s="48">
        <f>IF(N223="Standard",(((($Z$3*Q223)+($AD$3*R223*$T$5))/2)*$O$7*1.15),IF(N223="Severe",(((($AA$3*Q223)+($AE$3*R223*$T$5))/2)*$O$7*1.15),IF(N223="Hostile",(((($AB$3*Q223)+($AF$3*R223*$T$5))/2)*$O$7*1.15))))</f>
        <v>537627.23286300001</v>
      </c>
      <c r="Z223" s="48">
        <f>IF(N223="Standard",(((($Z$4*Q223)+($AD$4*R223*$T$5))/2)*$O$7*1.15),IF(N223="Severe",(((($AA$4*Q223)+($AE$4*R223*$T$5))/2)*$O$7*1.15),IF(N223="Hostile",(((($AB$4*Q223)+($AF$4*R223*$T$5))/2)*$O$7*1.15))))</f>
        <v>593892.8539060998</v>
      </c>
      <c r="AA223" s="48">
        <f>IF(N223="Standard",(((($Z$5*Q223)+($AD$5*R223*$T$5))/2)*$O$7*1.15),IF(N223="Severe",(((($AA$5*Q223)+($AE$5*R223*$T$5))/2)*$O$7*1.15),IF(N223="Hostile",(((($AB$5*Q223)+($AF$5*R223*$T$5))/2)*$O$7*1.15))))</f>
        <v>670883.01826070005</v>
      </c>
      <c r="AB223" s="48">
        <f>IF(N223="Standard",(((($Z$6*Q223)+($AD$6*R223*$T$5))/2)*$O$7*1.15),IF(N223="Severe",(((($AA$6*Q223)+($AE$6*R223*$T$5))/2)*$O$7*1.15),IF(N223="Hostile",(((($AB$6*Q223)+($AF$6*R223*$T$5))/2)*$O$7*1.15))))</f>
        <v>727154.03193440009</v>
      </c>
      <c r="AC223" s="48">
        <f>IF(N223="Standard",(((($Z$7*Q223)+($AD$7*R223*$T$5))/2)*$O$7*1.15),IF(N223="Severe",(((($AA$7*Q223)+($AE$7*R223*$T$5))/2)*$O$7*1.15),IF(N223="Hostile",(((($AB$7*Q223)+($AF$7*R223*$T$5))/2)*$O$7*1.15))))</f>
        <v>784795.42359260004</v>
      </c>
      <c r="AD223" s="1"/>
      <c r="AE223" s="1"/>
      <c r="AF223" s="1"/>
      <c r="AI223" s="9"/>
      <c r="AJ223" s="1"/>
      <c r="AK223" s="1"/>
      <c r="AL223" s="1"/>
      <c r="AM223" s="1"/>
      <c r="AN223" s="1"/>
      <c r="AO223" s="1"/>
      <c r="AP223" s="9"/>
      <c r="AQ223" s="3"/>
      <c r="AR223" s="4"/>
      <c r="AS223" s="1"/>
      <c r="AT223" s="1"/>
      <c r="AU223" s="1"/>
      <c r="AV223" s="1"/>
      <c r="AW223" s="1"/>
      <c r="AX223" s="3"/>
      <c r="AY223" s="3"/>
      <c r="AZ223" s="5"/>
      <c r="BA223" s="5"/>
      <c r="BB223" s="5"/>
      <c r="BC223" s="5"/>
      <c r="BD223" s="6"/>
      <c r="BE223" s="6"/>
      <c r="BF223" s="12"/>
      <c r="BG223" s="12"/>
      <c r="BH223" s="12"/>
      <c r="BI223" s="12"/>
      <c r="BJ223" s="12"/>
    </row>
    <row r="224" spans="2:62" x14ac:dyDescent="0.25">
      <c r="B224" s="1" t="s">
        <v>1180</v>
      </c>
      <c r="C224" s="1" t="s">
        <v>1840</v>
      </c>
      <c r="D224" s="1" t="s">
        <v>1190</v>
      </c>
      <c r="E224" s="1" t="s">
        <v>1841</v>
      </c>
      <c r="F224" s="1" t="s">
        <v>1842</v>
      </c>
      <c r="G224" s="1" t="s">
        <v>1218</v>
      </c>
      <c r="H224" s="1" t="s">
        <v>1219</v>
      </c>
      <c r="I224" s="7" t="s">
        <v>1187</v>
      </c>
      <c r="J224" s="44">
        <v>1</v>
      </c>
      <c r="K224" s="45">
        <v>1</v>
      </c>
      <c r="L224" s="1">
        <v>998</v>
      </c>
      <c r="M224" s="1" t="s">
        <v>1188</v>
      </c>
      <c r="N224" s="1" t="s">
        <v>1141</v>
      </c>
      <c r="O224" s="1" t="s">
        <v>1189</v>
      </c>
      <c r="P224" s="7" t="s">
        <v>1074</v>
      </c>
      <c r="Q224" s="44">
        <f>IF($L224=996,Multipliers!C$174,IF($L224=997,Multipliers!C$175,IF($L224=998,Multipliers!C$176,"NONE")))</f>
        <v>1.34</v>
      </c>
      <c r="R224" s="44">
        <f>IF($L224=996,Multipliers!C$5,IF($L224=997,Multipliers!C$6,IF($L224=998,Multipliers!C$7,"NONE")))</f>
        <v>1.36</v>
      </c>
      <c r="S224" s="46">
        <f t="shared" si="86"/>
        <v>594517.10990000016</v>
      </c>
      <c r="T224" s="46">
        <f t="shared" si="87"/>
        <v>604836.82559999998</v>
      </c>
      <c r="U224" s="46">
        <f t="shared" si="89"/>
        <v>598788.45734399999</v>
      </c>
      <c r="V224" s="46">
        <f>((S224+U224)/2*1.2)</f>
        <v>715983.34034640016</v>
      </c>
      <c r="W224" s="47">
        <f>IF(F224=F226,(V224+V226)/2,IF(F224=F223,(V224+V223)/2,IF(F224&lt;&gt;F223,V224)))</f>
        <v>715983.34034640016</v>
      </c>
      <c r="X224" s="47"/>
      <c r="Y224" s="48">
        <f>IF(N224="Standard",(((($Z$3*Q224)+($AD$3*R224*$T$5))/2)*$O$7*1.2),IF(N224="Severe",(((($AA$3*Q224)+($AE$3*R224*$T$5))/2)*$O$7*1.2),IF(N224="Hostile",(((($AB$3*Q224)+($AF$3*R224*$T$5))/2)*$O$7*1.2))))</f>
        <v>573912.50187599997</v>
      </c>
      <c r="Z224" s="48">
        <f>IF(N224="Standard",(((($Z$4*Q224)+($AD$4*R224*$T$5))/2)*$O$7*1.2),IF(N224="Severe",(((($AA$4*Q224)+($AE$4*R224*$T$5))/2)*$O$7*1.2),IF(N224="Hostile",(((($AB$4*Q224)+($AF$4*R224*$T$5))/2)*$O$7*1.2))))</f>
        <v>633906.89508719998</v>
      </c>
      <c r="AA224" s="48">
        <f>IF(N224="Standard",(((($Z$5*Q224)+($AD$5*R224*$T$5))/2)*$O$7*1.2),IF(N224="Severe",(((($AA$5*Q224)+($AE$5*R224*$T$5))/2)*$O$7*1.2),IF(N224="Hostile",((($AB$5*Q224)+($AF$5*R224*$T$5))/2)*$O$7*1.2)))</f>
        <v>715983.34034640016</v>
      </c>
      <c r="AB224" s="48">
        <f>IF(N224="Standard",(((($Z$6*Q224)+($AD$6*R224*$T$5))/2)*$O$7*1.2),IF(N224="Severe",(((($AA$6*Q224)+($AE$6*R224*$T$5))/2)*$O$7*1.2),IF(N224="Hostile",((($AB$6*Q224)+($AF$6*R224*$T$5))/2)*$O$7*1.2)))</f>
        <v>775980.51116880018</v>
      </c>
      <c r="AC224" s="48">
        <f>IF(N224="Standard",((($Z$7*Q224)+($AD$7*R224*$T$5))/2)*$O$7*1.2,IF(N224="Severe",((($AA$7*Q224)+($AE$7*R224*$T$5))/2)*$O$7*1.2,IF(N224="Hostile",((($AB$7*Q224)+($AF$7*R224*$T$5))/2)*$O$7*1.2)))</f>
        <v>837476.24333520012</v>
      </c>
      <c r="AD224" s="1"/>
      <c r="AE224" s="1"/>
      <c r="AF224" s="1"/>
      <c r="AI224" s="9"/>
      <c r="AJ224" s="1"/>
      <c r="AK224" s="1"/>
      <c r="AL224" s="1"/>
      <c r="AM224" s="1"/>
      <c r="AN224" s="1"/>
      <c r="AO224" s="1"/>
      <c r="AP224" s="9"/>
      <c r="AQ224" s="3"/>
      <c r="AR224" s="4"/>
      <c r="AS224" s="1"/>
      <c r="AT224" s="1"/>
      <c r="AU224" s="1"/>
      <c r="AV224" s="1"/>
      <c r="AW224" s="1"/>
      <c r="AX224" s="3"/>
      <c r="AY224" s="3"/>
      <c r="AZ224" s="5"/>
      <c r="BA224" s="5"/>
      <c r="BB224" s="5"/>
      <c r="BC224" s="5"/>
      <c r="BD224" s="6"/>
      <c r="BE224" s="6"/>
      <c r="BF224" s="12"/>
      <c r="BG224" s="12"/>
      <c r="BH224" s="12"/>
      <c r="BI224" s="12"/>
      <c r="BJ224" s="12"/>
    </row>
    <row r="225" spans="2:62" x14ac:dyDescent="0.25">
      <c r="B225" s="1" t="s">
        <v>1180</v>
      </c>
      <c r="C225" s="1" t="s">
        <v>1181</v>
      </c>
      <c r="D225" s="1" t="s">
        <v>1584</v>
      </c>
      <c r="E225" s="1" t="s">
        <v>1585</v>
      </c>
      <c r="F225" s="84" t="s">
        <v>2663</v>
      </c>
      <c r="G225" s="1" t="s">
        <v>1185</v>
      </c>
      <c r="H225" s="84" t="s">
        <v>2664</v>
      </c>
      <c r="I225" s="7" t="s">
        <v>1187</v>
      </c>
      <c r="J225" s="44">
        <v>1</v>
      </c>
      <c r="K225" s="45">
        <v>1</v>
      </c>
      <c r="L225" s="1">
        <v>997</v>
      </c>
      <c r="M225" s="1" t="s">
        <v>1188</v>
      </c>
      <c r="N225" s="1" t="s">
        <v>1141</v>
      </c>
      <c r="O225" s="1" t="s">
        <v>1189</v>
      </c>
      <c r="P225" s="7" t="s">
        <v>1073</v>
      </c>
      <c r="Q225" s="44">
        <f>IF($L225=996,Multipliers!C$174,IF($L225=997,Multipliers!C$175,IF($L225=998,Multipliers!C$176,"NONE")))</f>
        <v>1.3</v>
      </c>
      <c r="R225" s="44">
        <f>IF($L225=996,Multipliers!C$5,IF($L225=997,Multipliers!C$6,IF($L225=998,Multipliers!C$7,"NONE")))</f>
        <v>1.34</v>
      </c>
      <c r="S225" s="46">
        <f>IF(N225="Standard",$O$5*Q225*$O$7,IF(N225="Severe",$O$4*Q225*$O$7,IF(N225="Hostile",$O$3*Q225*$O$7)))</f>
        <v>576770.33050000016</v>
      </c>
      <c r="T225" s="46">
        <f>IF(N225="Standard",$P$5*R225*$O$7,IF(N225="Severe",$P$4*R225*$O$7,IF(N225="Hostile",$P$3*R225*$O$7)))</f>
        <v>595942.1664000001</v>
      </c>
      <c r="U225" s="46">
        <f t="shared" si="89"/>
        <v>589982.74473600008</v>
      </c>
      <c r="V225" s="46">
        <f>((S225+U225)/2*1.15)</f>
        <v>670883.01826070005</v>
      </c>
      <c r="W225" s="47">
        <f>IF(F225=F226,(V225+V226)/2,IF(F225=F224,(V225+V224)/2,IF(F225&lt;&gt;F224,V225)))</f>
        <v>670883.01826070005</v>
      </c>
      <c r="X225" s="47"/>
      <c r="Y225" s="48">
        <f>IF(N225="Standard",(((($Z$3*Q225)+($AD$3*R225*$T$5))/2)*$O$7*1.15),IF(N225="Severe",(((($AA$3*Q225)+($AE$3*R225*$T$5))/2)*$O$7*1.15),IF(N225="Hostile",(((($AB$3*Q225)+($AF$3*R225*$T$5))/2)*$O$7*1.15))))</f>
        <v>537627.23286300001</v>
      </c>
      <c r="Z225" s="48">
        <f>IF(N225="Standard",(((($Z$4*Q225)+($AD$4*R225*$T$5))/2)*$O$7*1.15),IF(N225="Severe",(((($AA$4*Q225)+($AE$4*R225*$T$5))/2)*$O$7*1.15),IF(N225="Hostile",(((($AB$4*Q225)+($AF$4*R225*$T$5))/2)*$O$7*1.15))))</f>
        <v>593892.8539060998</v>
      </c>
      <c r="AA225" s="48">
        <f>IF(N225="Standard",(((($Z$5*Q225)+($AD$5*R225*$T$5))/2)*$O$7*1.15),IF(N225="Severe",(((($AA$5*Q225)+($AE$5*R225*$T$5))/2)*$O$7*1.15),IF(N225="Hostile",(((($AB$5*Q225)+($AF$5*R225*$T$5))/2)*$O$7*1.15))))</f>
        <v>670883.01826070005</v>
      </c>
      <c r="AB225" s="48">
        <f>IF(N225="Standard",(((($Z$6*Q225)+($AD$6*R225*$T$5))/2)*$O$7*1.15),IF(N225="Severe",(((($AA$6*Q225)+($AE$6*R225*$T$5))/2)*$O$7*1.15),IF(N225="Hostile",(((($AB$6*Q225)+($AF$6*R225*$T$5))/2)*$O$7*1.15))))</f>
        <v>727154.03193440009</v>
      </c>
      <c r="AC225" s="48">
        <f>IF(N225="Standard",(((($Z$7*Q225)+($AD$7*R225*$T$5))/2)*$O$7*1.15),IF(N225="Severe",(((($AA$7*Q225)+($AE$7*R225*$T$5))/2)*$O$7*1.15),IF(N225="Hostile",(((($AB$7*Q225)+($AF$7*R225*$T$5))/2)*$O$7*1.15))))</f>
        <v>784795.42359260004</v>
      </c>
      <c r="AD225" s="1"/>
      <c r="AE225" s="1"/>
      <c r="AF225" s="1"/>
      <c r="AI225" s="9"/>
      <c r="AJ225" s="1"/>
      <c r="AK225" s="1"/>
      <c r="AL225" s="1"/>
      <c r="AM225" s="1"/>
      <c r="AN225" s="1"/>
      <c r="AO225" s="1"/>
      <c r="AP225" s="9"/>
      <c r="AQ225" s="3"/>
      <c r="AR225" s="4"/>
      <c r="AS225" s="1"/>
      <c r="AT225" s="1"/>
      <c r="AU225" s="1"/>
      <c r="AV225" s="1"/>
      <c r="AW225" s="1"/>
      <c r="AX225" s="3"/>
      <c r="AY225" s="3"/>
      <c r="AZ225" s="5"/>
      <c r="BA225" s="5"/>
      <c r="BB225" s="5"/>
      <c r="BC225" s="5"/>
      <c r="BD225" s="6"/>
      <c r="BE225" s="6"/>
      <c r="BF225" s="12"/>
      <c r="BG225" s="12"/>
      <c r="BH225" s="12"/>
      <c r="BI225" s="12"/>
      <c r="BJ225" s="12"/>
    </row>
    <row r="226" spans="2:62" x14ac:dyDescent="0.25">
      <c r="B226" s="1" t="s">
        <v>1180</v>
      </c>
      <c r="C226" s="1" t="s">
        <v>1843</v>
      </c>
      <c r="D226" s="1" t="s">
        <v>1190</v>
      </c>
      <c r="E226" s="1" t="s">
        <v>1844</v>
      </c>
      <c r="F226" s="1" t="s">
        <v>1845</v>
      </c>
      <c r="G226" s="1" t="s">
        <v>1312</v>
      </c>
      <c r="H226" s="1" t="s">
        <v>1313</v>
      </c>
      <c r="I226" s="7" t="s">
        <v>1187</v>
      </c>
      <c r="J226" s="44">
        <v>1</v>
      </c>
      <c r="K226" s="45">
        <v>1</v>
      </c>
      <c r="L226" s="1">
        <v>996</v>
      </c>
      <c r="M226" s="1" t="s">
        <v>1188</v>
      </c>
      <c r="N226" s="1" t="s">
        <v>1141</v>
      </c>
      <c r="O226" s="1" t="s">
        <v>1189</v>
      </c>
      <c r="P226" s="1" t="s">
        <v>1190</v>
      </c>
      <c r="Q226" s="44">
        <f>IF($L226=996,Multipliers!C$174,IF($L226=997,Multipliers!C$175,IF($L226=998,Multipliers!C$176,"NONE")))</f>
        <v>1.29</v>
      </c>
      <c r="R226" s="44">
        <f>IF($L226=996,Multipliers!C$5,IF($L226=997,Multipliers!C$6,IF($L226=998,Multipliers!C$7,"NONE")))</f>
        <v>1.34</v>
      </c>
      <c r="S226" s="46">
        <f t="shared" si="86"/>
        <v>572333.63565000007</v>
      </c>
      <c r="T226" s="46">
        <f t="shared" si="87"/>
        <v>595942.1664000001</v>
      </c>
      <c r="U226" s="46">
        <f t="shared" si="89"/>
        <v>589982.74473600008</v>
      </c>
      <c r="V226" s="46">
        <f>(S226+U226)/2</f>
        <v>581158.19019300002</v>
      </c>
      <c r="W226" s="47">
        <f>IF(F226=F227,(V226+V227)/2,IF(F226=F224,(V226+V224)/2,IF(F226&lt;&gt;F224,V226)))</f>
        <v>581158.19019300002</v>
      </c>
      <c r="X226" s="47"/>
      <c r="Y226" s="48">
        <f>IF(N226="Standard",(((($Z$3*Q226)+($AD$3*R226*$T$5))/2)*$O$7),IF(N226="Severe",(((($AA$3*Q226)+($AE$3*R226*$T$5))/2)*$O$7),IF(N226="Hostile",(((($AB$3*Q226)+($AF$3*R226*$T$5))/2)*$O$7))))</f>
        <v>465666.31849500001</v>
      </c>
      <c r="Z226" s="48">
        <f>IF(N226="Standard",(((($Z$4*Q226)+($AD$4*R226*$T$5))/2)*$O$7),IF(N226="Severe",(((($AA$4*Q226)+($AE$4*R226*$T$5))/2)*$O$7),IF(N226="Hostile",(((($AB$4*Q226)+($AF$4*R226*$T$5))/2)*$O$7))))</f>
        <v>514428.62433899997</v>
      </c>
      <c r="AA226" s="48">
        <f>IF(N226="Standard",((($Z$5*Q226)+($AD$5*R226*$T$5))/2)*$O$7,IF(N226="Severe",((($AA$5*Q226)+($AE$5*R226*$T$5))/2)*$O$7,IF(N226="Hostile",((($AB$5*Q226)+($AF$5*R226*$T$5))/2)*$O$7)))</f>
        <v>581158.19019300013</v>
      </c>
      <c r="AB226" s="48">
        <f>IF(N226="Standard",((($Z$6*Q226)+($AD$6*R226*$T$5))/2)*$O$7,IF(N226="Severe",((($AA$6*Q226)+($AE$6*R226*$T$5))/2)*$O$7,IF(N226="Hostile",((($AB$6*Q226)+($AF$6*R226*$T$5))/2)*$O$7)))</f>
        <v>629926.37213100016</v>
      </c>
      <c r="AC226" s="48">
        <f>IF(N226="Standard",((($Z$7*Q226)+($AD$7*R226*$T$5))/2)*$O$7,IF(N226="Severe",((($AA$7*Q226)+($AE$7*R226*$T$5))/2)*$O$7,IF(N226="Hostile",((($AB$7*Q226)+($AF$7*R226*$T$5))/2)*$O$7)))</f>
        <v>679867.06659900001</v>
      </c>
      <c r="AD226" s="1"/>
      <c r="AE226" s="1"/>
      <c r="AF226" s="1"/>
      <c r="AI226" s="9"/>
      <c r="AJ226" s="1"/>
      <c r="AK226" s="1"/>
      <c r="AL226" s="1"/>
      <c r="AM226" s="1"/>
      <c r="AN226" s="1"/>
      <c r="AO226" s="1"/>
      <c r="AP226" s="9"/>
      <c r="AQ226" s="3"/>
      <c r="AR226" s="4"/>
      <c r="AS226" s="1"/>
      <c r="AT226" s="1"/>
      <c r="AU226" s="1"/>
      <c r="AV226" s="1"/>
      <c r="AW226" s="1"/>
      <c r="AX226" s="3"/>
      <c r="AY226" s="3"/>
      <c r="AZ226" s="5"/>
      <c r="BA226" s="5"/>
      <c r="BB226" s="5"/>
      <c r="BC226" s="5"/>
      <c r="BD226" s="6"/>
      <c r="BE226" s="6"/>
      <c r="BF226" s="12"/>
      <c r="BG226" s="12"/>
      <c r="BH226" s="12"/>
      <c r="BI226" s="12"/>
      <c r="BJ226" s="12"/>
    </row>
    <row r="227" spans="2:62" x14ac:dyDescent="0.25">
      <c r="B227" s="1" t="s">
        <v>1180</v>
      </c>
      <c r="C227" s="1" t="s">
        <v>1846</v>
      </c>
      <c r="D227" s="1" t="s">
        <v>1190</v>
      </c>
      <c r="E227" s="1" t="s">
        <v>1847</v>
      </c>
      <c r="F227" s="1" t="s">
        <v>1848</v>
      </c>
      <c r="G227" s="1" t="s">
        <v>1194</v>
      </c>
      <c r="H227" s="1" t="s">
        <v>1195</v>
      </c>
      <c r="I227" s="7" t="s">
        <v>1187</v>
      </c>
      <c r="J227" s="44">
        <v>1</v>
      </c>
      <c r="K227" s="45">
        <v>1</v>
      </c>
      <c r="L227" s="1">
        <v>996</v>
      </c>
      <c r="M227" s="1" t="s">
        <v>1188</v>
      </c>
      <c r="N227" s="1" t="s">
        <v>1141</v>
      </c>
      <c r="O227" s="1" t="s">
        <v>1189</v>
      </c>
      <c r="P227" s="1" t="s">
        <v>1190</v>
      </c>
      <c r="Q227" s="44">
        <f>IF($L227=996,Multipliers!C$174,IF($L227=997,Multipliers!C$175,IF($L227=998,Multipliers!C$176,"NONE")))</f>
        <v>1.29</v>
      </c>
      <c r="R227" s="44">
        <f>IF($L227=996,Multipliers!C$5,IF($L227=997,Multipliers!C$6,IF($L227=998,Multipliers!C$7,"NONE")))</f>
        <v>1.34</v>
      </c>
      <c r="S227" s="46">
        <f t="shared" si="86"/>
        <v>572333.63565000007</v>
      </c>
      <c r="T227" s="46">
        <f t="shared" si="87"/>
        <v>595942.1664000001</v>
      </c>
      <c r="U227" s="46">
        <f t="shared" si="89"/>
        <v>589982.74473600008</v>
      </c>
      <c r="V227" s="46">
        <f>(S227+U227)/2</f>
        <v>581158.19019300002</v>
      </c>
      <c r="W227" s="47">
        <f t="shared" si="88"/>
        <v>581158.19019300002</v>
      </c>
      <c r="X227" s="47"/>
      <c r="Y227" s="48">
        <f>IF(N227="Standard",(((($Z$3*Q227)+($AD$3*R227*$T$5))/2)*$O$7),IF(N227="Severe",(((($AA$3*Q227)+($AE$3*R227*$T$5))/2)*$O$7),IF(N227="Hostile",(((($AB$3*Q227)+($AF$3*R227*$T$5))/2)*$O$7))))</f>
        <v>465666.31849500001</v>
      </c>
      <c r="Z227" s="48">
        <f>IF(N227="Standard",(((($Z$4*Q227)+($AD$4*R227*$T$5))/2)*$O$7),IF(N227="Severe",(((($AA$4*Q227)+($AE$4*R227*$T$5))/2)*$O$7),IF(N227="Hostile",(((($AB$4*Q227)+($AF$4*R227*$T$5))/2)*$O$7))))</f>
        <v>514428.62433899997</v>
      </c>
      <c r="AA227" s="48">
        <f>IF(N227="Standard",((($Z$5*Q227)+($AD$5*R227*$T$5))/2)*$O$7,IF(N227="Severe",((($AA$5*Q227)+($AE$5*R227*$T$5))/2)*$O$7,IF(N227="Hostile",((($AB$5*Q227)+($AF$5*R227*$T$5))/2)*$O$7)))</f>
        <v>581158.19019300013</v>
      </c>
      <c r="AB227" s="48">
        <f>IF(N227="Standard",((($Z$6*Q227)+($AD$6*R227*$T$5))/2)*$O$7,IF(N227="Severe",((($AA$6*Q227)+($AE$6*R227*$T$5))/2)*$O$7,IF(N227="Hostile",((($AB$6*Q227)+($AF$6*R227*$T$5))/2)*$O$7)))</f>
        <v>629926.37213100016</v>
      </c>
      <c r="AC227" s="48">
        <f>IF(N227="Standard",((($Z$7*Q227)+($AD$7*R227*$T$5))/2)*$O$7,IF(N227="Severe",((($AA$7*Q227)+($AE$7*R227*$T$5))/2)*$O$7,IF(N227="Hostile",((($AB$7*Q227)+($AF$7*R227*$T$5))/2)*$O$7)))</f>
        <v>679867.06659900001</v>
      </c>
      <c r="AD227" s="1"/>
      <c r="AE227" s="1"/>
      <c r="AF227" s="1"/>
      <c r="AI227" s="9"/>
      <c r="AJ227" s="1"/>
      <c r="AK227" s="1"/>
      <c r="AL227" s="1"/>
      <c r="AM227" s="1"/>
      <c r="AN227" s="1"/>
      <c r="AO227" s="1"/>
      <c r="AP227" s="9"/>
      <c r="AQ227" s="3"/>
      <c r="AR227" s="4"/>
      <c r="AS227" s="1"/>
      <c r="AT227" s="1"/>
      <c r="AU227" s="1"/>
      <c r="AV227" s="1"/>
      <c r="AW227" s="1"/>
      <c r="AX227" s="3"/>
      <c r="AY227" s="3"/>
      <c r="AZ227" s="5"/>
      <c r="BA227" s="5"/>
      <c r="BB227" s="5"/>
      <c r="BC227" s="5"/>
      <c r="BD227" s="6"/>
      <c r="BE227" s="6"/>
      <c r="BF227" s="12"/>
      <c r="BG227" s="12"/>
      <c r="BH227" s="12"/>
      <c r="BI227" s="12"/>
      <c r="BJ227" s="12"/>
    </row>
    <row r="228" spans="2:62" x14ac:dyDescent="0.25">
      <c r="B228" s="1" t="s">
        <v>1180</v>
      </c>
      <c r="C228" s="1" t="s">
        <v>1849</v>
      </c>
      <c r="D228" s="1" t="s">
        <v>1190</v>
      </c>
      <c r="E228" s="1" t="s">
        <v>1850</v>
      </c>
      <c r="F228" s="1" t="s">
        <v>1851</v>
      </c>
      <c r="G228" s="1" t="s">
        <v>1218</v>
      </c>
      <c r="H228" s="1" t="s">
        <v>1219</v>
      </c>
      <c r="I228" s="7" t="s">
        <v>1187</v>
      </c>
      <c r="J228" s="44">
        <v>1</v>
      </c>
      <c r="K228" s="45">
        <v>1</v>
      </c>
      <c r="L228" s="1">
        <v>998</v>
      </c>
      <c r="M228" s="1" t="s">
        <v>1188</v>
      </c>
      <c r="N228" s="1" t="s">
        <v>1141</v>
      </c>
      <c r="O228" s="1" t="s">
        <v>1189</v>
      </c>
      <c r="P228" s="7" t="s">
        <v>1074</v>
      </c>
      <c r="Q228" s="44">
        <f>IF($L228=996,Multipliers!C$174,IF($L228=997,Multipliers!C$175,IF($L228=998,Multipliers!C$176,"NONE")))</f>
        <v>1.34</v>
      </c>
      <c r="R228" s="44">
        <f>IF($L228=996,Multipliers!C$5,IF($L228=997,Multipliers!C$6,IF($L228=998,Multipliers!C$7,"NONE")))</f>
        <v>1.36</v>
      </c>
      <c r="S228" s="46">
        <f t="shared" si="86"/>
        <v>594517.10990000016</v>
      </c>
      <c r="T228" s="46">
        <f t="shared" si="87"/>
        <v>604836.82559999998</v>
      </c>
      <c r="U228" s="46">
        <f t="shared" si="89"/>
        <v>598788.45734399999</v>
      </c>
      <c r="V228" s="46">
        <f>((S228+U228)/2*1.2)</f>
        <v>715983.34034640016</v>
      </c>
      <c r="W228" s="47">
        <f t="shared" si="88"/>
        <v>715983.34034640016</v>
      </c>
      <c r="X228" s="47"/>
      <c r="Y228" s="48">
        <f>IF(N228="Standard",(((($Z$3*Q228)+($AD$3*R228*$T$5))/2)*$O$7*1.2),IF(N228="Severe",(((($AA$3*Q228)+($AE$3*R228*$T$5))/2)*$O$7*1.2),IF(N228="Hostile",(((($AB$3*Q228)+($AF$3*R228*$T$5))/2)*$O$7*1.2))))</f>
        <v>573912.50187599997</v>
      </c>
      <c r="Z228" s="48">
        <f>IF(N228="Standard",(((($Z$4*Q228)+($AD$4*R228*$T$5))/2)*$O$7*1.2),IF(N228="Severe",(((($AA$4*Q228)+($AE$4*R228*$T$5))/2)*$O$7*1.2),IF(N228="Hostile",(((($AB$4*Q228)+($AF$4*R228*$T$5))/2)*$O$7*1.2))))</f>
        <v>633906.89508719998</v>
      </c>
      <c r="AA228" s="48">
        <f>IF(N228="Standard",(((($Z$5*Q228)+($AD$5*R228*$T$5))/2)*$O$7*1.2),IF(N228="Severe",(((($AA$5*Q228)+($AE$5*R228*$T$5))/2)*$O$7*1.2),IF(N228="Hostile",((($AB$5*Q228)+($AF$5*R228*$T$5))/2)*$O$7*1.2)))</f>
        <v>715983.34034640016</v>
      </c>
      <c r="AB228" s="48">
        <f>IF(N228="Standard",(((($Z$6*Q228)+($AD$6*R228*$T$5))/2)*$O$7*1.2),IF(N228="Severe",(((($AA$6*Q228)+($AE$6*R228*$T$5))/2)*$O$7*1.2),IF(N228="Hostile",((($AB$6*Q228)+($AF$6*R228*$T$5))/2)*$O$7*1.2)))</f>
        <v>775980.51116880018</v>
      </c>
      <c r="AC228" s="48">
        <f>IF(N228="Standard",((($Z$7*Q228)+($AD$7*R228*$T$5))/2)*$O$7*1.2,IF(N228="Severe",((($AA$7*Q228)+($AE$7*R228*$T$5))/2)*$O$7*1.2,IF(N228="Hostile",((($AB$7*Q228)+($AF$7*R228*$T$5))/2)*$O$7*1.2)))</f>
        <v>837476.24333520012</v>
      </c>
      <c r="AD228" s="1"/>
      <c r="AE228" s="1"/>
      <c r="AF228" s="1"/>
      <c r="AI228" s="9"/>
      <c r="AJ228" s="1"/>
      <c r="AK228" s="1"/>
      <c r="AL228" s="1"/>
      <c r="AM228" s="1"/>
      <c r="AN228" s="1"/>
      <c r="AO228" s="1"/>
      <c r="AP228" s="9"/>
      <c r="AQ228" s="3"/>
      <c r="AR228" s="4"/>
      <c r="AS228" s="1"/>
      <c r="AT228" s="1"/>
      <c r="AU228" s="1"/>
      <c r="AV228" s="1"/>
      <c r="AW228" s="1"/>
      <c r="AX228" s="3"/>
      <c r="AY228" s="3"/>
      <c r="AZ228" s="5"/>
      <c r="BA228" s="5"/>
      <c r="BB228" s="5"/>
      <c r="BC228" s="5"/>
      <c r="BD228" s="6"/>
      <c r="BE228" s="6"/>
      <c r="BF228" s="12"/>
      <c r="BG228" s="12"/>
      <c r="BH228" s="12"/>
      <c r="BI228" s="12"/>
      <c r="BJ228" s="12"/>
    </row>
    <row r="229" spans="2:62" x14ac:dyDescent="0.25">
      <c r="B229" s="1" t="s">
        <v>1180</v>
      </c>
      <c r="C229" s="1" t="s">
        <v>1852</v>
      </c>
      <c r="D229" s="1" t="s">
        <v>1190</v>
      </c>
      <c r="E229" s="1" t="s">
        <v>1853</v>
      </c>
      <c r="F229" s="1" t="s">
        <v>1854</v>
      </c>
      <c r="G229" s="1" t="s">
        <v>1294</v>
      </c>
      <c r="H229" s="1" t="s">
        <v>1295</v>
      </c>
      <c r="I229" s="7" t="s">
        <v>1187</v>
      </c>
      <c r="J229" s="44">
        <v>1</v>
      </c>
      <c r="K229" s="45">
        <v>1</v>
      </c>
      <c r="L229" s="1">
        <v>997</v>
      </c>
      <c r="M229" s="1" t="s">
        <v>1188</v>
      </c>
      <c r="N229" s="1" t="s">
        <v>1141</v>
      </c>
      <c r="O229" s="1" t="s">
        <v>1189</v>
      </c>
      <c r="P229" s="7" t="s">
        <v>1073</v>
      </c>
      <c r="Q229" s="44">
        <f>IF($L229=996,Multipliers!C$174,IF($L229=997,Multipliers!C$175,IF($L229=998,Multipliers!C$176,"NONE")))</f>
        <v>1.3</v>
      </c>
      <c r="R229" s="44">
        <f>IF($L229=996,Multipliers!C$5,IF($L229=997,Multipliers!C$6,IF($L229=998,Multipliers!C$7,"NONE")))</f>
        <v>1.34</v>
      </c>
      <c r="S229" s="46">
        <f t="shared" si="86"/>
        <v>576770.33050000016</v>
      </c>
      <c r="T229" s="46">
        <f t="shared" si="87"/>
        <v>595942.1664000001</v>
      </c>
      <c r="U229" s="46">
        <f t="shared" si="89"/>
        <v>589982.74473600008</v>
      </c>
      <c r="V229" s="46">
        <f>((S229+U229)/2*1.15)</f>
        <v>670883.01826070005</v>
      </c>
      <c r="W229" s="47">
        <f t="shared" si="88"/>
        <v>670883.01826070005</v>
      </c>
      <c r="X229" s="47"/>
      <c r="Y229" s="48">
        <f>IF(N229="Standard",(((($Z$3*Q229)+($AD$3*R229*$T$5))/2)*$O$7*1.15),IF(N229="Severe",(((($AA$3*Q229)+($AE$3*R229*$T$5))/2)*$O$7*1.15),IF(N229="Hostile",(((($AB$3*Q229)+($AF$3*R229*$T$5))/2)*$O$7*1.15))))</f>
        <v>537627.23286300001</v>
      </c>
      <c r="Z229" s="48">
        <f>IF(N229="Standard",(((($Z$4*Q229)+($AD$4*R229*$T$5))/2)*$O$7*1.15),IF(N229="Severe",(((($AA$4*Q229)+($AE$4*R229*$T$5))/2)*$O$7*1.15),IF(N229="Hostile",(((($AB$4*Q229)+($AF$4*R229*$T$5))/2)*$O$7*1.15))))</f>
        <v>593892.8539060998</v>
      </c>
      <c r="AA229" s="48">
        <f>IF(N229="Standard",(((($Z$5*Q229)+($AD$5*R229*$T$5))/2)*$O$7*1.15),IF(N229="Severe",(((($AA$5*Q229)+($AE$5*R229*$T$5))/2)*$O$7*1.15),IF(N229="Hostile",(((($AB$5*Q229)+($AF$5*R229*$T$5))/2)*$O$7*1.15))))</f>
        <v>670883.01826070005</v>
      </c>
      <c r="AB229" s="48">
        <f>IF(N229="Standard",(((($Z$6*Q229)+($AD$6*R229*$T$5))/2)*$O$7*1.15),IF(N229="Severe",(((($AA$6*Q229)+($AE$6*R229*$T$5))/2)*$O$7*1.15),IF(N229="Hostile",(((($AB$6*Q229)+($AF$6*R229*$T$5))/2)*$O$7*1.15))))</f>
        <v>727154.03193440009</v>
      </c>
      <c r="AC229" s="48">
        <f>IF(N229="Standard",(((($Z$7*Q229)+($AD$7*R229*$T$5))/2)*$O$7*1.15),IF(N229="Severe",(((($AA$7*Q229)+($AE$7*R229*$T$5))/2)*$O$7*1.15),IF(N229="Hostile",(((($AB$7*Q229)+($AF$7*R229*$T$5))/2)*$O$7*1.15))))</f>
        <v>784795.42359260004</v>
      </c>
      <c r="AD229" s="1"/>
      <c r="AE229" s="1"/>
      <c r="AF229" s="1"/>
      <c r="AI229" s="9"/>
      <c r="AJ229" s="1"/>
      <c r="AK229" s="1"/>
      <c r="AL229" s="1"/>
      <c r="AM229" s="1"/>
      <c r="AN229" s="1"/>
      <c r="AO229" s="1"/>
      <c r="AP229" s="9"/>
      <c r="AQ229" s="3"/>
      <c r="AR229" s="4"/>
      <c r="AS229" s="1"/>
      <c r="AT229" s="1"/>
      <c r="AU229" s="1"/>
      <c r="AV229" s="1"/>
      <c r="AW229" s="1"/>
      <c r="AX229" s="3"/>
      <c r="AY229" s="3"/>
      <c r="AZ229" s="5"/>
      <c r="BA229" s="5"/>
      <c r="BB229" s="5"/>
      <c r="BC229" s="5"/>
      <c r="BD229" s="6"/>
      <c r="BE229" s="6"/>
      <c r="BF229" s="12"/>
      <c r="BG229" s="12"/>
      <c r="BH229" s="12"/>
      <c r="BI229" s="12"/>
      <c r="BJ229" s="12"/>
    </row>
    <row r="230" spans="2:62" x14ac:dyDescent="0.25">
      <c r="B230" s="1" t="s">
        <v>1180</v>
      </c>
      <c r="C230" s="1" t="s">
        <v>1855</v>
      </c>
      <c r="D230" s="1" t="s">
        <v>1190</v>
      </c>
      <c r="E230" s="1" t="s">
        <v>1856</v>
      </c>
      <c r="F230" s="1" t="s">
        <v>1857</v>
      </c>
      <c r="G230" s="1" t="s">
        <v>1218</v>
      </c>
      <c r="H230" s="1" t="s">
        <v>1219</v>
      </c>
      <c r="I230" s="7" t="s">
        <v>1187</v>
      </c>
      <c r="J230" s="44">
        <v>1</v>
      </c>
      <c r="K230" s="45">
        <v>1</v>
      </c>
      <c r="L230" s="1">
        <v>997</v>
      </c>
      <c r="M230" s="1" t="s">
        <v>1188</v>
      </c>
      <c r="N230" s="1" t="s">
        <v>1141</v>
      </c>
      <c r="O230" s="1" t="s">
        <v>1189</v>
      </c>
      <c r="P230" s="7" t="s">
        <v>1073</v>
      </c>
      <c r="Q230" s="44">
        <f>IF($L230=996,Multipliers!C$174,IF($L230=997,Multipliers!C$175,IF($L230=998,Multipliers!C$176,"NONE")))</f>
        <v>1.3</v>
      </c>
      <c r="R230" s="44">
        <f>IF($L230=996,Multipliers!C$5,IF($L230=997,Multipliers!C$6,IF($L230=998,Multipliers!C$7,"NONE")))</f>
        <v>1.34</v>
      </c>
      <c r="S230" s="46">
        <f t="shared" si="86"/>
        <v>576770.33050000016</v>
      </c>
      <c r="T230" s="46">
        <f t="shared" si="87"/>
        <v>595942.1664000001</v>
      </c>
      <c r="U230" s="46">
        <f t="shared" si="89"/>
        <v>589982.74473600008</v>
      </c>
      <c r="V230" s="46">
        <f>((S230+U230)/2*1.15)</f>
        <v>670883.01826070005</v>
      </c>
      <c r="W230" s="47">
        <f t="shared" si="88"/>
        <v>670883.01826070005</v>
      </c>
      <c r="X230" s="47"/>
      <c r="Y230" s="48">
        <f>IF(N230="Standard",(((($Z$3*Q230)+($AD$3*R230*$T$5))/2)*$O$7*1.15),IF(N230="Severe",(((($AA$3*Q230)+($AE$3*R230*$T$5))/2)*$O$7*1.15),IF(N230="Hostile",(((($AB$3*Q230)+($AF$3*R230*$T$5))/2)*$O$7*1.15))))</f>
        <v>537627.23286300001</v>
      </c>
      <c r="Z230" s="48">
        <f>IF(N230="Standard",(((($Z$4*Q230)+($AD$4*R230*$T$5))/2)*$O$7*1.15),IF(N230="Severe",(((($AA$4*Q230)+($AE$4*R230*$T$5))/2)*$O$7*1.15),IF(N230="Hostile",(((($AB$4*Q230)+($AF$4*R230*$T$5))/2)*$O$7*1.15))))</f>
        <v>593892.8539060998</v>
      </c>
      <c r="AA230" s="48">
        <f>IF(N230="Standard",(((($Z$5*Q230)+($AD$5*R230*$T$5))/2)*$O$7*1.15),IF(N230="Severe",(((($AA$5*Q230)+($AE$5*R230*$T$5))/2)*$O$7*1.15),IF(N230="Hostile",(((($AB$5*Q230)+($AF$5*R230*$T$5))/2)*$O$7*1.15))))</f>
        <v>670883.01826070005</v>
      </c>
      <c r="AB230" s="48">
        <f>IF(N230="Standard",(((($Z$6*Q230)+($AD$6*R230*$T$5))/2)*$O$7*1.15),IF(N230="Severe",(((($AA$6*Q230)+($AE$6*R230*$T$5))/2)*$O$7*1.15),IF(N230="Hostile",(((($AB$6*Q230)+($AF$6*R230*$T$5))/2)*$O$7*1.15))))</f>
        <v>727154.03193440009</v>
      </c>
      <c r="AC230" s="48">
        <f>IF(N230="Standard",(((($Z$7*Q230)+($AD$7*R230*$T$5))/2)*$O$7*1.15),IF(N230="Severe",(((($AA$7*Q230)+($AE$7*R230*$T$5))/2)*$O$7*1.15),IF(N230="Hostile",(((($AB$7*Q230)+($AF$7*R230*$T$5))/2)*$O$7*1.15))))</f>
        <v>784795.42359260004</v>
      </c>
      <c r="AD230" s="1"/>
      <c r="AE230" s="1"/>
      <c r="AF230" s="1"/>
      <c r="AI230" s="9"/>
      <c r="AJ230" s="1"/>
      <c r="AK230" s="1"/>
      <c r="AL230" s="1"/>
      <c r="AM230" s="1"/>
      <c r="AN230" s="1"/>
      <c r="AO230" s="1"/>
      <c r="AP230" s="9"/>
      <c r="AQ230" s="3"/>
      <c r="AR230" s="4"/>
      <c r="AS230" s="1"/>
      <c r="AT230" s="1"/>
      <c r="AU230" s="1"/>
      <c r="AV230" s="1"/>
      <c r="AW230" s="1"/>
      <c r="AX230" s="3"/>
      <c r="AY230" s="3"/>
      <c r="AZ230" s="5"/>
      <c r="BA230" s="5"/>
      <c r="BB230" s="5"/>
      <c r="BC230" s="5"/>
      <c r="BD230" s="6"/>
      <c r="BE230" s="6"/>
      <c r="BF230" s="12"/>
      <c r="BG230" s="12"/>
      <c r="BH230" s="12"/>
      <c r="BI230" s="12"/>
      <c r="BJ230" s="12"/>
    </row>
    <row r="231" spans="2:62" x14ac:dyDescent="0.25">
      <c r="B231" s="1" t="s">
        <v>1180</v>
      </c>
      <c r="C231" s="1" t="s">
        <v>1181</v>
      </c>
      <c r="D231" s="1" t="s">
        <v>1858</v>
      </c>
      <c r="E231" s="1" t="s">
        <v>1192</v>
      </c>
      <c r="F231" s="1" t="s">
        <v>1859</v>
      </c>
      <c r="G231" s="1" t="s">
        <v>1249</v>
      </c>
      <c r="H231" s="1" t="s">
        <v>1250</v>
      </c>
      <c r="I231" s="7" t="s">
        <v>1187</v>
      </c>
      <c r="J231" s="44">
        <v>1</v>
      </c>
      <c r="K231" s="45">
        <v>4</v>
      </c>
      <c r="L231" s="1">
        <v>996</v>
      </c>
      <c r="M231" s="1" t="s">
        <v>1188</v>
      </c>
      <c r="N231" s="1" t="s">
        <v>1141</v>
      </c>
      <c r="O231" s="1" t="s">
        <v>1189</v>
      </c>
      <c r="P231" s="1" t="s">
        <v>1190</v>
      </c>
      <c r="Q231" s="44">
        <f>IF($L231=996,Multipliers!C$174,IF($L231=997,Multipliers!C$175,IF($L231=998,Multipliers!C$176,"NONE")))</f>
        <v>1.29</v>
      </c>
      <c r="R231" s="44">
        <f>IF($L231=996,Multipliers!C$5,IF($L231=997,Multipliers!C$6,IF($L231=998,Multipliers!C$7,"NONE")))</f>
        <v>1.34</v>
      </c>
      <c r="S231" s="46">
        <f>IF(N231="Standard",$O$5*Q231*$O$7,IF(N231="Severe",$O$4*Q231*$O$7,IF(N231="Hostile",$O$3*Q231*$O$7)))</f>
        <v>572333.63565000007</v>
      </c>
      <c r="T231" s="46">
        <f>IF(N231="Standard",$P$5*R231*$O$7,IF(N231="Severe",$P$4*R231*$O$7,IF(N231="Hostile",$P$3*R231*$O$7)))</f>
        <v>595942.1664000001</v>
      </c>
      <c r="U231" s="46">
        <f t="shared" si="89"/>
        <v>589982.74473600008</v>
      </c>
      <c r="V231" s="46">
        <f>(S231+U231)/2</f>
        <v>581158.19019300002</v>
      </c>
      <c r="W231" s="47">
        <f>IF(F231=F232,(V231+V232)/2,IF(F231=F230,(V231+V230)/2,IF(F231&lt;&gt;F230,V231)))</f>
        <v>581158.19019300002</v>
      </c>
      <c r="X231" s="47"/>
      <c r="Y231" s="48">
        <f>IF(N231="Standard",(((($Z$3*Q231)+($AD$3*R231*$T$5))/2)*$O$7),IF(N231="Severe",(((($AA$3*Q231)+($AE$3*R231*$T$5))/2)*$O$7),IF(N231="Hostile",(((($AB$3*Q231)+($AF$3*R231*$T$5))/2)*$O$7))))</f>
        <v>465666.31849500001</v>
      </c>
      <c r="Z231" s="48">
        <f>IF(N231="Standard",(((($Z$4*Q231)+($AD$4*R231*$T$5))/2)*$O$7),IF(N231="Severe",(((($AA$4*Q231)+($AE$4*R231*$T$5))/2)*$O$7),IF(N231="Hostile",(((($AB$4*Q231)+($AF$4*R231*$T$5))/2)*$O$7))))</f>
        <v>514428.62433899997</v>
      </c>
      <c r="AA231" s="48">
        <f>IF(N231="Standard",((($Z$5*Q231)+($AD$5*R231*$T$5))/2)*$O$7,IF(N231="Severe",((($AA$5*Q231)+($AE$5*R231*$T$5))/2)*$O$7,IF(N231="Hostile",((($AB$5*Q231)+($AF$5*R231*$T$5))/2)*$O$7)))</f>
        <v>581158.19019300013</v>
      </c>
      <c r="AB231" s="48">
        <f>IF(N231="Standard",((($Z$6*Q231)+($AD$6*R231*$T$5))/2)*$O$7,IF(N231="Severe",((($AA$6*Q231)+($AE$6*R231*$T$5))/2)*$O$7,IF(N231="Hostile",((($AB$6*Q231)+($AF$6*R231*$T$5))/2)*$O$7)))</f>
        <v>629926.37213100016</v>
      </c>
      <c r="AC231" s="48">
        <f>IF(N231="Standard",((($Z$7*Q231)+($AD$7*R231*$T$5))/2)*$O$7,IF(N231="Severe",((($AA$7*Q231)+($AE$7*R231*$T$5))/2)*$O$7,IF(N231="Hostile",((($AB$7*Q231)+($AF$7*R231*$T$5))/2)*$O$7)))</f>
        <v>679867.06659900001</v>
      </c>
      <c r="AD231" s="1"/>
      <c r="AE231" s="1"/>
      <c r="AF231" s="1"/>
      <c r="AI231" s="9"/>
      <c r="AJ231" s="1"/>
      <c r="AK231" s="1"/>
      <c r="AL231" s="1"/>
      <c r="AM231" s="1"/>
      <c r="AN231" s="1"/>
      <c r="AO231" s="1"/>
      <c r="AP231" s="9"/>
      <c r="AQ231" s="3"/>
      <c r="AR231" s="4"/>
      <c r="AS231" s="1"/>
      <c r="AT231" s="1"/>
      <c r="AU231" s="1"/>
      <c r="AV231" s="1"/>
      <c r="AW231" s="1"/>
      <c r="AX231" s="3"/>
      <c r="AY231" s="3"/>
      <c r="AZ231" s="5"/>
      <c r="BA231" s="5"/>
      <c r="BB231" s="5"/>
      <c r="BC231" s="5"/>
      <c r="BD231" s="6"/>
      <c r="BE231" s="6"/>
      <c r="BF231" s="12"/>
      <c r="BG231" s="12"/>
      <c r="BH231" s="12"/>
      <c r="BI231" s="12"/>
      <c r="BJ231" s="12"/>
    </row>
    <row r="232" spans="2:62" x14ac:dyDescent="0.25">
      <c r="B232" s="1" t="s">
        <v>1180</v>
      </c>
      <c r="C232" s="1" t="s">
        <v>1860</v>
      </c>
      <c r="D232" s="1" t="s">
        <v>1190</v>
      </c>
      <c r="E232" s="1" t="s">
        <v>1861</v>
      </c>
      <c r="F232" s="1" t="s">
        <v>1862</v>
      </c>
      <c r="G232" s="1" t="s">
        <v>1223</v>
      </c>
      <c r="H232" s="1" t="s">
        <v>1224</v>
      </c>
      <c r="I232" s="7" t="s">
        <v>1187</v>
      </c>
      <c r="J232" s="44">
        <v>1</v>
      </c>
      <c r="K232" s="45">
        <v>1</v>
      </c>
      <c r="L232" s="1">
        <v>997</v>
      </c>
      <c r="M232" s="1" t="s">
        <v>1188</v>
      </c>
      <c r="N232" s="1" t="s">
        <v>1141</v>
      </c>
      <c r="O232" s="1" t="s">
        <v>1189</v>
      </c>
      <c r="P232" s="7" t="s">
        <v>1073</v>
      </c>
      <c r="Q232" s="44">
        <f>IF($L232=996,Multipliers!C$174,IF($L232=997,Multipliers!C$175,IF($L232=998,Multipliers!C$176,"NONE")))</f>
        <v>1.3</v>
      </c>
      <c r="R232" s="44">
        <f>IF($L232=996,Multipliers!C$5,IF($L232=997,Multipliers!C$6,IF($L232=998,Multipliers!C$7,"NONE")))</f>
        <v>1.34</v>
      </c>
      <c r="S232" s="46">
        <f t="shared" si="86"/>
        <v>576770.33050000016</v>
      </c>
      <c r="T232" s="46">
        <f t="shared" si="87"/>
        <v>595942.1664000001</v>
      </c>
      <c r="U232" s="46">
        <f t="shared" si="89"/>
        <v>589982.74473600008</v>
      </c>
      <c r="V232" s="46">
        <f>((S232+U232)/2*1.15)</f>
        <v>670883.01826070005</v>
      </c>
      <c r="W232" s="47">
        <f>IF(F232=F233,(V232+V233)/2,IF(F232=F231,(V232+V231)/2,IF(F232&lt;&gt;F231,V232)))</f>
        <v>670883.01826070005</v>
      </c>
      <c r="X232" s="47"/>
      <c r="Y232" s="48">
        <f>IF(N232="Standard",(((($Z$3*Q232)+($AD$3*R232*$T$5))/2)*$O$7*1.15),IF(N232="Severe",(((($AA$3*Q232)+($AE$3*R232*$T$5))/2)*$O$7*1.15),IF(N232="Hostile",(((($AB$3*Q232)+($AF$3*R232*$T$5))/2)*$O$7*1.15))))</f>
        <v>537627.23286300001</v>
      </c>
      <c r="Z232" s="48">
        <f>IF(N232="Standard",(((($Z$4*Q232)+($AD$4*R232*$T$5))/2)*$O$7*1.15),IF(N232="Severe",(((($AA$4*Q232)+($AE$4*R232*$T$5))/2)*$O$7*1.15),IF(N232="Hostile",(((($AB$4*Q232)+($AF$4*R232*$T$5))/2)*$O$7*1.15))))</f>
        <v>593892.8539060998</v>
      </c>
      <c r="AA232" s="48">
        <f>IF(N232="Standard",(((($Z$5*Q232)+($AD$5*R232*$T$5))/2)*$O$7*1.15),IF(N232="Severe",(((($AA$5*Q232)+($AE$5*R232*$T$5))/2)*$O$7*1.15),IF(N232="Hostile",(((($AB$5*Q232)+($AF$5*R232*$T$5))/2)*$O$7*1.15))))</f>
        <v>670883.01826070005</v>
      </c>
      <c r="AB232" s="48">
        <f>IF(N232="Standard",(((($Z$6*Q232)+($AD$6*R232*$T$5))/2)*$O$7*1.15),IF(N232="Severe",(((($AA$6*Q232)+($AE$6*R232*$T$5))/2)*$O$7*1.15),IF(N232="Hostile",(((($AB$6*Q232)+($AF$6*R232*$T$5))/2)*$O$7*1.15))))</f>
        <v>727154.03193440009</v>
      </c>
      <c r="AC232" s="48">
        <f>IF(N232="Standard",(((($Z$7*Q232)+($AD$7*R232*$T$5))/2)*$O$7*1.15),IF(N232="Severe",(((($AA$7*Q232)+($AE$7*R232*$T$5))/2)*$O$7*1.15),IF(N232="Hostile",(((($AB$7*Q232)+($AF$7*R232*$T$5))/2)*$O$7*1.15))))</f>
        <v>784795.42359260004</v>
      </c>
      <c r="AD232" s="1"/>
      <c r="AE232" s="1"/>
      <c r="AF232" s="1"/>
      <c r="AI232" s="9"/>
      <c r="AJ232" s="1"/>
      <c r="AK232" s="1"/>
      <c r="AL232" s="1"/>
      <c r="AM232" s="1"/>
      <c r="AN232" s="1"/>
      <c r="AO232" s="1"/>
      <c r="AP232" s="9"/>
      <c r="AQ232" s="3"/>
      <c r="AR232" s="4"/>
      <c r="AS232" s="1"/>
      <c r="AT232" s="1"/>
      <c r="AU232" s="1"/>
      <c r="AV232" s="1"/>
      <c r="AW232" s="1"/>
      <c r="AX232" s="3"/>
      <c r="AY232" s="3"/>
      <c r="AZ232" s="5"/>
      <c r="BA232" s="5"/>
      <c r="BB232" s="5"/>
      <c r="BC232" s="5"/>
      <c r="BD232" s="6"/>
      <c r="BE232" s="6"/>
      <c r="BF232" s="12"/>
      <c r="BG232" s="12"/>
      <c r="BH232" s="12"/>
      <c r="BI232" s="12"/>
      <c r="BJ232" s="12"/>
    </row>
    <row r="233" spans="2:62" x14ac:dyDescent="0.25">
      <c r="B233" s="1" t="s">
        <v>1180</v>
      </c>
      <c r="C233" s="1" t="s">
        <v>1863</v>
      </c>
      <c r="D233" s="1" t="s">
        <v>1190</v>
      </c>
      <c r="E233" s="1" t="s">
        <v>1864</v>
      </c>
      <c r="F233" s="1" t="s">
        <v>1865</v>
      </c>
      <c r="G233" s="1" t="s">
        <v>1202</v>
      </c>
      <c r="H233" s="1" t="s">
        <v>1203</v>
      </c>
      <c r="I233" s="7" t="s">
        <v>1187</v>
      </c>
      <c r="J233" s="44">
        <v>1</v>
      </c>
      <c r="K233" s="45">
        <v>1</v>
      </c>
      <c r="L233" s="1">
        <v>997</v>
      </c>
      <c r="M233" s="1" t="s">
        <v>1188</v>
      </c>
      <c r="N233" s="1" t="s">
        <v>1141</v>
      </c>
      <c r="O233" s="1" t="s">
        <v>1189</v>
      </c>
      <c r="P233" s="7" t="s">
        <v>1073</v>
      </c>
      <c r="Q233" s="44">
        <f>IF($L233=996,Multipliers!C$174,IF($L233=997,Multipliers!C$175,IF($L233=998,Multipliers!C$176,"NONE")))</f>
        <v>1.3</v>
      </c>
      <c r="R233" s="44">
        <f>IF($L233=996,Multipliers!C$5,IF($L233=997,Multipliers!C$6,IF($L233=998,Multipliers!C$7,"NONE")))</f>
        <v>1.34</v>
      </c>
      <c r="S233" s="46">
        <f t="shared" si="86"/>
        <v>576770.33050000016</v>
      </c>
      <c r="T233" s="46">
        <f t="shared" si="87"/>
        <v>595942.1664000001</v>
      </c>
      <c r="U233" s="46">
        <f t="shared" si="89"/>
        <v>589982.74473600008</v>
      </c>
      <c r="V233" s="46">
        <f t="shared" ref="V233:V243" si="90">((S233+U233)/2*1.15)</f>
        <v>670883.01826070005</v>
      </c>
      <c r="W233" s="47">
        <f t="shared" ref="W233:W244" si="91">IF(F233=F234,(V233+V234)/2,IF(F233=F232,(V233+V232)/2,IF(F233&lt;&gt;F232,V233)))</f>
        <v>670883.01826070005</v>
      </c>
      <c r="X233" s="47"/>
      <c r="Y233" s="48">
        <f t="shared" ref="Y233:Y243" si="92">IF(N233="Standard",(((($Z$3*Q233)+($AD$3*R233*$T$5))/2)*$O$7*1.15),IF(N233="Severe",(((($AA$3*Q233)+($AE$3*R233*$T$5))/2)*$O$7*1.15),IF(N233="Hostile",(((($AB$3*Q233)+($AF$3*R233*$T$5))/2)*$O$7*1.15))))</f>
        <v>537627.23286300001</v>
      </c>
      <c r="Z233" s="48">
        <f t="shared" ref="Z233:Z243" si="93">IF(N233="Standard",(((($Z$4*Q233)+($AD$4*R233*$T$5))/2)*$O$7*1.15),IF(N233="Severe",(((($AA$4*Q233)+($AE$4*R233*$T$5))/2)*$O$7*1.15),IF(N233="Hostile",(((($AB$4*Q233)+($AF$4*R233*$T$5))/2)*$O$7*1.15))))</f>
        <v>593892.8539060998</v>
      </c>
      <c r="AA233" s="48">
        <f t="shared" ref="AA233:AA243" si="94">IF(N233="Standard",(((($Z$5*Q233)+($AD$5*R233*$T$5))/2)*$O$7*1.15),IF(N233="Severe",(((($AA$5*Q233)+($AE$5*R233*$T$5))/2)*$O$7*1.15),IF(N233="Hostile",(((($AB$5*Q233)+($AF$5*R233*$T$5))/2)*$O$7*1.15))))</f>
        <v>670883.01826070005</v>
      </c>
      <c r="AB233" s="48">
        <f t="shared" ref="AB233:AB243" si="95">IF(N233="Standard",(((($Z$6*Q233)+($AD$6*R233*$T$5))/2)*$O$7*1.15),IF(N233="Severe",(((($AA$6*Q233)+($AE$6*R233*$T$5))/2)*$O$7*1.15),IF(N233="Hostile",(((($AB$6*Q233)+($AF$6*R233*$T$5))/2)*$O$7*1.15))))</f>
        <v>727154.03193440009</v>
      </c>
      <c r="AC233" s="48">
        <f t="shared" ref="AC233:AC243" si="96">IF(N233="Standard",(((($Z$7*Q233)+($AD$7*R233*$T$5))/2)*$O$7*1.15),IF(N233="Severe",(((($AA$7*Q233)+($AE$7*R233*$T$5))/2)*$O$7*1.15),IF(N233="Hostile",(((($AB$7*Q233)+($AF$7*R233*$T$5))/2)*$O$7*1.15))))</f>
        <v>784795.42359260004</v>
      </c>
      <c r="AD233" s="1"/>
      <c r="AE233" s="1"/>
      <c r="AF233" s="1"/>
      <c r="AI233" s="9"/>
      <c r="AJ233" s="1"/>
      <c r="AK233" s="1"/>
      <c r="AL233" s="1"/>
      <c r="AM233" s="1"/>
      <c r="AN233" s="1"/>
      <c r="AO233" s="1"/>
      <c r="AP233" s="9"/>
      <c r="AQ233" s="3"/>
      <c r="AR233" s="4"/>
      <c r="AS233" s="1"/>
      <c r="AT233" s="1"/>
      <c r="AU233" s="1"/>
      <c r="AV233" s="1"/>
      <c r="AW233" s="1"/>
      <c r="AX233" s="3"/>
      <c r="AY233" s="3"/>
      <c r="AZ233" s="5"/>
      <c r="BA233" s="5"/>
      <c r="BB233" s="5"/>
      <c r="BC233" s="5"/>
      <c r="BD233" s="6"/>
      <c r="BE233" s="6"/>
      <c r="BF233" s="12"/>
      <c r="BG233" s="12"/>
      <c r="BH233" s="12"/>
      <c r="BI233" s="12"/>
      <c r="BJ233" s="12"/>
    </row>
    <row r="234" spans="2:62" x14ac:dyDescent="0.25">
      <c r="B234" s="1" t="s">
        <v>1180</v>
      </c>
      <c r="C234" s="1" t="s">
        <v>1866</v>
      </c>
      <c r="D234" s="1" t="s">
        <v>1190</v>
      </c>
      <c r="E234" s="1" t="s">
        <v>1867</v>
      </c>
      <c r="F234" s="1" t="s">
        <v>1868</v>
      </c>
      <c r="G234" s="1" t="s">
        <v>1202</v>
      </c>
      <c r="H234" s="1" t="s">
        <v>1203</v>
      </c>
      <c r="I234" s="7" t="s">
        <v>1187</v>
      </c>
      <c r="J234" s="44">
        <v>1</v>
      </c>
      <c r="K234" s="45">
        <v>1</v>
      </c>
      <c r="L234" s="1">
        <v>997</v>
      </c>
      <c r="M234" s="1" t="s">
        <v>1188</v>
      </c>
      <c r="N234" s="1" t="s">
        <v>1141</v>
      </c>
      <c r="O234" s="1" t="s">
        <v>1189</v>
      </c>
      <c r="P234" s="7" t="s">
        <v>1073</v>
      </c>
      <c r="Q234" s="44">
        <f>IF($L234=996,Multipliers!C$174,IF($L234=997,Multipliers!C$175,IF($L234=998,Multipliers!C$176,"NONE")))</f>
        <v>1.3</v>
      </c>
      <c r="R234" s="44">
        <f>IF($L234=996,Multipliers!C$5,IF($L234=997,Multipliers!C$6,IF($L234=998,Multipliers!C$7,"NONE")))</f>
        <v>1.34</v>
      </c>
      <c r="S234" s="46">
        <f t="shared" si="86"/>
        <v>576770.33050000016</v>
      </c>
      <c r="T234" s="46">
        <f t="shared" si="87"/>
        <v>595942.1664000001</v>
      </c>
      <c r="U234" s="46">
        <f t="shared" si="89"/>
        <v>589982.74473600008</v>
      </c>
      <c r="V234" s="46">
        <f t="shared" si="90"/>
        <v>670883.01826070005</v>
      </c>
      <c r="W234" s="47">
        <f t="shared" si="91"/>
        <v>670883.01826070005</v>
      </c>
      <c r="X234" s="47"/>
      <c r="Y234" s="48">
        <f t="shared" si="92"/>
        <v>537627.23286300001</v>
      </c>
      <c r="Z234" s="48">
        <f t="shared" si="93"/>
        <v>593892.8539060998</v>
      </c>
      <c r="AA234" s="48">
        <f t="shared" si="94"/>
        <v>670883.01826070005</v>
      </c>
      <c r="AB234" s="48">
        <f t="shared" si="95"/>
        <v>727154.03193440009</v>
      </c>
      <c r="AC234" s="48">
        <f t="shared" si="96"/>
        <v>784795.42359260004</v>
      </c>
      <c r="AD234" s="1"/>
      <c r="AE234" s="1"/>
      <c r="AF234" s="1"/>
      <c r="AI234" s="9"/>
      <c r="AJ234" s="1"/>
      <c r="AK234" s="1"/>
      <c r="AL234" s="1"/>
      <c r="AM234" s="1"/>
      <c r="AN234" s="1"/>
      <c r="AO234" s="1"/>
      <c r="AP234" s="9"/>
      <c r="AQ234" s="3"/>
      <c r="AR234" s="4"/>
      <c r="AS234" s="1"/>
      <c r="AT234" s="1"/>
      <c r="AU234" s="1"/>
      <c r="AV234" s="1"/>
      <c r="AW234" s="1"/>
      <c r="AX234" s="3"/>
      <c r="AY234" s="3"/>
      <c r="AZ234" s="5"/>
      <c r="BA234" s="5"/>
      <c r="BB234" s="5"/>
      <c r="BC234" s="5"/>
      <c r="BD234" s="6"/>
      <c r="BE234" s="6"/>
      <c r="BF234" s="12"/>
      <c r="BG234" s="12"/>
      <c r="BH234" s="12"/>
      <c r="BI234" s="12"/>
      <c r="BJ234" s="12"/>
    </row>
    <row r="235" spans="2:62" x14ac:dyDescent="0.25">
      <c r="B235" s="1" t="s">
        <v>1180</v>
      </c>
      <c r="C235" s="1" t="s">
        <v>1869</v>
      </c>
      <c r="D235" s="1" t="s">
        <v>1190</v>
      </c>
      <c r="E235" s="1" t="s">
        <v>1870</v>
      </c>
      <c r="F235" s="1" t="s">
        <v>1871</v>
      </c>
      <c r="G235" s="1" t="s">
        <v>1202</v>
      </c>
      <c r="H235" s="1" t="s">
        <v>1203</v>
      </c>
      <c r="I235" s="7" t="s">
        <v>1187</v>
      </c>
      <c r="J235" s="44">
        <v>1</v>
      </c>
      <c r="K235" s="45">
        <v>1</v>
      </c>
      <c r="L235" s="1">
        <v>997</v>
      </c>
      <c r="M235" s="1" t="s">
        <v>1188</v>
      </c>
      <c r="N235" s="1" t="s">
        <v>1141</v>
      </c>
      <c r="O235" s="1" t="s">
        <v>1189</v>
      </c>
      <c r="P235" s="7" t="s">
        <v>1073</v>
      </c>
      <c r="Q235" s="44">
        <f>IF($L235=996,Multipliers!C$174,IF($L235=997,Multipliers!C$175,IF($L235=998,Multipliers!C$176,"NONE")))</f>
        <v>1.3</v>
      </c>
      <c r="R235" s="44">
        <f>IF($L235=996,Multipliers!C$5,IF($L235=997,Multipliers!C$6,IF($L235=998,Multipliers!C$7,"NONE")))</f>
        <v>1.34</v>
      </c>
      <c r="S235" s="46">
        <f t="shared" si="86"/>
        <v>576770.33050000016</v>
      </c>
      <c r="T235" s="46">
        <f t="shared" si="87"/>
        <v>595942.1664000001</v>
      </c>
      <c r="U235" s="46">
        <f t="shared" si="89"/>
        <v>589982.74473600008</v>
      </c>
      <c r="V235" s="46">
        <f t="shared" si="90"/>
        <v>670883.01826070005</v>
      </c>
      <c r="W235" s="47">
        <f t="shared" si="91"/>
        <v>670883.01826070005</v>
      </c>
      <c r="X235" s="47"/>
      <c r="Y235" s="48">
        <f t="shared" si="92"/>
        <v>537627.23286300001</v>
      </c>
      <c r="Z235" s="48">
        <f t="shared" si="93"/>
        <v>593892.8539060998</v>
      </c>
      <c r="AA235" s="48">
        <f t="shared" si="94"/>
        <v>670883.01826070005</v>
      </c>
      <c r="AB235" s="48">
        <f t="shared" si="95"/>
        <v>727154.03193440009</v>
      </c>
      <c r="AC235" s="48">
        <f t="shared" si="96"/>
        <v>784795.42359260004</v>
      </c>
      <c r="AD235" s="1"/>
      <c r="AE235" s="1"/>
      <c r="AF235" s="1"/>
      <c r="AI235" s="9"/>
      <c r="AJ235" s="1"/>
      <c r="AK235" s="1"/>
      <c r="AL235" s="1"/>
      <c r="AM235" s="1"/>
      <c r="AN235" s="1"/>
      <c r="AO235" s="1"/>
      <c r="AP235" s="9"/>
      <c r="AQ235" s="3"/>
      <c r="AR235" s="4"/>
      <c r="AS235" s="1"/>
      <c r="AT235" s="1"/>
      <c r="AU235" s="1"/>
      <c r="AV235" s="1"/>
      <c r="AW235" s="1"/>
      <c r="AX235" s="3"/>
      <c r="AY235" s="3"/>
      <c r="AZ235" s="5"/>
      <c r="BA235" s="5"/>
      <c r="BB235" s="5"/>
      <c r="BC235" s="5"/>
      <c r="BD235" s="6"/>
      <c r="BE235" s="6"/>
      <c r="BF235" s="12"/>
      <c r="BG235" s="12"/>
      <c r="BH235" s="12"/>
      <c r="BI235" s="12"/>
      <c r="BJ235" s="12"/>
    </row>
    <row r="236" spans="2:62" x14ac:dyDescent="0.25">
      <c r="B236" s="1" t="s">
        <v>1180</v>
      </c>
      <c r="C236" s="1" t="s">
        <v>1872</v>
      </c>
      <c r="D236" s="1" t="s">
        <v>1190</v>
      </c>
      <c r="E236" s="1" t="s">
        <v>1873</v>
      </c>
      <c r="F236" s="1" t="s">
        <v>1874</v>
      </c>
      <c r="G236" s="1" t="s">
        <v>1202</v>
      </c>
      <c r="H236" s="1" t="s">
        <v>1203</v>
      </c>
      <c r="I236" s="7" t="s">
        <v>1187</v>
      </c>
      <c r="J236" s="44">
        <v>1</v>
      </c>
      <c r="K236" s="45">
        <v>1</v>
      </c>
      <c r="L236" s="1">
        <v>997</v>
      </c>
      <c r="M236" s="1" t="s">
        <v>1188</v>
      </c>
      <c r="N236" s="1" t="s">
        <v>1141</v>
      </c>
      <c r="O236" s="1" t="s">
        <v>1189</v>
      </c>
      <c r="P236" s="7" t="s">
        <v>1073</v>
      </c>
      <c r="Q236" s="44">
        <f>IF($L236=996,Multipliers!C$174,IF($L236=997,Multipliers!C$175,IF($L236=998,Multipliers!C$176,"NONE")))</f>
        <v>1.3</v>
      </c>
      <c r="R236" s="44">
        <f>IF($L236=996,Multipliers!C$5,IF($L236=997,Multipliers!C$6,IF($L236=998,Multipliers!C$7,"NONE")))</f>
        <v>1.34</v>
      </c>
      <c r="S236" s="46">
        <f t="shared" si="86"/>
        <v>576770.33050000016</v>
      </c>
      <c r="T236" s="46">
        <f t="shared" si="87"/>
        <v>595942.1664000001</v>
      </c>
      <c r="U236" s="46">
        <f t="shared" si="89"/>
        <v>589982.74473600008</v>
      </c>
      <c r="V236" s="46">
        <f t="shared" si="90"/>
        <v>670883.01826070005</v>
      </c>
      <c r="W236" s="47">
        <f t="shared" si="91"/>
        <v>670883.01826070005</v>
      </c>
      <c r="X236" s="47"/>
      <c r="Y236" s="48">
        <f t="shared" si="92"/>
        <v>537627.23286300001</v>
      </c>
      <c r="Z236" s="48">
        <f t="shared" si="93"/>
        <v>593892.8539060998</v>
      </c>
      <c r="AA236" s="48">
        <f t="shared" si="94"/>
        <v>670883.01826070005</v>
      </c>
      <c r="AB236" s="48">
        <f t="shared" si="95"/>
        <v>727154.03193440009</v>
      </c>
      <c r="AC236" s="48">
        <f t="shared" si="96"/>
        <v>784795.42359260004</v>
      </c>
      <c r="AD236" s="1"/>
      <c r="AE236" s="1"/>
      <c r="AF236" s="1"/>
      <c r="AI236" s="9"/>
      <c r="AJ236" s="1"/>
      <c r="AK236" s="1"/>
      <c r="AL236" s="1"/>
      <c r="AM236" s="1"/>
      <c r="AN236" s="1"/>
      <c r="AO236" s="1"/>
      <c r="AP236" s="9"/>
      <c r="AQ236" s="3"/>
      <c r="AR236" s="4"/>
      <c r="AS236" s="1"/>
      <c r="AT236" s="1"/>
      <c r="AU236" s="1"/>
      <c r="AV236" s="1"/>
      <c r="AW236" s="1"/>
      <c r="AX236" s="3"/>
      <c r="AY236" s="3"/>
      <c r="AZ236" s="5"/>
      <c r="BA236" s="5"/>
      <c r="BB236" s="5"/>
      <c r="BC236" s="5"/>
      <c r="BD236" s="6"/>
      <c r="BE236" s="6"/>
      <c r="BF236" s="12"/>
      <c r="BG236" s="12"/>
      <c r="BH236" s="12"/>
      <c r="BI236" s="12"/>
      <c r="BJ236" s="12"/>
    </row>
    <row r="237" spans="2:62" x14ac:dyDescent="0.25">
      <c r="B237" s="1" t="s">
        <v>1180</v>
      </c>
      <c r="C237" s="1" t="s">
        <v>1875</v>
      </c>
      <c r="D237" s="1" t="s">
        <v>1190</v>
      </c>
      <c r="E237" s="1" t="s">
        <v>1876</v>
      </c>
      <c r="F237" s="1" t="s">
        <v>1877</v>
      </c>
      <c r="G237" s="1" t="s">
        <v>1878</v>
      </c>
      <c r="H237" s="1" t="s">
        <v>1879</v>
      </c>
      <c r="I237" s="7" t="s">
        <v>1187</v>
      </c>
      <c r="J237" s="44">
        <v>1</v>
      </c>
      <c r="K237" s="45">
        <v>1</v>
      </c>
      <c r="L237" s="1">
        <v>997</v>
      </c>
      <c r="M237" s="1" t="s">
        <v>1188</v>
      </c>
      <c r="N237" s="1" t="s">
        <v>1141</v>
      </c>
      <c r="O237" s="1" t="s">
        <v>1189</v>
      </c>
      <c r="P237" s="7" t="s">
        <v>1073</v>
      </c>
      <c r="Q237" s="44">
        <f>IF($L237=996,Multipliers!C$174,IF($L237=997,Multipliers!C$175,IF($L237=998,Multipliers!C$176,"NONE")))</f>
        <v>1.3</v>
      </c>
      <c r="R237" s="44">
        <f>IF($L237=996,Multipliers!C$5,IF($L237=997,Multipliers!C$6,IF($L237=998,Multipliers!C$7,"NONE")))</f>
        <v>1.34</v>
      </c>
      <c r="S237" s="46">
        <f t="shared" ref="S237:S259" si="97">IF(N237="Standard",$O$5*Q237*$O$7,IF(N237="Severe",$O$4*Q237*$O$7,IF(N237="Hostile",$O$3*Q237*$O$7)))</f>
        <v>576770.33050000016</v>
      </c>
      <c r="T237" s="46">
        <f t="shared" ref="T237:T259" si="98">IF(N237="Standard",$P$5*R237*$O$7,IF(N237="Severe",$P$4*R237*$O$7,IF(N237="Hostile",$P$3*R237*$O$7)))</f>
        <v>595942.1664000001</v>
      </c>
      <c r="U237" s="46">
        <f t="shared" si="89"/>
        <v>589982.74473600008</v>
      </c>
      <c r="V237" s="46">
        <f t="shared" si="90"/>
        <v>670883.01826070005</v>
      </c>
      <c r="W237" s="47">
        <f t="shared" si="91"/>
        <v>670883.01826070005</v>
      </c>
      <c r="X237" s="47"/>
      <c r="Y237" s="48">
        <f t="shared" si="92"/>
        <v>537627.23286300001</v>
      </c>
      <c r="Z237" s="48">
        <f t="shared" si="93"/>
        <v>593892.8539060998</v>
      </c>
      <c r="AA237" s="48">
        <f t="shared" si="94"/>
        <v>670883.01826070005</v>
      </c>
      <c r="AB237" s="48">
        <f t="shared" si="95"/>
        <v>727154.03193440009</v>
      </c>
      <c r="AC237" s="48">
        <f t="shared" si="96"/>
        <v>784795.42359260004</v>
      </c>
      <c r="AD237" s="1"/>
      <c r="AE237" s="1"/>
      <c r="AF237" s="1"/>
      <c r="AI237" s="9"/>
      <c r="AJ237" s="1"/>
      <c r="AK237" s="1"/>
      <c r="AL237" s="1"/>
      <c r="AM237" s="1"/>
      <c r="AN237" s="1"/>
      <c r="AO237" s="1"/>
      <c r="AP237" s="9"/>
      <c r="AQ237" s="3"/>
      <c r="AR237" s="4"/>
      <c r="AS237" s="1"/>
      <c r="AT237" s="1"/>
      <c r="AU237" s="1"/>
      <c r="AV237" s="1"/>
      <c r="AW237" s="1"/>
      <c r="AX237" s="3"/>
      <c r="AY237" s="3"/>
      <c r="AZ237" s="5"/>
      <c r="BA237" s="5"/>
      <c r="BB237" s="5"/>
      <c r="BC237" s="5"/>
      <c r="BD237" s="6"/>
      <c r="BE237" s="6"/>
      <c r="BF237" s="12"/>
      <c r="BG237" s="12"/>
      <c r="BH237" s="12"/>
      <c r="BI237" s="12"/>
      <c r="BJ237" s="12"/>
    </row>
    <row r="238" spans="2:62" x14ac:dyDescent="0.25">
      <c r="B238" s="1" t="s">
        <v>1180</v>
      </c>
      <c r="C238" s="1" t="s">
        <v>1880</v>
      </c>
      <c r="D238" s="1" t="s">
        <v>1190</v>
      </c>
      <c r="E238" s="1" t="s">
        <v>1881</v>
      </c>
      <c r="F238" s="1" t="s">
        <v>1882</v>
      </c>
      <c r="G238" s="1" t="s">
        <v>1323</v>
      </c>
      <c r="H238" s="1" t="s">
        <v>1324</v>
      </c>
      <c r="I238" s="7" t="s">
        <v>1187</v>
      </c>
      <c r="J238" s="44">
        <v>1</v>
      </c>
      <c r="K238" s="45">
        <v>1</v>
      </c>
      <c r="L238" s="1">
        <v>997</v>
      </c>
      <c r="M238" s="1" t="s">
        <v>1188</v>
      </c>
      <c r="N238" s="1" t="s">
        <v>1141</v>
      </c>
      <c r="O238" s="1" t="s">
        <v>1189</v>
      </c>
      <c r="P238" s="7" t="s">
        <v>1073</v>
      </c>
      <c r="Q238" s="44">
        <f>IF($L238=996,Multipliers!C$174,IF($L238=997,Multipliers!C$175,IF($L238=998,Multipliers!C$176,"NONE")))</f>
        <v>1.3</v>
      </c>
      <c r="R238" s="44">
        <f>IF($L238=996,Multipliers!C$5,IF($L238=997,Multipliers!C$6,IF($L238=998,Multipliers!C$7,"NONE")))</f>
        <v>1.34</v>
      </c>
      <c r="S238" s="46">
        <f t="shared" si="97"/>
        <v>576770.33050000016</v>
      </c>
      <c r="T238" s="46">
        <f t="shared" si="98"/>
        <v>595942.1664000001</v>
      </c>
      <c r="U238" s="46">
        <f t="shared" si="89"/>
        <v>589982.74473600008</v>
      </c>
      <c r="V238" s="46">
        <f t="shared" si="90"/>
        <v>670883.01826070005</v>
      </c>
      <c r="W238" s="47">
        <f t="shared" si="91"/>
        <v>670883.01826070005</v>
      </c>
      <c r="X238" s="47"/>
      <c r="Y238" s="48">
        <f t="shared" si="92"/>
        <v>537627.23286300001</v>
      </c>
      <c r="Z238" s="48">
        <f t="shared" si="93"/>
        <v>593892.8539060998</v>
      </c>
      <c r="AA238" s="48">
        <f t="shared" si="94"/>
        <v>670883.01826070005</v>
      </c>
      <c r="AB238" s="48">
        <f t="shared" si="95"/>
        <v>727154.03193440009</v>
      </c>
      <c r="AC238" s="48">
        <f t="shared" si="96"/>
        <v>784795.42359260004</v>
      </c>
      <c r="AD238" s="1"/>
      <c r="AE238" s="1"/>
      <c r="AF238" s="1"/>
      <c r="AI238" s="9"/>
      <c r="AJ238" s="1"/>
      <c r="AK238" s="1"/>
      <c r="AL238" s="1"/>
      <c r="AM238" s="1"/>
      <c r="AN238" s="1"/>
      <c r="AO238" s="1"/>
      <c r="AP238" s="9"/>
      <c r="AQ238" s="3"/>
      <c r="AR238" s="4"/>
      <c r="AS238" s="1"/>
      <c r="AT238" s="1"/>
      <c r="AU238" s="1"/>
      <c r="AV238" s="1"/>
      <c r="AW238" s="1"/>
      <c r="AX238" s="3"/>
      <c r="AY238" s="3"/>
      <c r="AZ238" s="5"/>
      <c r="BA238" s="5"/>
      <c r="BB238" s="5"/>
      <c r="BC238" s="5"/>
      <c r="BD238" s="6"/>
      <c r="BE238" s="6"/>
      <c r="BF238" s="12"/>
      <c r="BG238" s="12"/>
      <c r="BH238" s="12"/>
      <c r="BI238" s="12"/>
      <c r="BJ238" s="12"/>
    </row>
    <row r="239" spans="2:62" x14ac:dyDescent="0.25">
      <c r="B239" s="1" t="s">
        <v>1180</v>
      </c>
      <c r="C239" s="1" t="s">
        <v>1883</v>
      </c>
      <c r="D239" s="1" t="s">
        <v>1190</v>
      </c>
      <c r="E239" s="1" t="s">
        <v>1884</v>
      </c>
      <c r="F239" s="1" t="s">
        <v>1885</v>
      </c>
      <c r="G239" s="1" t="s">
        <v>1223</v>
      </c>
      <c r="H239" s="1" t="s">
        <v>1224</v>
      </c>
      <c r="I239" s="7" t="s">
        <v>1187</v>
      </c>
      <c r="J239" s="44">
        <v>1</v>
      </c>
      <c r="K239" s="45">
        <v>1</v>
      </c>
      <c r="L239" s="1">
        <v>997</v>
      </c>
      <c r="M239" s="1" t="s">
        <v>1188</v>
      </c>
      <c r="N239" s="1" t="s">
        <v>1141</v>
      </c>
      <c r="O239" s="1" t="s">
        <v>1189</v>
      </c>
      <c r="P239" s="7" t="s">
        <v>1073</v>
      </c>
      <c r="Q239" s="44">
        <f>IF($L239=996,Multipliers!C$174,IF($L239=997,Multipliers!C$175,IF($L239=998,Multipliers!C$176,"NONE")))</f>
        <v>1.3</v>
      </c>
      <c r="R239" s="44">
        <f>IF($L239=996,Multipliers!C$5,IF($L239=997,Multipliers!C$6,IF($L239=998,Multipliers!C$7,"NONE")))</f>
        <v>1.34</v>
      </c>
      <c r="S239" s="46">
        <f t="shared" si="97"/>
        <v>576770.33050000016</v>
      </c>
      <c r="T239" s="46">
        <f t="shared" si="98"/>
        <v>595942.1664000001</v>
      </c>
      <c r="U239" s="46">
        <f t="shared" si="89"/>
        <v>589982.74473600008</v>
      </c>
      <c r="V239" s="46">
        <f t="shared" si="90"/>
        <v>670883.01826070005</v>
      </c>
      <c r="W239" s="47">
        <f t="shared" si="91"/>
        <v>670883.01826070005</v>
      </c>
      <c r="X239" s="47"/>
      <c r="Y239" s="48">
        <f t="shared" si="92"/>
        <v>537627.23286300001</v>
      </c>
      <c r="Z239" s="48">
        <f t="shared" si="93"/>
        <v>593892.8539060998</v>
      </c>
      <c r="AA239" s="48">
        <f t="shared" si="94"/>
        <v>670883.01826070005</v>
      </c>
      <c r="AB239" s="48">
        <f t="shared" si="95"/>
        <v>727154.03193440009</v>
      </c>
      <c r="AC239" s="48">
        <f t="shared" si="96"/>
        <v>784795.42359260004</v>
      </c>
      <c r="AD239" s="1"/>
      <c r="AE239" s="1"/>
      <c r="AF239" s="1"/>
      <c r="AI239" s="9"/>
      <c r="AJ239" s="1"/>
      <c r="AK239" s="1"/>
      <c r="AL239" s="1"/>
      <c r="AM239" s="1"/>
      <c r="AN239" s="1"/>
      <c r="AO239" s="1"/>
      <c r="AP239" s="9"/>
      <c r="AQ239" s="3"/>
      <c r="AR239" s="4"/>
      <c r="AS239" s="1"/>
      <c r="AT239" s="1"/>
      <c r="AU239" s="1"/>
      <c r="AV239" s="1"/>
      <c r="AW239" s="1"/>
      <c r="AX239" s="3"/>
      <c r="AY239" s="3"/>
      <c r="AZ239" s="5"/>
      <c r="BA239" s="5"/>
      <c r="BB239" s="5"/>
      <c r="BC239" s="5"/>
      <c r="BD239" s="6"/>
      <c r="BE239" s="6"/>
      <c r="BF239" s="12"/>
      <c r="BG239" s="12"/>
      <c r="BH239" s="12"/>
      <c r="BI239" s="12"/>
      <c r="BJ239" s="12"/>
    </row>
    <row r="240" spans="2:62" x14ac:dyDescent="0.25">
      <c r="B240" s="1" t="s">
        <v>1180</v>
      </c>
      <c r="C240" s="1" t="s">
        <v>1181</v>
      </c>
      <c r="D240" s="1" t="s">
        <v>1886</v>
      </c>
      <c r="E240" s="1" t="s">
        <v>1887</v>
      </c>
      <c r="F240" s="1" t="s">
        <v>1888</v>
      </c>
      <c r="G240" s="1" t="s">
        <v>1202</v>
      </c>
      <c r="H240" s="1" t="s">
        <v>1203</v>
      </c>
      <c r="I240" s="7" t="s">
        <v>1187</v>
      </c>
      <c r="J240" s="44">
        <v>1</v>
      </c>
      <c r="K240" s="45">
        <v>1</v>
      </c>
      <c r="L240" s="1">
        <v>997</v>
      </c>
      <c r="M240" s="1" t="s">
        <v>1188</v>
      </c>
      <c r="N240" s="1" t="s">
        <v>1141</v>
      </c>
      <c r="O240" s="1" t="s">
        <v>1189</v>
      </c>
      <c r="P240" s="7" t="s">
        <v>1073</v>
      </c>
      <c r="Q240" s="44">
        <f>IF($L240=996,Multipliers!C$174,IF($L240=997,Multipliers!C$175,IF($L240=998,Multipliers!C$176,"NONE")))</f>
        <v>1.3</v>
      </c>
      <c r="R240" s="44">
        <f>IF($L240=996,Multipliers!C$5,IF($L240=997,Multipliers!C$6,IF($L240=998,Multipliers!C$7,"NONE")))</f>
        <v>1.34</v>
      </c>
      <c r="S240" s="46">
        <f t="shared" si="97"/>
        <v>576770.33050000016</v>
      </c>
      <c r="T240" s="46">
        <f t="shared" si="98"/>
        <v>595942.1664000001</v>
      </c>
      <c r="U240" s="46">
        <f t="shared" ref="U240:U264" si="99">IF(O240="E",$T$3*T240,IF(O240="C",$T$4*T240,IF(O240="W",$T$5*T240,1)))</f>
        <v>589982.74473600008</v>
      </c>
      <c r="V240" s="46">
        <f t="shared" si="90"/>
        <v>670883.01826070005</v>
      </c>
      <c r="W240" s="47">
        <f t="shared" si="91"/>
        <v>670883.01826070005</v>
      </c>
      <c r="X240" s="47"/>
      <c r="Y240" s="48">
        <f t="shared" si="92"/>
        <v>537627.23286300001</v>
      </c>
      <c r="Z240" s="48">
        <f t="shared" si="93"/>
        <v>593892.8539060998</v>
      </c>
      <c r="AA240" s="48">
        <f t="shared" si="94"/>
        <v>670883.01826070005</v>
      </c>
      <c r="AB240" s="48">
        <f t="shared" si="95"/>
        <v>727154.03193440009</v>
      </c>
      <c r="AC240" s="48">
        <f t="shared" si="96"/>
        <v>784795.42359260004</v>
      </c>
      <c r="AD240" s="1"/>
      <c r="AE240" s="1"/>
      <c r="AF240" s="1"/>
      <c r="AI240" s="9"/>
      <c r="AJ240" s="1"/>
      <c r="AK240" s="1"/>
      <c r="AL240" s="1"/>
      <c r="AM240" s="1"/>
      <c r="AN240" s="1"/>
      <c r="AO240" s="1"/>
      <c r="AP240" s="9"/>
      <c r="AQ240" s="3"/>
      <c r="AR240" s="4"/>
      <c r="AS240" s="1"/>
      <c r="AT240" s="1"/>
      <c r="AU240" s="1"/>
      <c r="AV240" s="1"/>
      <c r="AW240" s="1"/>
      <c r="AX240" s="3"/>
      <c r="AY240" s="3"/>
      <c r="AZ240" s="5"/>
      <c r="BA240" s="5"/>
      <c r="BB240" s="5"/>
      <c r="BC240" s="5"/>
      <c r="BD240" s="6"/>
      <c r="BE240" s="6"/>
      <c r="BF240" s="12"/>
      <c r="BG240" s="12"/>
      <c r="BH240" s="12"/>
      <c r="BI240" s="12"/>
      <c r="BJ240" s="12"/>
    </row>
    <row r="241" spans="2:62" x14ac:dyDescent="0.25">
      <c r="B241" s="1" t="s">
        <v>1180</v>
      </c>
      <c r="C241" s="1" t="s">
        <v>1889</v>
      </c>
      <c r="D241" s="1" t="s">
        <v>1190</v>
      </c>
      <c r="E241" s="1" t="s">
        <v>1890</v>
      </c>
      <c r="F241" s="1" t="s">
        <v>1891</v>
      </c>
      <c r="G241" s="1" t="s">
        <v>1294</v>
      </c>
      <c r="H241" s="1" t="s">
        <v>1295</v>
      </c>
      <c r="I241" s="7" t="s">
        <v>1187</v>
      </c>
      <c r="J241" s="44">
        <v>1</v>
      </c>
      <c r="K241" s="45">
        <v>1</v>
      </c>
      <c r="L241" s="1">
        <v>997</v>
      </c>
      <c r="M241" s="1" t="s">
        <v>1188</v>
      </c>
      <c r="N241" s="1" t="s">
        <v>1141</v>
      </c>
      <c r="O241" s="1" t="s">
        <v>1189</v>
      </c>
      <c r="P241" s="7" t="s">
        <v>1073</v>
      </c>
      <c r="Q241" s="44">
        <f>IF($L241=996,Multipliers!C$174,IF($L241=997,Multipliers!C$175,IF($L241=998,Multipliers!C$176,"NONE")))</f>
        <v>1.3</v>
      </c>
      <c r="R241" s="44">
        <f>IF($L241=996,Multipliers!C$5,IF($L241=997,Multipliers!C$6,IF($L241=998,Multipliers!C$7,"NONE")))</f>
        <v>1.34</v>
      </c>
      <c r="S241" s="46">
        <f t="shared" si="97"/>
        <v>576770.33050000016</v>
      </c>
      <c r="T241" s="46">
        <f t="shared" si="98"/>
        <v>595942.1664000001</v>
      </c>
      <c r="U241" s="46">
        <f t="shared" si="99"/>
        <v>589982.74473600008</v>
      </c>
      <c r="V241" s="46">
        <f t="shared" si="90"/>
        <v>670883.01826070005</v>
      </c>
      <c r="W241" s="47">
        <f t="shared" si="91"/>
        <v>670883.01826070005</v>
      </c>
      <c r="X241" s="47"/>
      <c r="Y241" s="48">
        <f t="shared" si="92"/>
        <v>537627.23286300001</v>
      </c>
      <c r="Z241" s="48">
        <f t="shared" si="93"/>
        <v>593892.8539060998</v>
      </c>
      <c r="AA241" s="48">
        <f t="shared" si="94"/>
        <v>670883.01826070005</v>
      </c>
      <c r="AB241" s="48">
        <f t="shared" si="95"/>
        <v>727154.03193440009</v>
      </c>
      <c r="AC241" s="48">
        <f t="shared" si="96"/>
        <v>784795.42359260004</v>
      </c>
      <c r="AD241" s="1"/>
      <c r="AE241" s="1"/>
      <c r="AF241" s="1"/>
      <c r="AI241" s="9"/>
      <c r="AJ241" s="1"/>
      <c r="AK241" s="1"/>
      <c r="AL241" s="1"/>
      <c r="AM241" s="1"/>
      <c r="AN241" s="1"/>
      <c r="AO241" s="1"/>
      <c r="AP241" s="9"/>
      <c r="AQ241" s="3"/>
      <c r="AR241" s="4"/>
      <c r="AS241" s="1"/>
      <c r="AT241" s="1"/>
      <c r="AU241" s="1"/>
      <c r="AV241" s="1"/>
      <c r="AW241" s="1"/>
      <c r="AX241" s="3"/>
      <c r="AY241" s="3"/>
      <c r="AZ241" s="5"/>
      <c r="BA241" s="5"/>
      <c r="BB241" s="5"/>
      <c r="BC241" s="5"/>
      <c r="BD241" s="6"/>
      <c r="BE241" s="6"/>
      <c r="BF241" s="12"/>
      <c r="BG241" s="12"/>
      <c r="BH241" s="12"/>
      <c r="BI241" s="12"/>
      <c r="BJ241" s="12"/>
    </row>
    <row r="242" spans="2:62" x14ac:dyDescent="0.25">
      <c r="B242" s="1" t="s">
        <v>1180</v>
      </c>
      <c r="C242" s="1"/>
      <c r="D242" s="1"/>
      <c r="E242" s="1"/>
      <c r="F242" s="1" t="s">
        <v>1892</v>
      </c>
      <c r="G242" s="84" t="s">
        <v>1210</v>
      </c>
      <c r="H242" s="84" t="s">
        <v>1211</v>
      </c>
      <c r="I242" s="7" t="s">
        <v>1187</v>
      </c>
      <c r="J242" s="44">
        <v>1</v>
      </c>
      <c r="K242" s="45">
        <v>1</v>
      </c>
      <c r="L242" s="1">
        <v>997</v>
      </c>
      <c r="M242" s="1" t="s">
        <v>1188</v>
      </c>
      <c r="N242" s="1" t="s">
        <v>1141</v>
      </c>
      <c r="O242" s="1" t="s">
        <v>1189</v>
      </c>
      <c r="P242" s="7" t="s">
        <v>1073</v>
      </c>
      <c r="Q242" s="44">
        <f>IF($L242=996,Multipliers!C$174,IF($L242=997,Multipliers!C$175,IF($L242=998,Multipliers!C$176,"NONE")))</f>
        <v>1.3</v>
      </c>
      <c r="R242" s="44">
        <f>IF($L242=996,Multipliers!C$5,IF($L242=997,Multipliers!C$6,IF($L242=998,Multipliers!C$7,"NONE")))</f>
        <v>1.34</v>
      </c>
      <c r="S242" s="46">
        <f t="shared" si="97"/>
        <v>576770.33050000016</v>
      </c>
      <c r="T242" s="46">
        <f t="shared" si="98"/>
        <v>595942.1664000001</v>
      </c>
      <c r="U242" s="46">
        <f t="shared" si="99"/>
        <v>589982.74473600008</v>
      </c>
      <c r="V242" s="46">
        <f t="shared" si="90"/>
        <v>670883.01826070005</v>
      </c>
      <c r="W242" s="47">
        <f t="shared" si="91"/>
        <v>670883.01826070005</v>
      </c>
      <c r="X242" s="47"/>
      <c r="Y242" s="48">
        <f t="shared" si="92"/>
        <v>537627.23286300001</v>
      </c>
      <c r="Z242" s="48">
        <f t="shared" si="93"/>
        <v>593892.8539060998</v>
      </c>
      <c r="AA242" s="48">
        <f t="shared" si="94"/>
        <v>670883.01826070005</v>
      </c>
      <c r="AB242" s="48">
        <f t="shared" si="95"/>
        <v>727154.03193440009</v>
      </c>
      <c r="AC242" s="48">
        <f t="shared" si="96"/>
        <v>784795.42359260004</v>
      </c>
      <c r="AD242" s="1"/>
      <c r="AE242" s="1"/>
      <c r="AF242" s="1"/>
      <c r="AI242" s="9"/>
      <c r="AJ242" s="1"/>
      <c r="AK242" s="1"/>
      <c r="AL242" s="1"/>
      <c r="AM242" s="1"/>
      <c r="AN242" s="1"/>
      <c r="AO242" s="1"/>
      <c r="AP242" s="9"/>
      <c r="AQ242" s="3"/>
      <c r="AR242" s="4"/>
      <c r="AS242" s="1"/>
      <c r="AT242" s="1"/>
      <c r="AU242" s="1"/>
      <c r="AV242" s="1"/>
      <c r="AW242" s="1"/>
      <c r="AX242" s="3"/>
      <c r="AY242" s="3"/>
      <c r="AZ242" s="5"/>
      <c r="BA242" s="5"/>
      <c r="BB242" s="5"/>
      <c r="BC242" s="5"/>
      <c r="BD242" s="6"/>
      <c r="BE242" s="6"/>
      <c r="BF242" s="12"/>
      <c r="BG242" s="12"/>
      <c r="BH242" s="12"/>
      <c r="BI242" s="12"/>
      <c r="BJ242" s="12"/>
    </row>
    <row r="243" spans="2:62" x14ac:dyDescent="0.25">
      <c r="B243" s="1" t="s">
        <v>1180</v>
      </c>
      <c r="C243" s="1" t="s">
        <v>1893</v>
      </c>
      <c r="D243" s="1" t="s">
        <v>1190</v>
      </c>
      <c r="E243" s="1" t="s">
        <v>1894</v>
      </c>
      <c r="F243" s="1" t="s">
        <v>1895</v>
      </c>
      <c r="G243" s="1" t="s">
        <v>1218</v>
      </c>
      <c r="H243" s="1" t="s">
        <v>1219</v>
      </c>
      <c r="I243" s="7" t="s">
        <v>1187</v>
      </c>
      <c r="J243" s="44">
        <v>1</v>
      </c>
      <c r="K243" s="45">
        <v>1</v>
      </c>
      <c r="L243" s="1">
        <v>997</v>
      </c>
      <c r="M243" s="1" t="s">
        <v>1188</v>
      </c>
      <c r="N243" s="1" t="s">
        <v>1141</v>
      </c>
      <c r="O243" s="1" t="s">
        <v>1189</v>
      </c>
      <c r="P243" s="7" t="s">
        <v>1073</v>
      </c>
      <c r="Q243" s="44">
        <f>IF($L243=996,Multipliers!C$174,IF($L243=997,Multipliers!C$175,IF($L243=998,Multipliers!C$176,"NONE")))</f>
        <v>1.3</v>
      </c>
      <c r="R243" s="44">
        <f>IF($L243=996,Multipliers!C$5,IF($L243=997,Multipliers!C$6,IF($L243=998,Multipliers!C$7,"NONE")))</f>
        <v>1.34</v>
      </c>
      <c r="S243" s="46">
        <f t="shared" si="97"/>
        <v>576770.33050000016</v>
      </c>
      <c r="T243" s="46">
        <f t="shared" si="98"/>
        <v>595942.1664000001</v>
      </c>
      <c r="U243" s="46">
        <f t="shared" si="99"/>
        <v>589982.74473600008</v>
      </c>
      <c r="V243" s="46">
        <f t="shared" si="90"/>
        <v>670883.01826070005</v>
      </c>
      <c r="W243" s="47">
        <f t="shared" si="91"/>
        <v>670883.01826070005</v>
      </c>
      <c r="X243" s="47"/>
      <c r="Y243" s="48">
        <f t="shared" si="92"/>
        <v>537627.23286300001</v>
      </c>
      <c r="Z243" s="48">
        <f t="shared" si="93"/>
        <v>593892.8539060998</v>
      </c>
      <c r="AA243" s="48">
        <f t="shared" si="94"/>
        <v>670883.01826070005</v>
      </c>
      <c r="AB243" s="48">
        <f t="shared" si="95"/>
        <v>727154.03193440009</v>
      </c>
      <c r="AC243" s="48">
        <f t="shared" si="96"/>
        <v>784795.42359260004</v>
      </c>
      <c r="AD243" s="1"/>
      <c r="AE243" s="1"/>
      <c r="AF243" s="1"/>
      <c r="AI243" s="9"/>
      <c r="AJ243" s="1"/>
      <c r="AK243" s="1"/>
      <c r="AL243" s="1"/>
      <c r="AM243" s="1"/>
      <c r="AN243" s="1"/>
      <c r="AO243" s="1"/>
      <c r="AP243" s="9"/>
      <c r="AQ243" s="3"/>
      <c r="AR243" s="4"/>
      <c r="AS243" s="1"/>
      <c r="AT243" s="1"/>
      <c r="AU243" s="1"/>
      <c r="AV243" s="1"/>
      <c r="AW243" s="1"/>
      <c r="AX243" s="3"/>
      <c r="AY243" s="3"/>
      <c r="AZ243" s="5"/>
      <c r="BA243" s="5"/>
      <c r="BB243" s="5"/>
      <c r="BC243" s="5"/>
      <c r="BD243" s="6"/>
      <c r="BE243" s="6"/>
      <c r="BF243" s="12"/>
      <c r="BG243" s="12"/>
      <c r="BH243" s="12"/>
      <c r="BI243" s="12"/>
      <c r="BJ243" s="12"/>
    </row>
    <row r="244" spans="2:62" x14ac:dyDescent="0.25">
      <c r="B244" s="1" t="s">
        <v>1180</v>
      </c>
      <c r="C244" s="1" t="s">
        <v>1896</v>
      </c>
      <c r="D244" s="1" t="s">
        <v>1190</v>
      </c>
      <c r="E244" s="1" t="s">
        <v>1897</v>
      </c>
      <c r="F244" s="1" t="s">
        <v>1898</v>
      </c>
      <c r="G244" s="1" t="s">
        <v>1241</v>
      </c>
      <c r="H244" s="1" t="s">
        <v>1242</v>
      </c>
      <c r="I244" s="7" t="s">
        <v>1187</v>
      </c>
      <c r="J244" s="44">
        <v>1</v>
      </c>
      <c r="K244" s="45">
        <v>1</v>
      </c>
      <c r="L244" s="1">
        <v>998</v>
      </c>
      <c r="M244" s="1" t="s">
        <v>1188</v>
      </c>
      <c r="N244" s="1" t="s">
        <v>1141</v>
      </c>
      <c r="O244" s="1" t="s">
        <v>1189</v>
      </c>
      <c r="P244" s="7" t="s">
        <v>1074</v>
      </c>
      <c r="Q244" s="44">
        <f>IF($L244=996,Multipliers!C$174,IF($L244=997,Multipliers!C$175,IF($L244=998,Multipliers!C$176,"NONE")))</f>
        <v>1.34</v>
      </c>
      <c r="R244" s="44">
        <f>IF($L244=996,Multipliers!C$5,IF($L244=997,Multipliers!C$6,IF($L244=998,Multipliers!C$7,"NONE")))</f>
        <v>1.36</v>
      </c>
      <c r="S244" s="46">
        <f t="shared" si="97"/>
        <v>594517.10990000016</v>
      </c>
      <c r="T244" s="46">
        <f t="shared" si="98"/>
        <v>604836.82559999998</v>
      </c>
      <c r="U244" s="46">
        <f t="shared" si="99"/>
        <v>598788.45734399999</v>
      </c>
      <c r="V244" s="46">
        <f>((S244+U244)/2*1.2)</f>
        <v>715983.34034640016</v>
      </c>
      <c r="W244" s="47">
        <f t="shared" si="91"/>
        <v>715983.34034640016</v>
      </c>
      <c r="X244" s="47"/>
      <c r="Y244" s="48">
        <f>IF(N244="Standard",(((($Z$3*Q244)+($AD$3*R244*$T$5))/2)*$O$7*1.2),IF(N244="Severe",(((($AA$3*Q244)+($AE$3*R244*$T$5))/2)*$O$7*1.2),IF(N244="Hostile",(((($AB$3*Q244)+($AF$3*R244*$T$5))/2)*$O$7*1.2))))</f>
        <v>573912.50187599997</v>
      </c>
      <c r="Z244" s="48">
        <f>IF(N244="Standard",(((($Z$4*Q244)+($AD$4*R244*$T$5))/2)*$O$7*1.2),IF(N244="Severe",(((($AA$4*Q244)+($AE$4*R244*$T$5))/2)*$O$7*1.2),IF(N244="Hostile",(((($AB$4*Q244)+($AF$4*R244*$T$5))/2)*$O$7*1.2))))</f>
        <v>633906.89508719998</v>
      </c>
      <c r="AA244" s="48">
        <f>IF(N244="Standard",(((($Z$5*Q244)+($AD$5*R244*$T$5))/2)*$O$7*1.2),IF(N244="Severe",(((($AA$5*Q244)+($AE$5*R244*$T$5))/2)*$O$7*1.2),IF(N244="Hostile",((($AB$5*Q244)+($AF$5*R244*$T$5))/2)*$O$7*1.2)))</f>
        <v>715983.34034640016</v>
      </c>
      <c r="AB244" s="48">
        <f>IF(N244="Standard",(((($Z$6*Q244)+($AD$6*R244*$T$5))/2)*$O$7*1.2),IF(N244="Severe",(((($AA$6*Q244)+($AE$6*R244*$T$5))/2)*$O$7*1.2),IF(N244="Hostile",((($AB$6*Q244)+($AF$6*R244*$T$5))/2)*$O$7*1.2)))</f>
        <v>775980.51116880018</v>
      </c>
      <c r="AC244" s="48">
        <f>IF(N244="Standard",((($Z$7*Q244)+($AD$7*R244*$T$5))/2)*$O$7*1.2,IF(N244="Severe",((($AA$7*Q244)+($AE$7*R244*$T$5))/2)*$O$7*1.2,IF(N244="Hostile",((($AB$7*Q244)+($AF$7*R244*$T$5))/2)*$O$7*1.2)))</f>
        <v>837476.24333520012</v>
      </c>
      <c r="AD244" s="1"/>
      <c r="AE244" s="1"/>
      <c r="AF244" s="1"/>
      <c r="AI244" s="9"/>
      <c r="AJ244" s="1"/>
      <c r="AK244" s="1"/>
      <c r="AL244" s="1"/>
      <c r="AM244" s="1"/>
      <c r="AN244" s="1"/>
      <c r="AO244" s="1"/>
      <c r="AP244" s="9"/>
      <c r="AQ244" s="3"/>
      <c r="AR244" s="4"/>
      <c r="AS244" s="1"/>
      <c r="AT244" s="1"/>
      <c r="AU244" s="1"/>
      <c r="AV244" s="1"/>
      <c r="AW244" s="1"/>
      <c r="AX244" s="3"/>
      <c r="AY244" s="3"/>
      <c r="AZ244" s="5"/>
      <c r="BA244" s="5"/>
      <c r="BB244" s="5"/>
      <c r="BC244" s="5"/>
      <c r="BD244" s="6"/>
      <c r="BE244" s="6"/>
      <c r="BF244" s="12"/>
      <c r="BG244" s="12"/>
      <c r="BH244" s="12"/>
      <c r="BI244" s="12"/>
      <c r="BJ244" s="12"/>
    </row>
    <row r="245" spans="2:62" x14ac:dyDescent="0.25">
      <c r="B245" s="1" t="s">
        <v>1180</v>
      </c>
      <c r="C245" s="1" t="s">
        <v>1899</v>
      </c>
      <c r="D245" s="1" t="s">
        <v>1190</v>
      </c>
      <c r="E245" s="1" t="s">
        <v>1900</v>
      </c>
      <c r="F245" s="1" t="s">
        <v>1901</v>
      </c>
      <c r="G245" s="1" t="s">
        <v>1294</v>
      </c>
      <c r="H245" s="1" t="s">
        <v>1295</v>
      </c>
      <c r="I245" s="7" t="s">
        <v>1187</v>
      </c>
      <c r="J245" s="44">
        <v>1</v>
      </c>
      <c r="K245" s="45">
        <v>1</v>
      </c>
      <c r="L245" s="1">
        <v>997</v>
      </c>
      <c r="M245" s="1" t="s">
        <v>1188</v>
      </c>
      <c r="N245" s="1" t="s">
        <v>1141</v>
      </c>
      <c r="O245" s="1" t="s">
        <v>1189</v>
      </c>
      <c r="P245" s="7" t="s">
        <v>1073</v>
      </c>
      <c r="Q245" s="44">
        <f>IF($L245=996,Multipliers!C$174,IF($L245=997,Multipliers!C$175,IF($L245=998,Multipliers!C$176,"NONE")))</f>
        <v>1.3</v>
      </c>
      <c r="R245" s="44">
        <f>IF($L245=996,Multipliers!C$5,IF($L245=997,Multipliers!C$6,IF($L245=998,Multipliers!C$7,"NONE")))</f>
        <v>1.34</v>
      </c>
      <c r="S245" s="46">
        <f t="shared" si="97"/>
        <v>576770.33050000016</v>
      </c>
      <c r="T245" s="46">
        <f t="shared" si="98"/>
        <v>595942.1664000001</v>
      </c>
      <c r="U245" s="46">
        <f t="shared" si="99"/>
        <v>589982.74473600008</v>
      </c>
      <c r="V245" s="46">
        <f>((S245+U245)/2*1.15)</f>
        <v>670883.01826070005</v>
      </c>
      <c r="W245" s="47">
        <f>IF(F245=F246,(V245+V246)/2,IF(F245=F244,(V245+V244)/2,IF(F245&lt;&gt;F244,V245)))</f>
        <v>670883.01826070005</v>
      </c>
      <c r="X245" s="47"/>
      <c r="Y245" s="48">
        <f>IF(N245="Standard",(((($Z$3*Q245)+($AD$3*R245*$T$5))/2)*$O$7*1.15),IF(N245="Severe",(((($AA$3*Q245)+($AE$3*R245*$T$5))/2)*$O$7*1.15),IF(N245="Hostile",(((($AB$3*Q245)+($AF$3*R245*$T$5))/2)*$O$7*1.15))))</f>
        <v>537627.23286300001</v>
      </c>
      <c r="Z245" s="48">
        <f>IF(N245="Standard",(((($Z$4*Q245)+($AD$4*R245*$T$5))/2)*$O$7*1.15),IF(N245="Severe",(((($AA$4*Q245)+($AE$4*R245*$T$5))/2)*$O$7*1.15),IF(N245="Hostile",(((($AB$4*Q245)+($AF$4*R245*$T$5))/2)*$O$7*1.15))))</f>
        <v>593892.8539060998</v>
      </c>
      <c r="AA245" s="48">
        <f>IF(N245="Standard",(((($Z$5*Q245)+($AD$5*R245*$T$5))/2)*$O$7*1.15),IF(N245="Severe",(((($AA$5*Q245)+($AE$5*R245*$T$5))/2)*$O$7*1.15),IF(N245="Hostile",(((($AB$5*Q245)+($AF$5*R245*$T$5))/2)*$O$7*1.15))))</f>
        <v>670883.01826070005</v>
      </c>
      <c r="AB245" s="48">
        <f>IF(N245="Standard",(((($Z$6*Q245)+($AD$6*R245*$T$5))/2)*$O$7*1.15),IF(N245="Severe",(((($AA$6*Q245)+($AE$6*R245*$T$5))/2)*$O$7*1.15),IF(N245="Hostile",(((($AB$6*Q245)+($AF$6*R245*$T$5))/2)*$O$7*1.15))))</f>
        <v>727154.03193440009</v>
      </c>
      <c r="AC245" s="48">
        <f>IF(N245="Standard",(((($Z$7*Q245)+($AD$7*R245*$T$5))/2)*$O$7*1.15),IF(N245="Severe",(((($AA$7*Q245)+($AE$7*R245*$T$5))/2)*$O$7*1.15),IF(N245="Hostile",(((($AB$7*Q245)+($AF$7*R245*$T$5))/2)*$O$7*1.15))))</f>
        <v>784795.42359260004</v>
      </c>
      <c r="AD245" s="1"/>
      <c r="AE245" s="1"/>
      <c r="AF245" s="1"/>
      <c r="AI245" s="9"/>
      <c r="AJ245" s="1"/>
      <c r="AK245" s="1"/>
      <c r="AL245" s="1"/>
      <c r="AM245" s="1"/>
      <c r="AN245" s="1"/>
      <c r="AO245" s="1"/>
      <c r="AP245" s="9"/>
      <c r="AQ245" s="3"/>
      <c r="AR245" s="4"/>
      <c r="AS245" s="1"/>
      <c r="AT245" s="1"/>
      <c r="AU245" s="1"/>
      <c r="AV245" s="1"/>
      <c r="AW245" s="1"/>
      <c r="AX245" s="3"/>
      <c r="AY245" s="3"/>
      <c r="AZ245" s="5"/>
      <c r="BA245" s="5"/>
      <c r="BB245" s="5"/>
      <c r="BC245" s="5"/>
      <c r="BD245" s="6"/>
      <c r="BE245" s="6"/>
      <c r="BF245" s="12"/>
      <c r="BG245" s="12"/>
      <c r="BH245" s="12"/>
      <c r="BI245" s="12"/>
      <c r="BJ245" s="12"/>
    </row>
    <row r="246" spans="2:62" x14ac:dyDescent="0.25">
      <c r="B246" s="1" t="s">
        <v>1180</v>
      </c>
      <c r="C246" s="1" t="s">
        <v>1902</v>
      </c>
      <c r="D246" s="1" t="s">
        <v>1190</v>
      </c>
      <c r="E246" s="1" t="s">
        <v>1903</v>
      </c>
      <c r="F246" s="1" t="s">
        <v>1904</v>
      </c>
      <c r="G246" s="1" t="s">
        <v>1294</v>
      </c>
      <c r="H246" s="1" t="s">
        <v>1295</v>
      </c>
      <c r="I246" s="7" t="s">
        <v>1187</v>
      </c>
      <c r="J246" s="44">
        <v>1</v>
      </c>
      <c r="K246" s="45">
        <v>1</v>
      </c>
      <c r="L246" s="1">
        <v>997</v>
      </c>
      <c r="M246" s="1" t="s">
        <v>1188</v>
      </c>
      <c r="N246" s="1" t="s">
        <v>1141</v>
      </c>
      <c r="O246" s="1" t="s">
        <v>1189</v>
      </c>
      <c r="P246" s="7" t="s">
        <v>1073</v>
      </c>
      <c r="Q246" s="44">
        <f>IF($L246=996,Multipliers!C$174,IF($L246=997,Multipliers!C$175,IF($L246=998,Multipliers!C$176,"NONE")))</f>
        <v>1.3</v>
      </c>
      <c r="R246" s="44">
        <f>IF($L246=996,Multipliers!C$5,IF($L246=997,Multipliers!C$6,IF($L246=998,Multipliers!C$7,"NONE")))</f>
        <v>1.34</v>
      </c>
      <c r="S246" s="46">
        <f t="shared" si="97"/>
        <v>576770.33050000016</v>
      </c>
      <c r="T246" s="46">
        <f t="shared" si="98"/>
        <v>595942.1664000001</v>
      </c>
      <c r="U246" s="46">
        <f t="shared" si="99"/>
        <v>589982.74473600008</v>
      </c>
      <c r="V246" s="46">
        <f>((S246+U246)/2*1.15)</f>
        <v>670883.01826070005</v>
      </c>
      <c r="W246" s="47">
        <f>IF(F246=F247,(V246+V247)/2,IF(F246=F245,(V246+V245)/2,IF(F246&lt;&gt;F245,V246)))</f>
        <v>670883.01826070005</v>
      </c>
      <c r="X246" s="47"/>
      <c r="Y246" s="48">
        <f>IF(N246="Standard",(((($Z$3*Q246)+($AD$3*R246*$T$5))/2)*$O$7*1.15),IF(N246="Severe",(((($AA$3*Q246)+($AE$3*R246*$T$5))/2)*$O$7*1.15),IF(N246="Hostile",(((($AB$3*Q246)+($AF$3*R246*$T$5))/2)*$O$7*1.15))))</f>
        <v>537627.23286300001</v>
      </c>
      <c r="Z246" s="48">
        <f>IF(N246="Standard",(((($Z$4*Q246)+($AD$4*R246*$T$5))/2)*$O$7*1.15),IF(N246="Severe",(((($AA$4*Q246)+($AE$4*R246*$T$5))/2)*$O$7*1.15),IF(N246="Hostile",(((($AB$4*Q246)+($AF$4*R246*$T$5))/2)*$O$7*1.15))))</f>
        <v>593892.8539060998</v>
      </c>
      <c r="AA246" s="48">
        <f>IF(N246="Standard",(((($Z$5*Q246)+($AD$5*R246*$T$5))/2)*$O$7*1.15),IF(N246="Severe",(((($AA$5*Q246)+($AE$5*R246*$T$5))/2)*$O$7*1.15),IF(N246="Hostile",(((($AB$5*Q246)+($AF$5*R246*$T$5))/2)*$O$7*1.15))))</f>
        <v>670883.01826070005</v>
      </c>
      <c r="AB246" s="48">
        <f>IF(N246="Standard",(((($Z$6*Q246)+($AD$6*R246*$T$5))/2)*$O$7*1.15),IF(N246="Severe",(((($AA$6*Q246)+($AE$6*R246*$T$5))/2)*$O$7*1.15),IF(N246="Hostile",(((($AB$6*Q246)+($AF$6*R246*$T$5))/2)*$O$7*1.15))))</f>
        <v>727154.03193440009</v>
      </c>
      <c r="AC246" s="48">
        <f>IF(N246="Standard",(((($Z$7*Q246)+($AD$7*R246*$T$5))/2)*$O$7*1.15),IF(N246="Severe",(((($AA$7*Q246)+($AE$7*R246*$T$5))/2)*$O$7*1.15),IF(N246="Hostile",(((($AB$7*Q246)+($AF$7*R246*$T$5))/2)*$O$7*1.15))))</f>
        <v>784795.42359260004</v>
      </c>
      <c r="AD246" s="1"/>
      <c r="AE246" s="1"/>
      <c r="AF246" s="1"/>
      <c r="AI246" s="9"/>
      <c r="AJ246" s="1"/>
      <c r="AK246" s="1"/>
      <c r="AL246" s="1"/>
      <c r="AM246" s="1"/>
      <c r="AN246" s="1"/>
      <c r="AO246" s="1"/>
      <c r="AP246" s="9"/>
      <c r="AQ246" s="3"/>
      <c r="AR246" s="4"/>
      <c r="AS246" s="1"/>
      <c r="AT246" s="1"/>
      <c r="AU246" s="1"/>
      <c r="AV246" s="1"/>
      <c r="AW246" s="1"/>
      <c r="AX246" s="3"/>
      <c r="AY246" s="3"/>
      <c r="AZ246" s="5"/>
      <c r="BA246" s="5"/>
      <c r="BB246" s="5"/>
      <c r="BC246" s="5"/>
      <c r="BD246" s="6"/>
      <c r="BE246" s="6"/>
      <c r="BF246" s="12"/>
      <c r="BG246" s="12"/>
      <c r="BH246" s="12"/>
      <c r="BI246" s="12"/>
      <c r="BJ246" s="12"/>
    </row>
    <row r="247" spans="2:62" x14ac:dyDescent="0.25">
      <c r="B247" s="1" t="s">
        <v>1180</v>
      </c>
      <c r="C247" s="1" t="s">
        <v>1181</v>
      </c>
      <c r="D247" s="1" t="s">
        <v>1905</v>
      </c>
      <c r="E247" s="1" t="s">
        <v>1906</v>
      </c>
      <c r="F247" s="1" t="s">
        <v>1907</v>
      </c>
      <c r="G247" s="1" t="s">
        <v>1249</v>
      </c>
      <c r="H247" s="1" t="s">
        <v>1250</v>
      </c>
      <c r="I247" s="7" t="s">
        <v>1187</v>
      </c>
      <c r="J247" s="44">
        <v>1</v>
      </c>
      <c r="K247" s="45">
        <v>1</v>
      </c>
      <c r="L247" s="1">
        <v>996</v>
      </c>
      <c r="M247" s="1" t="s">
        <v>1188</v>
      </c>
      <c r="N247" s="1" t="s">
        <v>1141</v>
      </c>
      <c r="O247" s="1" t="s">
        <v>1189</v>
      </c>
      <c r="P247" s="1" t="s">
        <v>1190</v>
      </c>
      <c r="Q247" s="44">
        <f>IF($L247=996,Multipliers!C$174,IF($L247=997,Multipliers!C$175,IF($L247=998,Multipliers!C$176,"NONE")))</f>
        <v>1.29</v>
      </c>
      <c r="R247" s="44">
        <f>IF($L247=996,Multipliers!C$5,IF($L247=997,Multipliers!C$6,IF($L247=998,Multipliers!C$7,"NONE")))</f>
        <v>1.34</v>
      </c>
      <c r="S247" s="46">
        <f t="shared" si="97"/>
        <v>572333.63565000007</v>
      </c>
      <c r="T247" s="46">
        <f t="shared" si="98"/>
        <v>595942.1664000001</v>
      </c>
      <c r="U247" s="46">
        <f t="shared" si="99"/>
        <v>589982.74473600008</v>
      </c>
      <c r="V247" s="46">
        <f>(S247+U247)/2</f>
        <v>581158.19019300002</v>
      </c>
      <c r="W247" s="47">
        <f>IF(F247=F248,(V247+V248)/2,IF(F247=F246,(V247+V246)/2,IF(F247&lt;&gt;F246,V247)))</f>
        <v>581158.19019300002</v>
      </c>
      <c r="X247" s="47"/>
      <c r="Y247" s="48">
        <f>IF(N247="Standard",(((($Z$3*Q247)+($AD$3*R247*$T$5))/2)*$O$7),IF(N247="Severe",(((($AA$3*Q247)+($AE$3*R247*$T$5))/2)*$O$7),IF(N247="Hostile",(((($AB$3*Q247)+($AF$3*R247*$T$5))/2)*$O$7))))</f>
        <v>465666.31849500001</v>
      </c>
      <c r="Z247" s="48">
        <f>IF(N247="Standard",(((($Z$4*Q247)+($AD$4*R247*$T$5))/2)*$O$7),IF(N247="Severe",(((($AA$4*Q247)+($AE$4*R247*$T$5))/2)*$O$7),IF(N247="Hostile",(((($AB$4*Q247)+($AF$4*R247*$T$5))/2)*$O$7))))</f>
        <v>514428.62433899997</v>
      </c>
      <c r="AA247" s="48">
        <f>IF(N247="Standard",((($Z$5*Q247)+($AD$5*R247*$T$5))/2)*$O$7,IF(N247="Severe",((($AA$5*Q247)+($AE$5*R247*$T$5))/2)*$O$7,IF(N247="Hostile",((($AB$5*Q247)+($AF$5*R247*$T$5))/2)*$O$7)))</f>
        <v>581158.19019300013</v>
      </c>
      <c r="AB247" s="48">
        <f>IF(N247="Standard",((($Z$6*Q247)+($AD$6*R247*$T$5))/2)*$O$7,IF(N247="Severe",((($AA$6*Q247)+($AE$6*R247*$T$5))/2)*$O$7,IF(N247="Hostile",((($AB$6*Q247)+($AF$6*R247*$T$5))/2)*$O$7)))</f>
        <v>629926.37213100016</v>
      </c>
      <c r="AC247" s="48">
        <f>IF(N247="Standard",((($Z$7*Q247)+($AD$7*R247*$T$5))/2)*$O$7,IF(N247="Severe",((($AA$7*Q247)+($AE$7*R247*$T$5))/2)*$O$7,IF(N247="Hostile",((($AB$7*Q247)+($AF$7*R247*$T$5))/2)*$O$7)))</f>
        <v>679867.06659900001</v>
      </c>
      <c r="AD247" s="1"/>
      <c r="AE247" s="1"/>
      <c r="AF247" s="1"/>
      <c r="AI247" s="9"/>
      <c r="AJ247" s="1"/>
      <c r="AK247" s="1"/>
      <c r="AL247" s="1"/>
      <c r="AM247" s="1"/>
      <c r="AN247" s="1"/>
      <c r="AO247" s="1"/>
      <c r="AP247" s="9"/>
      <c r="AQ247" s="3"/>
      <c r="AR247" s="4"/>
      <c r="AS247" s="1"/>
      <c r="AT247" s="1"/>
      <c r="AU247" s="1"/>
      <c r="AV247" s="1"/>
      <c r="AW247" s="1"/>
      <c r="AX247" s="3"/>
      <c r="AY247" s="3"/>
      <c r="AZ247" s="5"/>
      <c r="BA247" s="5"/>
      <c r="BB247" s="5"/>
      <c r="BC247" s="5"/>
      <c r="BD247" s="6"/>
      <c r="BE247" s="6"/>
      <c r="BF247" s="12"/>
      <c r="BG247" s="12"/>
      <c r="BH247" s="12"/>
      <c r="BI247" s="12"/>
      <c r="BJ247" s="12"/>
    </row>
    <row r="248" spans="2:62" x14ac:dyDescent="0.25">
      <c r="B248" s="1" t="s">
        <v>1180</v>
      </c>
      <c r="C248" s="1" t="s">
        <v>1908</v>
      </c>
      <c r="D248" s="1" t="s">
        <v>1190</v>
      </c>
      <c r="E248" s="1" t="s">
        <v>1909</v>
      </c>
      <c r="F248" s="1" t="s">
        <v>1910</v>
      </c>
      <c r="G248" s="1" t="s">
        <v>1249</v>
      </c>
      <c r="H248" s="1" t="s">
        <v>1250</v>
      </c>
      <c r="I248" s="7" t="s">
        <v>1187</v>
      </c>
      <c r="J248" s="44">
        <v>1</v>
      </c>
      <c r="K248" s="45">
        <v>1</v>
      </c>
      <c r="L248" s="1">
        <v>996</v>
      </c>
      <c r="M248" s="1" t="s">
        <v>1188</v>
      </c>
      <c r="N248" s="1" t="s">
        <v>1141</v>
      </c>
      <c r="O248" s="1" t="s">
        <v>1189</v>
      </c>
      <c r="P248" s="1" t="s">
        <v>1190</v>
      </c>
      <c r="Q248" s="44">
        <f>IF($L248=996,Multipliers!C$174,IF($L248=997,Multipliers!C$175,IF($L248=998,Multipliers!C$176,"NONE")))</f>
        <v>1.29</v>
      </c>
      <c r="R248" s="44">
        <f>IF($L248=996,Multipliers!C$5,IF($L248=997,Multipliers!C$6,IF($L248=998,Multipliers!C$7,"NONE")))</f>
        <v>1.34</v>
      </c>
      <c r="S248" s="46">
        <f t="shared" si="97"/>
        <v>572333.63565000007</v>
      </c>
      <c r="T248" s="46">
        <f t="shared" si="98"/>
        <v>595942.1664000001</v>
      </c>
      <c r="U248" s="46">
        <f t="shared" si="99"/>
        <v>589982.74473600008</v>
      </c>
      <c r="V248" s="46">
        <f>(S248+U248)/2</f>
        <v>581158.19019300002</v>
      </c>
      <c r="W248" s="47">
        <f>IF(F248=F249,(V248+V249)/2,IF(F248=F247,(V248+V247)/2,IF(F248&lt;&gt;F247,V248)))</f>
        <v>581158.19019300002</v>
      </c>
      <c r="X248" s="47"/>
      <c r="Y248" s="48">
        <f>IF(N248="Standard",(((($Z$3*Q248)+($AD$3*R248*$T$5))/2)*$O$7),IF(N248="Severe",(((($AA$3*Q248)+($AE$3*R248*$T$5))/2)*$O$7),IF(N248="Hostile",(((($AB$3*Q248)+($AF$3*R248*$T$5))/2)*$O$7))))</f>
        <v>465666.31849500001</v>
      </c>
      <c r="Z248" s="48">
        <f>IF(N248="Standard",(((($Z$4*Q248)+($AD$4*R248*$T$5))/2)*$O$7),IF(N248="Severe",(((($AA$4*Q248)+($AE$4*R248*$T$5))/2)*$O$7),IF(N248="Hostile",(((($AB$4*Q248)+($AF$4*R248*$T$5))/2)*$O$7))))</f>
        <v>514428.62433899997</v>
      </c>
      <c r="AA248" s="48">
        <f>IF(N248="Standard",((($Z$5*Q248)+($AD$5*R248*$T$5))/2)*$O$7,IF(N248="Severe",((($AA$5*Q248)+($AE$5*R248*$T$5))/2)*$O$7,IF(N248="Hostile",((($AB$5*Q248)+($AF$5*R248*$T$5))/2)*$O$7)))</f>
        <v>581158.19019300013</v>
      </c>
      <c r="AB248" s="48">
        <f>IF(N248="Standard",((($Z$6*Q248)+($AD$6*R248*$T$5))/2)*$O$7,IF(N248="Severe",((($AA$6*Q248)+($AE$6*R248*$T$5))/2)*$O$7,IF(N248="Hostile",((($AB$6*Q248)+($AF$6*R248*$T$5))/2)*$O$7)))</f>
        <v>629926.37213100016</v>
      </c>
      <c r="AC248" s="48">
        <f>IF(N248="Standard",((($Z$7*Q248)+($AD$7*R248*$T$5))/2)*$O$7,IF(N248="Severe",((($AA$7*Q248)+($AE$7*R248*$T$5))/2)*$O$7,IF(N248="Hostile",((($AB$7*Q248)+($AF$7*R248*$T$5))/2)*$O$7)))</f>
        <v>679867.06659900001</v>
      </c>
      <c r="AD248" s="1"/>
      <c r="AE248" s="1"/>
      <c r="AF248" s="1"/>
      <c r="AI248" s="9"/>
      <c r="AJ248" s="1"/>
      <c r="AK248" s="1"/>
      <c r="AL248" s="1"/>
      <c r="AM248" s="1"/>
      <c r="AN248" s="1"/>
      <c r="AO248" s="1"/>
      <c r="AP248" s="9"/>
      <c r="AQ248" s="3"/>
      <c r="AR248" s="4"/>
      <c r="AS248" s="1"/>
      <c r="AT248" s="1"/>
      <c r="AU248" s="1"/>
      <c r="AV248" s="1"/>
      <c r="AW248" s="1"/>
      <c r="AX248" s="3"/>
      <c r="AY248" s="3"/>
      <c r="AZ248" s="5"/>
      <c r="BA248" s="5"/>
      <c r="BB248" s="5"/>
      <c r="BC248" s="5"/>
      <c r="BD248" s="6"/>
      <c r="BE248" s="6"/>
      <c r="BF248" s="12"/>
      <c r="BG248" s="12"/>
      <c r="BH248" s="12"/>
      <c r="BI248" s="12"/>
      <c r="BJ248" s="12"/>
    </row>
    <row r="249" spans="2:62" x14ac:dyDescent="0.25">
      <c r="B249" s="1" t="s">
        <v>1911</v>
      </c>
      <c r="C249" s="1" t="s">
        <v>1912</v>
      </c>
      <c r="D249" s="1" t="s">
        <v>1190</v>
      </c>
      <c r="E249" s="1" t="s">
        <v>1913</v>
      </c>
      <c r="F249" s="1" t="s">
        <v>1914</v>
      </c>
      <c r="G249" s="1" t="s">
        <v>1915</v>
      </c>
      <c r="H249" s="1" t="s">
        <v>1916</v>
      </c>
      <c r="I249" s="7" t="s">
        <v>1917</v>
      </c>
      <c r="J249" s="44">
        <v>1</v>
      </c>
      <c r="K249" s="45">
        <v>2</v>
      </c>
      <c r="L249" s="1" t="s">
        <v>1918</v>
      </c>
      <c r="M249" s="1" t="s">
        <v>1919</v>
      </c>
      <c r="N249" s="1" t="s">
        <v>1139</v>
      </c>
      <c r="O249" s="1" t="s">
        <v>1920</v>
      </c>
      <c r="P249" s="1" t="s">
        <v>1190</v>
      </c>
      <c r="Q249" s="44">
        <f>IF(L249="366",Multipliers!C172,"oops")</f>
        <v>0.82</v>
      </c>
      <c r="R249" s="44">
        <f>IF(M249="Mobile",Multipliers!C3, "GOOF")</f>
        <v>0.92</v>
      </c>
      <c r="S249" s="46">
        <f t="shared" si="97"/>
        <v>314408.78700000001</v>
      </c>
      <c r="T249" s="46">
        <f t="shared" si="98"/>
        <v>344979.5944</v>
      </c>
      <c r="U249" s="46">
        <f t="shared" si="99"/>
        <v>355328.98223200004</v>
      </c>
      <c r="V249" s="46">
        <f t="shared" ref="V249:V261" si="100">(S249+U249)/2</f>
        <v>334868.884616</v>
      </c>
      <c r="W249" s="47">
        <f>IF(F249=F250,(V249+V250)/2,IF(F249=F248,(V249+V248)/2,IF(F249&lt;&gt;F248,V249)))</f>
        <v>334868.884616</v>
      </c>
      <c r="X249" s="47"/>
      <c r="Y249" s="48">
        <f t="shared" ref="Y249:Y261" si="101">IF(N249="Standard",(((($Z$3*Q249)+($AD$3*R249*$T$5))/2)*$O$7),IF(N249="Severe",(((($AA$3*Q249)+($AE$3*R249*$T$5))/2)*$O$7),IF(N249="Hostile",(((($AB$3*Q249)+($AF$3*R249*$T$5))/2)*$O$7))))</f>
        <v>260708.75221999999</v>
      </c>
      <c r="Z249" s="48">
        <f t="shared" ref="Z249:Z261" si="102">IF(N249="Standard",(((($Z$4*Q249)+($AD$4*R249*$T$5))/2)*$O$7),IF(N249="Severe",(((($AA$4*Q249)+($AE$4*R249*$T$5))/2)*$O$7),IF(N249="Hostile",(((($AB$4*Q249)+($AF$4*R249*$T$5))/2)*$O$7))))</f>
        <v>289094.40246399998</v>
      </c>
      <c r="AA249" s="48">
        <f>IF(N249="Standard",((($Z$5*Q249)+($AD$5*R249*$T$3))/2)*$O$7,IF(N249="Severe",((($AA$5*Q249)+($AE$5*R249*$T$3))/2)*$O$7,IF(N249="Hostile",((($AB$5*Q249)+($AF$5*R249*$T$3))/2)*$O$7)))</f>
        <v>334868.88461600005</v>
      </c>
      <c r="AB249" s="48">
        <f>IF(N249="Standard",((($Z$6*Q249)+($AD$6*R249*$T$3))/2)*$O$7,IF(N249="Severe",((($AA$6*Q249)+($AE$6*R249*$T$3))/2)*$O$7,IF(N249="Hostile",((($AB$6*Q249)+($AF$6*R249*$T$3))/2)*$O$7)))</f>
        <v>361724.51179199998</v>
      </c>
      <c r="AC249" s="48">
        <f>IF(N249="Standard",((($Z$7*Q249)+($AD$7*R249*$T$3))/2)*$O$7,IF(N249="Severe",((($AA$7*Q249)+($AE$7*R249*$T$3))/2)*$O$7,IF(N249="Hostile",((($AB$7*Q249)+($AF$7*R249*$T$3))/2)*$O$7)))</f>
        <v>390077.89452799998</v>
      </c>
      <c r="AD249" s="1"/>
      <c r="AE249" s="1"/>
      <c r="AF249" s="1"/>
      <c r="AI249" s="9"/>
      <c r="AJ249" s="1"/>
      <c r="AK249" s="1"/>
      <c r="AL249" s="1"/>
      <c r="AM249" s="1"/>
      <c r="AN249" s="1"/>
      <c r="AO249" s="1"/>
      <c r="AP249" s="9"/>
      <c r="AQ249" s="3"/>
      <c r="AR249" s="4"/>
      <c r="AS249" s="1"/>
      <c r="AT249" s="1"/>
      <c r="AU249" s="1"/>
      <c r="AV249" s="1"/>
      <c r="AW249" s="1"/>
      <c r="AX249" s="3"/>
      <c r="AY249" s="3"/>
      <c r="AZ249" s="5"/>
      <c r="BA249" s="5"/>
      <c r="BB249" s="5"/>
      <c r="BC249" s="5"/>
      <c r="BD249" s="6"/>
      <c r="BE249" s="6"/>
      <c r="BF249" s="12"/>
      <c r="BG249" s="12"/>
      <c r="BH249" s="12"/>
      <c r="BI249" s="12"/>
      <c r="BJ249" s="12"/>
    </row>
    <row r="250" spans="2:62" x14ac:dyDescent="0.25">
      <c r="B250" s="1" t="s">
        <v>1911</v>
      </c>
      <c r="C250" s="1" t="s">
        <v>1921</v>
      </c>
      <c r="D250" s="1" t="s">
        <v>1190</v>
      </c>
      <c r="E250" s="1" t="s">
        <v>1922</v>
      </c>
      <c r="F250" s="1" t="s">
        <v>1923</v>
      </c>
      <c r="G250" s="1" t="s">
        <v>1924</v>
      </c>
      <c r="H250" s="1" t="s">
        <v>1925</v>
      </c>
      <c r="I250" s="7" t="s">
        <v>1917</v>
      </c>
      <c r="J250" s="44">
        <v>1</v>
      </c>
      <c r="K250" s="45">
        <v>1</v>
      </c>
      <c r="L250" s="1" t="s">
        <v>1926</v>
      </c>
      <c r="M250" s="1" t="s">
        <v>1919</v>
      </c>
      <c r="N250" s="1" t="s">
        <v>1139</v>
      </c>
      <c r="O250" s="1" t="s">
        <v>1920</v>
      </c>
      <c r="P250" s="1" t="s">
        <v>1190</v>
      </c>
      <c r="Q250" s="44">
        <f>IF(L250="365",Multipliers!C171,"oops")</f>
        <v>0.82</v>
      </c>
      <c r="R250" s="44">
        <f>IF(M250="Mobile",Multipliers!C3, "GOOF")</f>
        <v>0.92</v>
      </c>
      <c r="S250" s="46">
        <f t="shared" si="97"/>
        <v>314408.78700000001</v>
      </c>
      <c r="T250" s="46">
        <f t="shared" si="98"/>
        <v>344979.5944</v>
      </c>
      <c r="U250" s="46">
        <f t="shared" si="99"/>
        <v>355328.98223200004</v>
      </c>
      <c r="V250" s="46">
        <f t="shared" si="100"/>
        <v>334868.884616</v>
      </c>
      <c r="W250" s="47">
        <f>IF(F250=F251,(V250+V251)/2,V250)</f>
        <v>334868.884616</v>
      </c>
      <c r="X250" s="47"/>
      <c r="Y250" s="48">
        <f t="shared" si="101"/>
        <v>260708.75221999999</v>
      </c>
      <c r="Z250" s="48">
        <f t="shared" si="102"/>
        <v>289094.40246399998</v>
      </c>
      <c r="AA250" s="48">
        <f>IF(N250="Standard",((($Z$5*Q250)+($AD$5*R250*$T$3))/2)*$O$7,IF(N250="Severe",((($AA$5*Q250)+($AE$5*R250*$T$3))/2)*$O$7,IF(N250="Hostile",((($AB$5*Q250)+($AF$5*R250*$T$3))/2)*$O$7)))</f>
        <v>334868.88461600005</v>
      </c>
      <c r="AB250" s="48">
        <f>IF(N250="Standard",((($Z$6*Q250)+($AD$6*R250*$T$3))/2)*$O$7,IF(N250="Severe",((($AA$6*Q250)+($AE$6*R250*$T$3))/2)*$O$7,IF(N250="Hostile",((($AB$6*Q250)+($AF$6*R250*$T$3))/2)*$O$7)))</f>
        <v>361724.51179199998</v>
      </c>
      <c r="AC250" s="48">
        <f>IF(N250="Standard",((($Z$7*Q250)+($AD$7*R250*$T$3))/2)*$O$7,IF(N250="Severe",((($AA$7*Q250)+($AE$7*R250*$T$3))/2)*$O$7,IF(N250="Hostile",((($AB$7*Q250)+($AF$7*R250*$T$3))/2)*$O$7)))</f>
        <v>390077.89452799998</v>
      </c>
      <c r="AD250" s="1"/>
      <c r="AE250" s="1"/>
      <c r="AF250" s="1"/>
      <c r="AI250" s="9"/>
      <c r="AJ250" s="1"/>
      <c r="AK250" s="1"/>
      <c r="AL250" s="1"/>
      <c r="AM250" s="1"/>
      <c r="AN250" s="1"/>
      <c r="AO250" s="1"/>
      <c r="AP250" s="9"/>
      <c r="AQ250" s="3"/>
      <c r="AR250" s="4"/>
      <c r="AS250" s="1"/>
      <c r="AT250" s="1"/>
      <c r="AU250" s="1"/>
      <c r="AV250" s="1"/>
      <c r="AW250" s="1"/>
      <c r="AX250" s="3"/>
      <c r="AY250" s="3"/>
      <c r="AZ250" s="5"/>
      <c r="BA250" s="5"/>
      <c r="BB250" s="5"/>
      <c r="BC250" s="5"/>
      <c r="BD250" s="6"/>
      <c r="BE250" s="6"/>
      <c r="BF250" s="12"/>
      <c r="BG250" s="12"/>
      <c r="BH250" s="12"/>
      <c r="BI250" s="12"/>
      <c r="BJ250" s="12"/>
    </row>
    <row r="251" spans="2:62" x14ac:dyDescent="0.25">
      <c r="B251" s="1" t="s">
        <v>1927</v>
      </c>
      <c r="C251" s="1" t="s">
        <v>1928</v>
      </c>
      <c r="D251" s="1" t="s">
        <v>1190</v>
      </c>
      <c r="E251" s="1" t="s">
        <v>1929</v>
      </c>
      <c r="F251" s="1" t="s">
        <v>1930</v>
      </c>
      <c r="G251" s="1" t="s">
        <v>1931</v>
      </c>
      <c r="H251" s="1" t="s">
        <v>1932</v>
      </c>
      <c r="I251" s="7" t="s">
        <v>1917</v>
      </c>
      <c r="J251" s="44">
        <v>1</v>
      </c>
      <c r="K251" s="45">
        <v>1</v>
      </c>
      <c r="L251" s="1" t="s">
        <v>1933</v>
      </c>
      <c r="M251" s="1" t="s">
        <v>1934</v>
      </c>
      <c r="N251" s="1" t="s">
        <v>1140</v>
      </c>
      <c r="O251" s="1" t="s">
        <v>1920</v>
      </c>
      <c r="P251" s="1" t="s">
        <v>1190</v>
      </c>
      <c r="Q251" s="44">
        <f>IF(L251="063",Multipliers!C213,"oops")</f>
        <v>1.0900000000000001</v>
      </c>
      <c r="R251" s="44">
        <f>IF(M251="New Haven",Multipliers!C30, "GOOF")</f>
        <v>1.1200000000000001</v>
      </c>
      <c r="S251" s="46">
        <f t="shared" si="97"/>
        <v>442618.28380000009</v>
      </c>
      <c r="T251" s="46">
        <f t="shared" si="98"/>
        <v>437891.51840000006</v>
      </c>
      <c r="U251" s="46">
        <f t="shared" si="99"/>
        <v>451028.26395200007</v>
      </c>
      <c r="V251" s="46">
        <f t="shared" si="100"/>
        <v>446823.27387600008</v>
      </c>
      <c r="W251" s="47">
        <f>IF(F251=F252,(V251+V252)/2,IF(F251=F250,(V251+V250)/2,IF(F251&lt;&gt;F250,V251)))</f>
        <v>446823.27387600008</v>
      </c>
      <c r="X251" s="47"/>
      <c r="Y251" s="48">
        <f t="shared" si="101"/>
        <v>349980.83967000002</v>
      </c>
      <c r="Z251" s="48">
        <f t="shared" si="102"/>
        <v>386627.83370399999</v>
      </c>
      <c r="AA251" s="48">
        <f>IF(N251="Standard",((($Z$5*Q251)+($AD$5*R251*$T$3))/2)*$O$7,IF(N251="Severe",((($AA$5*Q251)+($AE$5*R251*$T$3))/2)*$O$7,IF(N251="Hostile",((($AB$5*Q251)+($AF$5*R251*$T$3))/2)*$O$7)))</f>
        <v>446823.27387600008</v>
      </c>
      <c r="AB251" s="48">
        <f>IF(N251="Standard",((($Z$6*Q251)+($AD$6*R251*$T$3))/2)*$O$7,IF(N251="Severe",((($AA$6*Q251)+($AE$6*R251*$T$3))/2)*$O$7,IF(N251="Hostile",((($AB$6*Q251)+($AF$6*R251*$T$3))/2)*$O$7)))</f>
        <v>484012.04506200005</v>
      </c>
      <c r="AC251" s="48">
        <f>IF(N251="Standard",((($Z$7*Q251)+($AD$7*R251*$T$3))/2)*$O$7,IF(N251="Severe",((($AA$7*Q251)+($AE$7*R251*$T$3))/2)*$O$7,IF(N251="Hostile",((($AB$7*Q251)+($AF$7*R251*$T$3))/2)*$O$7)))</f>
        <v>521782.07265800005</v>
      </c>
      <c r="AD251" s="1"/>
      <c r="AE251" s="1"/>
      <c r="AF251" s="1"/>
      <c r="AI251" s="9"/>
      <c r="AJ251" s="1"/>
      <c r="AK251" s="1"/>
      <c r="AL251" s="1"/>
      <c r="AM251" s="1"/>
      <c r="AN251" s="1"/>
      <c r="AO251" s="1"/>
      <c r="AP251" s="9"/>
      <c r="AQ251" s="3"/>
      <c r="AR251" s="4"/>
      <c r="AS251" s="1"/>
      <c r="AT251" s="1"/>
      <c r="AU251" s="1"/>
      <c r="AV251" s="1"/>
      <c r="AW251" s="1"/>
      <c r="AX251" s="3"/>
      <c r="AY251" s="3"/>
      <c r="AZ251" s="5"/>
      <c r="BA251" s="5"/>
      <c r="BB251" s="5"/>
      <c r="BC251" s="5"/>
      <c r="BD251" s="6"/>
      <c r="BE251" s="6"/>
      <c r="BF251" s="12"/>
      <c r="BG251" s="12"/>
      <c r="BH251" s="12"/>
      <c r="BI251" s="12"/>
      <c r="BJ251" s="12"/>
    </row>
    <row r="252" spans="2:62" x14ac:dyDescent="0.25">
      <c r="B252" s="1" t="s">
        <v>1927</v>
      </c>
      <c r="C252" s="1" t="s">
        <v>1935</v>
      </c>
      <c r="D252" s="1" t="s">
        <v>1190</v>
      </c>
      <c r="E252" s="1" t="s">
        <v>1936</v>
      </c>
      <c r="F252" s="1" t="s">
        <v>1937</v>
      </c>
      <c r="G252" s="1" t="s">
        <v>1938</v>
      </c>
      <c r="H252" s="1" t="s">
        <v>1939</v>
      </c>
      <c r="I252" s="7" t="s">
        <v>1917</v>
      </c>
      <c r="J252" s="44">
        <v>1</v>
      </c>
      <c r="K252" s="45">
        <v>1</v>
      </c>
      <c r="L252" s="1" t="s">
        <v>1933</v>
      </c>
      <c r="M252" s="1" t="s">
        <v>1934</v>
      </c>
      <c r="N252" s="1" t="s">
        <v>1140</v>
      </c>
      <c r="O252" s="1" t="s">
        <v>1920</v>
      </c>
      <c r="P252" s="1" t="s">
        <v>1190</v>
      </c>
      <c r="Q252" s="44">
        <f>IF(L252="063",Multipliers!C213,"oops")</f>
        <v>1.0900000000000001</v>
      </c>
      <c r="R252" s="44">
        <f>IF(M252="New Haven",Multipliers!C30, "GOOF")</f>
        <v>1.1200000000000001</v>
      </c>
      <c r="S252" s="46">
        <f t="shared" si="97"/>
        <v>442618.28380000009</v>
      </c>
      <c r="T252" s="46">
        <f t="shared" si="98"/>
        <v>437891.51840000006</v>
      </c>
      <c r="U252" s="46">
        <f t="shared" si="99"/>
        <v>451028.26395200007</v>
      </c>
      <c r="V252" s="46">
        <f t="shared" si="100"/>
        <v>446823.27387600008</v>
      </c>
      <c r="W252" s="47">
        <f>IF(F252=F631,(V252+V631)/2,IF(F252=F251,(V252+V251)/2,IF(F252&lt;&gt;F251,V252)))</f>
        <v>446823.27387600008</v>
      </c>
      <c r="X252" s="47"/>
      <c r="Y252" s="48">
        <f t="shared" si="101"/>
        <v>349980.83967000002</v>
      </c>
      <c r="Z252" s="48">
        <f t="shared" si="102"/>
        <v>386627.83370399999</v>
      </c>
      <c r="AA252" s="48">
        <f>IF(N252="Standard",((($Z$5*Q252)+($AD$5*R252*$T$3))/2)*$O$7,IF(N252="Severe",((($AA$5*Q252)+($AE$5*R252*$T$3))/2)*$O$7,IF(N252="Hostile",((($AB$5*Q252)+($AF$5*R252*$T$3))/2)*$O$7)))</f>
        <v>446823.27387600008</v>
      </c>
      <c r="AB252" s="48">
        <f>IF(N252="Standard",((($Z$6*Q252)+($AD$6*R252*$T$3))/2)*$O$7,IF(N252="Severe",((($AA$6*Q252)+($AE$6*R252*$T$3))/2)*$O$7,IF(N252="Hostile",((($AB$6*Q252)+($AF$6*R252*$T$3))/2)*$O$7)))</f>
        <v>484012.04506200005</v>
      </c>
      <c r="AC252" s="48">
        <f>IF(N252="Standard",((($Z$7*Q252)+($AD$7*R252*$T$3))/2)*$O$7,IF(N252="Severe",((($AA$7*Q252)+($AE$7*R252*$T$3))/2)*$O$7,IF(N252="Hostile",((($AB$7*Q252)+($AF$7*R252*$T$3))/2)*$O$7)))</f>
        <v>521782.07265800005</v>
      </c>
      <c r="AD252" s="1"/>
      <c r="AE252" s="1"/>
      <c r="AF252" s="1"/>
      <c r="AI252" s="9"/>
      <c r="AJ252" s="1"/>
      <c r="AK252" s="1"/>
      <c r="AL252" s="1"/>
      <c r="AM252" s="1"/>
      <c r="AN252" s="7"/>
      <c r="AO252" s="1"/>
      <c r="AP252" s="9"/>
      <c r="AQ252" s="3"/>
      <c r="AR252" s="4"/>
      <c r="AS252" s="1"/>
      <c r="AT252" s="1"/>
      <c r="AU252" s="1"/>
      <c r="AV252" s="1"/>
      <c r="AW252" s="1"/>
      <c r="AX252" s="3"/>
      <c r="AY252" s="3"/>
      <c r="AZ252" s="5"/>
      <c r="BA252" s="5"/>
      <c r="BB252" s="5"/>
      <c r="BC252" s="5"/>
      <c r="BD252" s="6"/>
      <c r="BE252" s="6"/>
      <c r="BF252" s="12"/>
      <c r="BG252" s="12"/>
      <c r="BH252" s="12"/>
      <c r="BI252" s="12"/>
      <c r="BJ252" s="12"/>
    </row>
    <row r="253" spans="2:62" x14ac:dyDescent="0.25">
      <c r="B253" s="1" t="s">
        <v>1940</v>
      </c>
      <c r="C253" s="1" t="s">
        <v>1941</v>
      </c>
      <c r="D253" s="1" t="s">
        <v>1190</v>
      </c>
      <c r="E253" s="1" t="s">
        <v>1942</v>
      </c>
      <c r="F253" s="1" t="s">
        <v>666</v>
      </c>
      <c r="G253" s="7" t="s">
        <v>1940</v>
      </c>
      <c r="H253" s="1" t="s">
        <v>1190</v>
      </c>
      <c r="I253" s="7" t="s">
        <v>1917</v>
      </c>
      <c r="J253" s="44">
        <v>1</v>
      </c>
      <c r="K253" s="45">
        <v>1</v>
      </c>
      <c r="L253" s="7" t="s">
        <v>1943</v>
      </c>
      <c r="M253" s="1" t="s">
        <v>1154</v>
      </c>
      <c r="N253" s="1" t="s">
        <v>1139</v>
      </c>
      <c r="O253" s="1" t="s">
        <v>1920</v>
      </c>
      <c r="P253" s="1" t="s">
        <v>1190</v>
      </c>
      <c r="Q253" s="44">
        <f>IF(L253="331",Multipliers!C218,"oops")</f>
        <v>0.81</v>
      </c>
      <c r="R253" s="44">
        <f>IF(M253="Miami",Multipliers!C34, "GOOF")</f>
        <v>0.97</v>
      </c>
      <c r="S253" s="46">
        <f t="shared" si="97"/>
        <v>310574.53350000008</v>
      </c>
      <c r="T253" s="46">
        <f t="shared" si="98"/>
        <v>363728.48540000001</v>
      </c>
      <c r="U253" s="46">
        <f t="shared" si="99"/>
        <v>374640.33996200003</v>
      </c>
      <c r="V253" s="46">
        <f t="shared" si="100"/>
        <v>342607.43673100008</v>
      </c>
      <c r="W253" s="47">
        <f t="shared" ref="W253:W259" si="103">IF(F253=F254,(V253+V254)/2,IF(F253=F252,(V253+V252)/2,IF(F253&lt;&gt;F252,V253)))</f>
        <v>342607.43673100008</v>
      </c>
      <c r="X253" s="47"/>
      <c r="Y253" s="48">
        <f t="shared" si="101"/>
        <v>266283.77989499999</v>
      </c>
      <c r="Z253" s="48">
        <f t="shared" si="102"/>
        <v>295403.93334899994</v>
      </c>
      <c r="AA253" s="48">
        <f>IF(N253="Standard",((($Z$5*Q253)+($AD$5*R253*$T$3))/2)*$O$7,IF(N253="Severe",((($AA$5*Q253)+($AE$5*R253*$T$3))/2)*$O$7,IF(N253="Hostile",((($AB$5*Q253)+($AF$5*R253*$T$3))/2)*$O$7)))</f>
        <v>342607.43673100008</v>
      </c>
      <c r="AB253" s="48">
        <f>IF(N253="Standard",((($Z$6*Q253)+($AD$6*R253*$T$3))/2)*$O$7,IF(N253="Severe",((($AA$6*Q253)+($AE$6*R253*$T$3))/2)*$O$7,IF(N253="Hostile",((($AB$6*Q253)+($AF$6*R253*$T$3))/2)*$O$7)))</f>
        <v>370202.59217199998</v>
      </c>
      <c r="AC253" s="48">
        <f>IF(N253="Standard",((($Z$7*Q253)+($AD$7*R253*$T$3))/2)*$O$7,IF(N253="Severe",((($AA$7*Q253)+($AE$7*R253*$T$3))/2)*$O$7,IF(N253="Hostile",((($AB$7*Q253)+($AF$7*R253*$T$3))/2)*$O$7)))</f>
        <v>399234.003448</v>
      </c>
      <c r="AD253" s="1"/>
      <c r="AE253" s="1"/>
      <c r="AF253" s="1"/>
      <c r="AI253" s="9"/>
      <c r="AJ253" s="1"/>
      <c r="AK253" s="1"/>
      <c r="AL253" s="1"/>
      <c r="AM253" s="7"/>
      <c r="AN253" s="1"/>
      <c r="AO253" s="1"/>
      <c r="AP253" s="9"/>
      <c r="AQ253" s="3"/>
      <c r="AR253" s="4"/>
      <c r="AS253" s="1"/>
      <c r="AT253" s="1"/>
      <c r="AU253" s="1"/>
      <c r="AV253" s="1"/>
      <c r="AW253" s="1"/>
      <c r="AX253" s="3"/>
      <c r="AY253" s="3"/>
      <c r="AZ253" s="5"/>
      <c r="BA253" s="5"/>
      <c r="BB253" s="5"/>
      <c r="BC253" s="5"/>
      <c r="BD253" s="6"/>
      <c r="BE253" s="6"/>
      <c r="BF253" s="12"/>
      <c r="BG253" s="12"/>
      <c r="BH253" s="12"/>
      <c r="BI253" s="12"/>
      <c r="BJ253" s="12"/>
    </row>
    <row r="254" spans="2:62" ht="21.75" customHeight="1" x14ac:dyDescent="0.25">
      <c r="B254" s="1" t="s">
        <v>1940</v>
      </c>
      <c r="C254" s="1" t="s">
        <v>1944</v>
      </c>
      <c r="D254" s="1" t="s">
        <v>1190</v>
      </c>
      <c r="E254" s="1" t="s">
        <v>1945</v>
      </c>
      <c r="F254" s="7" t="s">
        <v>670</v>
      </c>
      <c r="G254" s="1" t="s">
        <v>1946</v>
      </c>
      <c r="H254" s="1" t="s">
        <v>1947</v>
      </c>
      <c r="I254" s="7" t="s">
        <v>1917</v>
      </c>
      <c r="J254" s="44">
        <v>1</v>
      </c>
      <c r="K254" s="45">
        <v>1</v>
      </c>
      <c r="L254" s="7" t="s">
        <v>2409</v>
      </c>
      <c r="M254" s="1" t="s">
        <v>1948</v>
      </c>
      <c r="N254" s="1" t="s">
        <v>1139</v>
      </c>
      <c r="O254" s="1" t="s">
        <v>1920</v>
      </c>
      <c r="P254" s="1" t="s">
        <v>1190</v>
      </c>
      <c r="Q254" s="44">
        <f>IF(L254="333",Multipliers!C219,"oops")</f>
        <v>0.82</v>
      </c>
      <c r="R254" s="44">
        <f>IF(M254="Broward Co.",Multipliers!C35, "GOOF")</f>
        <v>0.98</v>
      </c>
      <c r="S254" s="46">
        <f t="shared" si="97"/>
        <v>314408.78700000001</v>
      </c>
      <c r="T254" s="46">
        <f t="shared" si="98"/>
        <v>367478.26360000001</v>
      </c>
      <c r="U254" s="46">
        <f t="shared" ref="U254:U259" si="104">IF(O254="E",$T$3*T254,IF(O254="C",$T$4*T254,IF(O254="W",$T$5*T254,1)))</f>
        <v>378502.611508</v>
      </c>
      <c r="V254" s="46">
        <f t="shared" ref="V254:V259" si="105">(S254+U254)/2</f>
        <v>346455.69925399998</v>
      </c>
      <c r="W254" s="47">
        <f t="shared" si="103"/>
        <v>346455.69925399998</v>
      </c>
      <c r="X254" s="47"/>
      <c r="Y254" s="48">
        <f t="shared" ref="Y254:Y259" si="106">IF(N254="Standard",(((($Z$3*Q254)+($AD$3*R254*$T$5))/2)*$O$7),IF(N254="Severe",(((($AA$3*Q254)+($AE$3*R254*$T$5))/2)*$O$7),IF(N254="Hostile",(((($AB$3*Q254)+($AF$3*R254*$T$5))/2)*$O$7))))</f>
        <v>269288.76442999998</v>
      </c>
      <c r="Z254" s="48">
        <f t="shared" ref="Z254:Z259" si="107">IF(N254="Standard",(((($Z$4*Q254)+($AD$4*R254*$T$5))/2)*$O$7),IF(N254="Severe",(((($AA$4*Q254)+($AE$4*R254*$T$5))/2)*$O$7),IF(N254="Hostile",(((($AB$4*Q254)+($AF$4*R254*$T$5))/2)*$O$7))))</f>
        <v>298733.55706599995</v>
      </c>
      <c r="AA254" s="48">
        <f t="shared" ref="AA254:AA259" si="108">IF(N254="Standard",((($Z$5*Q254)+($AD$5*R254*$T$3))/2)*$O$7,IF(N254="Severe",((($AA$5*Q254)+($AE$5*R254*$T$3))/2)*$O$7,IF(N254="Hostile",((($AB$5*Q254)+($AF$5*R254*$T$3))/2)*$O$7)))</f>
        <v>346455.69925400009</v>
      </c>
      <c r="AB254" s="48">
        <f t="shared" ref="AB254:AB259" si="109">IF(N254="Standard",((($Z$6*Q254)+($AD$6*R254*$T$3))/2)*$O$7,IF(N254="Severe",((($AA$6*Q254)+($AE$6*R254*$T$3))/2)*$O$7,IF(N254="Hostile",((($AB$6*Q254)+($AF$6*R254*$T$3))/2)*$O$7)))</f>
        <v>374357.10664799996</v>
      </c>
      <c r="AC254" s="48">
        <f t="shared" ref="AC254:AC259" si="110">IF(N254="Standard",((($Z$7*Q254)+($AD$7*R254*$T$3))/2)*$O$7,IF(N254="Severe",((($AA$7*Q254)+($AE$7*R254*$T$3))/2)*$O$7,IF(N254="Hostile",((($AB$7*Q254)+($AF$7*R254*$T$3))/2)*$O$7)))</f>
        <v>403713.89643199998</v>
      </c>
      <c r="AD254" s="1"/>
      <c r="AE254" s="1"/>
      <c r="AF254" s="1"/>
      <c r="AI254" s="9"/>
      <c r="AJ254" s="1"/>
      <c r="AK254" s="1"/>
      <c r="AL254" s="1"/>
      <c r="AM254" s="7"/>
      <c r="AN254" s="1"/>
      <c r="AO254" s="1"/>
      <c r="AP254" s="9"/>
      <c r="AQ254" s="3"/>
      <c r="AR254" s="4"/>
      <c r="AS254" s="1"/>
      <c r="AT254" s="1"/>
      <c r="AU254" s="1"/>
      <c r="AV254" s="1"/>
      <c r="AW254" s="1"/>
      <c r="AX254" s="3"/>
      <c r="AY254" s="3"/>
      <c r="AZ254" s="5"/>
      <c r="BA254" s="5"/>
      <c r="BB254" s="5"/>
      <c r="BC254" s="5"/>
      <c r="BD254" s="6"/>
      <c r="BE254" s="6"/>
      <c r="BF254" s="12"/>
      <c r="BG254" s="12"/>
      <c r="BH254" s="12"/>
      <c r="BI254" s="12"/>
      <c r="BJ254" s="12"/>
    </row>
    <row r="255" spans="2:62" x14ac:dyDescent="0.25">
      <c r="B255" s="1" t="s">
        <v>1940</v>
      </c>
      <c r="C255" s="1" t="s">
        <v>1944</v>
      </c>
      <c r="D255" s="1" t="s">
        <v>1190</v>
      </c>
      <c r="E255" s="1" t="s">
        <v>1945</v>
      </c>
      <c r="F255" s="7" t="s">
        <v>667</v>
      </c>
      <c r="G255" s="1" t="s">
        <v>1946</v>
      </c>
      <c r="H255" s="1" t="s">
        <v>1947</v>
      </c>
      <c r="I255" s="7" t="s">
        <v>1917</v>
      </c>
      <c r="J255" s="44">
        <v>1</v>
      </c>
      <c r="K255" s="45">
        <v>1</v>
      </c>
      <c r="L255" s="7" t="s">
        <v>1949</v>
      </c>
      <c r="M255" s="1" t="s">
        <v>1950</v>
      </c>
      <c r="N255" s="1" t="s">
        <v>1139</v>
      </c>
      <c r="O255" s="1" t="s">
        <v>1920</v>
      </c>
      <c r="P255" s="1" t="s">
        <v>1190</v>
      </c>
      <c r="Q255" s="44">
        <f>IF(L255="336",Multipliers!C220,"oops")</f>
        <v>0.81</v>
      </c>
      <c r="R255" s="44">
        <f>IF(M255="Tampa",Multipliers!C36, "GOOF")</f>
        <v>0.98</v>
      </c>
      <c r="S255" s="46">
        <f t="shared" si="97"/>
        <v>310574.53350000008</v>
      </c>
      <c r="T255" s="46">
        <f t="shared" si="98"/>
        <v>367478.26360000001</v>
      </c>
      <c r="U255" s="46">
        <f t="shared" si="104"/>
        <v>378502.611508</v>
      </c>
      <c r="V255" s="46">
        <f t="shared" si="105"/>
        <v>344538.57250400004</v>
      </c>
      <c r="W255" s="47">
        <f t="shared" si="103"/>
        <v>344538.57250400004</v>
      </c>
      <c r="X255" s="47"/>
      <c r="Y255" s="48">
        <f t="shared" si="106"/>
        <v>267713.78193</v>
      </c>
      <c r="Z255" s="48">
        <f t="shared" si="107"/>
        <v>297010.45911599998</v>
      </c>
      <c r="AA255" s="48">
        <f t="shared" si="108"/>
        <v>344538.5725040001</v>
      </c>
      <c r="AB255" s="48">
        <f t="shared" si="109"/>
        <v>372308.02464800002</v>
      </c>
      <c r="AC255" s="48">
        <f t="shared" si="110"/>
        <v>401506.67043200001</v>
      </c>
      <c r="AD255" s="1"/>
      <c r="AE255" s="1"/>
      <c r="AF255" s="1"/>
      <c r="AI255" s="9"/>
      <c r="AJ255" s="1"/>
      <c r="AK255" s="1"/>
      <c r="AL255" s="1"/>
      <c r="AM255" s="7"/>
      <c r="AN255" s="1"/>
      <c r="AO255" s="1"/>
      <c r="AP255" s="9"/>
      <c r="AQ255" s="3"/>
      <c r="AR255" s="4"/>
      <c r="AS255" s="1"/>
      <c r="AT255" s="1"/>
      <c r="AU255" s="1"/>
      <c r="AV255" s="1"/>
      <c r="AW255" s="1"/>
      <c r="AX255" s="3"/>
      <c r="AY255" s="3"/>
      <c r="AZ255" s="5"/>
      <c r="BA255" s="5"/>
      <c r="BB255" s="5"/>
      <c r="BC255" s="5"/>
      <c r="BD255" s="6"/>
      <c r="BE255" s="6"/>
      <c r="BF255" s="12"/>
      <c r="BG255" s="12"/>
      <c r="BH255" s="12"/>
      <c r="BI255" s="12"/>
      <c r="BJ255" s="12"/>
    </row>
    <row r="256" spans="2:62" x14ac:dyDescent="0.25">
      <c r="B256" s="1" t="s">
        <v>1940</v>
      </c>
      <c r="C256" s="1" t="s">
        <v>1944</v>
      </c>
      <c r="D256" s="1"/>
      <c r="E256" s="1" t="s">
        <v>1945</v>
      </c>
      <c r="F256" s="1" t="s">
        <v>671</v>
      </c>
      <c r="G256" s="1" t="s">
        <v>1946</v>
      </c>
      <c r="H256" s="1" t="s">
        <v>1947</v>
      </c>
      <c r="I256" s="7" t="s">
        <v>1917</v>
      </c>
      <c r="J256" s="44">
        <v>1</v>
      </c>
      <c r="K256" s="45">
        <v>1</v>
      </c>
      <c r="L256" s="7" t="s">
        <v>2410</v>
      </c>
      <c r="M256" s="1" t="s">
        <v>1155</v>
      </c>
      <c r="N256" s="1" t="s">
        <v>1139</v>
      </c>
      <c r="O256" s="1" t="s">
        <v>1920</v>
      </c>
      <c r="P256" s="1"/>
      <c r="Q256" s="44">
        <f>IF(L256="339",Multipliers!C221,"oops")</f>
        <v>0.8</v>
      </c>
      <c r="R256" s="44">
        <f>IF(M256="Fort Myers",Multipliers!C37, "GOOF")</f>
        <v>0.94</v>
      </c>
      <c r="S256" s="46">
        <f>IF(N256="Standard",$O$5*Q256*$O$7,IF(N256="Severe",$O$4*Q256*$O$7,IF(N256="Hostile",$O$3*Q256*$O$7)))</f>
        <v>306740.28000000003</v>
      </c>
      <c r="T256" s="46">
        <f>IF(N256="Standard",$P$5*R256*$O$7,IF(N256="Severe",$P$4*R256*$O$7,IF(N256="Hostile",$P$3*R256*$O$7)))</f>
        <v>352479.1508</v>
      </c>
      <c r="U256" s="46">
        <f t="shared" si="104"/>
        <v>363053.52532399999</v>
      </c>
      <c r="V256" s="46">
        <f t="shared" si="105"/>
        <v>334896.90266200004</v>
      </c>
      <c r="W256" s="47">
        <f t="shared" si="103"/>
        <v>334896.90266200004</v>
      </c>
      <c r="X256" s="47"/>
      <c r="Y256" s="48">
        <f>IF(N256="Standard",(((($Z$3*Q256)+($AD$3*R256*$T$5))/2)*$O$7),IF(N256="Severe",(((($AA$3*Q256)+($AE$3*R256*$T$5))/2)*$O$7),IF(N256="Hostile",(((($AB$3*Q256)+($AF$3*R256*$T$5))/2)*$O$7))))</f>
        <v>260418.79128999996</v>
      </c>
      <c r="Z256" s="48">
        <f>IF(N256="Standard",(((($Z$4*Q256)+($AD$4*R256*$T$5))/2)*$O$7),IF(N256="Severe",(((($AA$4*Q256)+($AE$4*R256*$T$5))/2)*$O$7),IF(N256="Hostile",(((($AB$4*Q256)+($AF$4*R256*$T$5))/2)*$O$7))))</f>
        <v>288861.25809800002</v>
      </c>
      <c r="AA256" s="48">
        <f>IF(N256="Standard",((($Z$5*Q256)+($AD$5*R256*$T$3))/2)*$O$7,IF(N256="Severe",((($AA$5*Q256)+($AE$5*R256*$T$3))/2)*$O$7,IF(N256="Hostile",((($AB$5*Q256)+($AF$5*R256*$T$3))/2)*$O$7)))</f>
        <v>334896.90266200004</v>
      </c>
      <c r="AB256" s="48">
        <f>IF(N256="Standard",((($Z$6*Q256)+($AD$6*R256*$T$3))/2)*$O$7,IF(N256="Severe",((($AA$6*Q256)+($AE$6*R256*$T$3))/2)*$O$7,IF(N256="Hostile",((($AB$6*Q256)+($AF$6*R256*$T$3))/2)*$O$7)))</f>
        <v>361837.21274400002</v>
      </c>
      <c r="AC256" s="48">
        <f>IF(N256="Standard",((($Z$7*Q256)+($AD$7*R256*$T$3))/2)*$O$7,IF(N256="Severe",((($AA$7*Q256)+($AE$7*R256*$T$3))/2)*$O$7,IF(N256="Hostile",((($AB$7*Q256)+($AF$7*R256*$T$3))/2)*$O$7)))</f>
        <v>390208.77649600001</v>
      </c>
      <c r="AD256" s="1"/>
      <c r="AE256" s="1"/>
      <c r="AF256" s="1"/>
      <c r="AI256" s="9"/>
      <c r="AJ256" s="1"/>
      <c r="AK256" s="1"/>
      <c r="AL256" s="1"/>
      <c r="AM256" s="7"/>
      <c r="AN256" s="1"/>
      <c r="AO256" s="1"/>
      <c r="AP256" s="9"/>
      <c r="AQ256" s="3"/>
      <c r="AR256" s="4"/>
      <c r="AS256" s="1"/>
      <c r="AT256" s="1"/>
      <c r="AU256" s="1"/>
      <c r="AV256" s="1"/>
      <c r="AW256" s="1"/>
      <c r="AX256" s="3"/>
      <c r="AY256" s="3"/>
      <c r="AZ256" s="5"/>
      <c r="BA256" s="5"/>
      <c r="BB256" s="5"/>
      <c r="BC256" s="5"/>
      <c r="BD256" s="6"/>
      <c r="BE256" s="6"/>
      <c r="BF256" s="12"/>
      <c r="BG256" s="12"/>
      <c r="BH256" s="12"/>
      <c r="BI256" s="12"/>
      <c r="BJ256" s="12"/>
    </row>
    <row r="257" spans="2:62" x14ac:dyDescent="0.25">
      <c r="B257" s="1" t="s">
        <v>1940</v>
      </c>
      <c r="C257" s="1" t="s">
        <v>1944</v>
      </c>
      <c r="D257" s="1"/>
      <c r="E257" s="1" t="s">
        <v>1945</v>
      </c>
      <c r="F257" s="1" t="s">
        <v>668</v>
      </c>
      <c r="G257" s="1" t="s">
        <v>1946</v>
      </c>
      <c r="H257" s="1" t="s">
        <v>1947</v>
      </c>
      <c r="I257" s="7" t="s">
        <v>1917</v>
      </c>
      <c r="J257" s="44">
        <v>1</v>
      </c>
      <c r="K257" s="45">
        <v>1</v>
      </c>
      <c r="L257" s="7" t="s">
        <v>2410</v>
      </c>
      <c r="M257" s="1" t="s">
        <v>1155</v>
      </c>
      <c r="N257" s="1" t="s">
        <v>1139</v>
      </c>
      <c r="O257" s="1" t="s">
        <v>1920</v>
      </c>
      <c r="P257" s="1"/>
      <c r="Q257" s="44">
        <f>IF(L257="339",Multipliers!C222,"oops")</f>
        <v>0.8</v>
      </c>
      <c r="R257" s="44">
        <f>IF(M257="Fort Myers",Multipliers!C38, "GOOF")</f>
        <v>0.94</v>
      </c>
      <c r="S257" s="46">
        <f t="shared" si="97"/>
        <v>306740.28000000003</v>
      </c>
      <c r="T257" s="46">
        <f t="shared" si="98"/>
        <v>352479.1508</v>
      </c>
      <c r="U257" s="46">
        <f t="shared" si="104"/>
        <v>363053.52532399999</v>
      </c>
      <c r="V257" s="46">
        <f t="shared" si="105"/>
        <v>334896.90266200004</v>
      </c>
      <c r="W257" s="47">
        <f t="shared" si="103"/>
        <v>334896.90266200004</v>
      </c>
      <c r="X257" s="47"/>
      <c r="Y257" s="48">
        <f t="shared" si="106"/>
        <v>260418.79128999996</v>
      </c>
      <c r="Z257" s="48">
        <f t="shared" si="107"/>
        <v>288861.25809800002</v>
      </c>
      <c r="AA257" s="48">
        <f t="shared" si="108"/>
        <v>334896.90266200004</v>
      </c>
      <c r="AB257" s="48">
        <f t="shared" si="109"/>
        <v>361837.21274400002</v>
      </c>
      <c r="AC257" s="48">
        <f t="shared" si="110"/>
        <v>390208.77649600001</v>
      </c>
      <c r="AD257" s="1"/>
      <c r="AE257" s="1"/>
      <c r="AF257" s="1"/>
      <c r="AI257" s="9"/>
      <c r="AJ257" s="1"/>
      <c r="AK257" s="1"/>
      <c r="AL257" s="1"/>
      <c r="AM257" s="7"/>
      <c r="AN257" s="1"/>
      <c r="AO257" s="1"/>
      <c r="AP257" s="9"/>
      <c r="AQ257" s="3"/>
      <c r="AR257" s="4"/>
      <c r="AS257" s="1"/>
      <c r="AT257" s="1"/>
      <c r="AU257" s="1"/>
      <c r="AV257" s="1"/>
      <c r="AW257" s="1"/>
      <c r="AX257" s="3"/>
      <c r="AY257" s="3"/>
      <c r="AZ257" s="5"/>
      <c r="BA257" s="5"/>
      <c r="BB257" s="5"/>
      <c r="BC257" s="5"/>
      <c r="BD257" s="6"/>
      <c r="BE257" s="6"/>
      <c r="BF257" s="12"/>
      <c r="BG257" s="12"/>
      <c r="BH257" s="12"/>
      <c r="BI257" s="12"/>
      <c r="BJ257" s="12"/>
    </row>
    <row r="258" spans="2:62" x14ac:dyDescent="0.25">
      <c r="B258" s="1" t="s">
        <v>1940</v>
      </c>
      <c r="C258" s="1" t="s">
        <v>1944</v>
      </c>
      <c r="D258" s="1"/>
      <c r="E258" s="1" t="s">
        <v>1945</v>
      </c>
      <c r="F258" s="1" t="s">
        <v>669</v>
      </c>
      <c r="G258" s="1" t="s">
        <v>1946</v>
      </c>
      <c r="H258" s="1" t="s">
        <v>1947</v>
      </c>
      <c r="I258" s="7" t="s">
        <v>1917</v>
      </c>
      <c r="J258" s="44">
        <v>1</v>
      </c>
      <c r="K258" s="45">
        <v>1</v>
      </c>
      <c r="L258" s="7" t="s">
        <v>2409</v>
      </c>
      <c r="M258" s="1" t="s">
        <v>1948</v>
      </c>
      <c r="N258" s="1" t="s">
        <v>1139</v>
      </c>
      <c r="O258" s="1" t="s">
        <v>1920</v>
      </c>
      <c r="P258" s="1"/>
      <c r="Q258" s="44">
        <f>IF(L258="333",Multipliers!C223,"oops")</f>
        <v>0.82</v>
      </c>
      <c r="R258" s="44">
        <f>IF(M258="Broward Co.",Multipliers!C39,"GOOF")</f>
        <v>0.98</v>
      </c>
      <c r="S258" s="46">
        <f t="shared" si="97"/>
        <v>314408.78700000001</v>
      </c>
      <c r="T258" s="46">
        <f t="shared" si="98"/>
        <v>367478.26360000001</v>
      </c>
      <c r="U258" s="46">
        <f t="shared" si="104"/>
        <v>378502.611508</v>
      </c>
      <c r="V258" s="46">
        <f t="shared" si="105"/>
        <v>346455.69925399998</v>
      </c>
      <c r="W258" s="47">
        <f t="shared" si="103"/>
        <v>346455.69925399998</v>
      </c>
      <c r="X258" s="47"/>
      <c r="Y258" s="48">
        <f t="shared" si="106"/>
        <v>269288.76442999998</v>
      </c>
      <c r="Z258" s="48">
        <f t="shared" si="107"/>
        <v>298733.55706599995</v>
      </c>
      <c r="AA258" s="48">
        <f t="shared" si="108"/>
        <v>346455.69925400009</v>
      </c>
      <c r="AB258" s="48">
        <f t="shared" si="109"/>
        <v>374357.10664799996</v>
      </c>
      <c r="AC258" s="48">
        <f t="shared" si="110"/>
        <v>403713.89643199998</v>
      </c>
      <c r="AD258" s="1"/>
      <c r="AE258" s="1"/>
      <c r="AF258" s="1"/>
      <c r="AI258" s="9"/>
      <c r="AJ258" s="1"/>
      <c r="AK258" s="1"/>
      <c r="AL258" s="1"/>
      <c r="AM258" s="7"/>
      <c r="AN258" s="1"/>
      <c r="AO258" s="1"/>
      <c r="AP258" s="9"/>
      <c r="AQ258" s="3"/>
      <c r="AR258" s="4"/>
      <c r="AS258" s="1"/>
      <c r="AT258" s="1"/>
      <c r="AU258" s="1"/>
      <c r="AV258" s="1"/>
      <c r="AW258" s="1"/>
      <c r="AX258" s="3"/>
      <c r="AY258" s="3"/>
      <c r="AZ258" s="5"/>
      <c r="BA258" s="5"/>
      <c r="BB258" s="5"/>
      <c r="BC258" s="5"/>
      <c r="BD258" s="6"/>
      <c r="BE258" s="6"/>
      <c r="BF258" s="12"/>
      <c r="BG258" s="12"/>
      <c r="BH258" s="12"/>
      <c r="BI258" s="12"/>
      <c r="BJ258" s="12"/>
    </row>
    <row r="259" spans="2:62" x14ac:dyDescent="0.25">
      <c r="B259" s="1" t="s">
        <v>1940</v>
      </c>
      <c r="C259" s="1" t="s">
        <v>1944</v>
      </c>
      <c r="D259" s="1"/>
      <c r="E259" s="1" t="s">
        <v>1945</v>
      </c>
      <c r="F259" s="1" t="s">
        <v>1156</v>
      </c>
      <c r="G259" s="1" t="s">
        <v>1946</v>
      </c>
      <c r="H259" s="1" t="s">
        <v>1947</v>
      </c>
      <c r="I259" s="7" t="s">
        <v>1917</v>
      </c>
      <c r="J259" s="44">
        <v>1</v>
      </c>
      <c r="K259" s="45">
        <v>1</v>
      </c>
      <c r="L259" s="7" t="s">
        <v>2411</v>
      </c>
      <c r="M259" s="1" t="s">
        <v>1153</v>
      </c>
      <c r="N259" s="1" t="s">
        <v>1139</v>
      </c>
      <c r="O259" s="1" t="s">
        <v>1920</v>
      </c>
      <c r="P259" s="1"/>
      <c r="Q259" s="44">
        <f>IF(L259="334",Multipliers!C224,"oops")</f>
        <v>0.82</v>
      </c>
      <c r="R259" s="44">
        <f>IF(M259="Palm Beach",Multipliers!C40,"GOOF")</f>
        <v>0.99</v>
      </c>
      <c r="S259" s="46">
        <f t="shared" si="97"/>
        <v>314408.78700000001</v>
      </c>
      <c r="T259" s="46">
        <f t="shared" si="98"/>
        <v>371228.04180000001</v>
      </c>
      <c r="U259" s="46">
        <f t="shared" si="104"/>
        <v>382364.88305400003</v>
      </c>
      <c r="V259" s="46">
        <f t="shared" si="105"/>
        <v>348386.83502700005</v>
      </c>
      <c r="W259" s="47">
        <f t="shared" si="103"/>
        <v>348386.83502700005</v>
      </c>
      <c r="X259" s="47"/>
      <c r="Y259" s="48">
        <f t="shared" si="106"/>
        <v>270718.76646499999</v>
      </c>
      <c r="Z259" s="48">
        <f t="shared" si="107"/>
        <v>300340.08283299999</v>
      </c>
      <c r="AA259" s="48">
        <f t="shared" si="108"/>
        <v>348386.83502699999</v>
      </c>
      <c r="AB259" s="48">
        <f t="shared" si="109"/>
        <v>376462.53912399994</v>
      </c>
      <c r="AC259" s="48">
        <f t="shared" si="110"/>
        <v>405986.56341599999</v>
      </c>
      <c r="AD259" s="1"/>
      <c r="AE259" s="1"/>
      <c r="AF259" s="1"/>
      <c r="AI259" s="9"/>
      <c r="AJ259" s="1"/>
      <c r="AK259" s="1"/>
      <c r="AL259" s="1"/>
      <c r="AM259" s="1"/>
      <c r="AN259" s="1"/>
      <c r="AO259" s="1"/>
      <c r="AP259" s="9"/>
      <c r="AQ259" s="3"/>
      <c r="AR259" s="4"/>
      <c r="AS259" s="1"/>
      <c r="AT259" s="1"/>
      <c r="AU259" s="1"/>
      <c r="AV259" s="1"/>
      <c r="AW259" s="1"/>
      <c r="AX259" s="3"/>
      <c r="AY259" s="3"/>
      <c r="AZ259" s="5"/>
      <c r="BA259" s="5"/>
      <c r="BB259" s="5"/>
      <c r="BC259" s="5"/>
      <c r="BD259" s="6"/>
      <c r="BE259" s="6"/>
      <c r="BF259" s="12"/>
      <c r="BG259" s="12"/>
      <c r="BH259" s="12"/>
      <c r="BI259" s="12"/>
      <c r="BJ259" s="12"/>
    </row>
    <row r="260" spans="2:62" x14ac:dyDescent="0.25">
      <c r="B260" s="1" t="s">
        <v>1951</v>
      </c>
      <c r="C260" s="1" t="s">
        <v>1952</v>
      </c>
      <c r="D260" s="1" t="s">
        <v>1190</v>
      </c>
      <c r="E260" s="1" t="s">
        <v>1953</v>
      </c>
      <c r="F260" s="1" t="s">
        <v>1954</v>
      </c>
      <c r="G260" s="1" t="s">
        <v>1955</v>
      </c>
      <c r="H260" s="1" t="s">
        <v>1956</v>
      </c>
      <c r="I260" s="7" t="s">
        <v>1917</v>
      </c>
      <c r="J260" s="44">
        <v>1</v>
      </c>
      <c r="K260" s="45">
        <v>1</v>
      </c>
      <c r="L260" s="1" t="s">
        <v>1957</v>
      </c>
      <c r="M260" s="1" t="s">
        <v>1958</v>
      </c>
      <c r="N260" s="1" t="s">
        <v>1140</v>
      </c>
      <c r="O260" s="1" t="s">
        <v>1959</v>
      </c>
      <c r="P260" s="1" t="s">
        <v>1190</v>
      </c>
      <c r="Q260" s="44">
        <f>IF(L260="523",Multipliers!C236,"oops")</f>
        <v>0.94</v>
      </c>
      <c r="R260" s="44">
        <f>IF(M260="Cedar Rapids",Multipliers!C49, "GOOF")</f>
        <v>0.97</v>
      </c>
      <c r="S260" s="46">
        <f>IF(N260="Standard",$O$5*Q260*$O$7,IF(N260="Severe",$O$4*Q260*$O$7,IF(N260="Hostile",$O$3*Q260*$O$7)))</f>
        <v>381707.51080000005</v>
      </c>
      <c r="T260" s="46">
        <f>IF(N260="Standard",$P$5*R260*$O$7,IF(N260="Severe",$P$4*R260*$O$7,IF(N260="Hostile",$P$3*R260*$O$7)))</f>
        <v>379245.33289999998</v>
      </c>
      <c r="U260" s="46">
        <f t="shared" si="99"/>
        <v>367867.97291299998</v>
      </c>
      <c r="V260" s="46">
        <f t="shared" si="100"/>
        <v>374787.74185650004</v>
      </c>
      <c r="W260" s="47">
        <f>IF(F260=F261,(V260+V261)/2,IF(F260=F255,(V260+V255)/2,IF(F260&lt;&gt;F255,V260)))</f>
        <v>374787.74185650004</v>
      </c>
      <c r="X260" s="47"/>
      <c r="Y260" s="48">
        <f t="shared" si="101"/>
        <v>302435.02789500001</v>
      </c>
      <c r="Z260" s="48">
        <f t="shared" si="102"/>
        <v>334113.76569899998</v>
      </c>
      <c r="AA260" s="48">
        <f>IF(N260="Standard",((($Z$5*Q260)+($AD$5*R260*$T$4))/2)*$O$7,IF(N260="Severe",((($AA$5*Q260)+($AE$5*R260*$T$4))/2)*$O$7,IF(N260="Hostile",((($AB$5*Q260)+($AF$5*R260*$T$4))/2)*$O$7)))</f>
        <v>374787.74185650004</v>
      </c>
      <c r="AB260" s="48">
        <f>IF(N260="Standard",((($Z$6*Q260)+($AD$6*R260*$T$4))/2)*$O$7,IF(N260="Severe",((($AA$6*Q260)+($AE$6*R260*$T$4))/2)*$O$7,IF(N260="Hostile",((($AB$6*Q260)+($AF$6*R260*$T$4))/2)*$O$7)))</f>
        <v>405872.391603</v>
      </c>
      <c r="AC260" s="48">
        <f>IF(N260="Standard",((($Z$7*Q260)+($AD$7*R260*$T$4))/2)*$O$7,IF(N260="Severe",((($AA$7*Q260)+($AE$7*R260*$T$4))/2)*$O$7,IF(N260="Hostile",((($AB$7*Q260)+($AF$7*R260*$T$4))/2)*$O$7)))</f>
        <v>437525.74432699999</v>
      </c>
      <c r="AD260" s="1"/>
      <c r="AE260" s="1"/>
      <c r="AF260" s="1"/>
      <c r="AI260" s="9"/>
      <c r="AJ260" s="1"/>
      <c r="AK260" s="1"/>
      <c r="AL260" s="1"/>
      <c r="AM260" s="1"/>
      <c r="AN260" s="1"/>
      <c r="AO260" s="1"/>
      <c r="AP260" s="9"/>
      <c r="AQ260" s="3"/>
      <c r="AR260" s="4"/>
      <c r="AS260" s="1"/>
      <c r="AT260" s="1"/>
      <c r="AU260" s="1"/>
      <c r="AV260" s="1"/>
      <c r="AW260" s="1"/>
      <c r="AX260" s="3"/>
      <c r="AY260" s="3"/>
      <c r="AZ260" s="5"/>
      <c r="BA260" s="5"/>
      <c r="BB260" s="5"/>
      <c r="BC260" s="5"/>
      <c r="BD260" s="6"/>
      <c r="BE260" s="6"/>
      <c r="BF260" s="12"/>
      <c r="BG260" s="12"/>
      <c r="BH260" s="12"/>
      <c r="BI260" s="12"/>
      <c r="BJ260" s="12"/>
    </row>
    <row r="261" spans="2:62" x14ac:dyDescent="0.25">
      <c r="B261" s="1" t="s">
        <v>1960</v>
      </c>
      <c r="C261" s="1" t="s">
        <v>1961</v>
      </c>
      <c r="D261" s="1" t="s">
        <v>1190</v>
      </c>
      <c r="E261" s="1" t="s">
        <v>1962</v>
      </c>
      <c r="F261" s="1" t="s">
        <v>1963</v>
      </c>
      <c r="G261" s="1" t="s">
        <v>1964</v>
      </c>
      <c r="H261" s="1" t="s">
        <v>1965</v>
      </c>
      <c r="I261" s="7" t="s">
        <v>1917</v>
      </c>
      <c r="J261" s="44">
        <v>1</v>
      </c>
      <c r="K261" s="45">
        <v>1</v>
      </c>
      <c r="L261" s="1" t="s">
        <v>1966</v>
      </c>
      <c r="M261" s="1" t="s">
        <v>1967</v>
      </c>
      <c r="N261" s="1" t="s">
        <v>1140</v>
      </c>
      <c r="O261" s="1" t="s">
        <v>1959</v>
      </c>
      <c r="P261" s="1" t="s">
        <v>1190</v>
      </c>
      <c r="Q261" s="44">
        <f>IF(L261="463",Multipliers!C233,"oops")</f>
        <v>1.03</v>
      </c>
      <c r="R261" s="44">
        <f>IF(M261="Michigan City",Multipliers!C47, "GOOF")</f>
        <v>1.22</v>
      </c>
      <c r="S261" s="46">
        <f>IF(N261="Standard",$O$5*Q261*$O$7,IF(N261="Severe",$O$4*Q261*$O$7,IF(N261="Hostile",$O$3*Q261*$O$7)))</f>
        <v>418253.97460000007</v>
      </c>
      <c r="T261" s="46">
        <f>IF(N261="Standard",$P$5*R261*$O$7,IF(N261="Severe",$P$4*R261*$O$7,IF(N261="Hostile",$P$3*R261*$O$7)))</f>
        <v>476988.9754</v>
      </c>
      <c r="U261" s="46">
        <f t="shared" si="99"/>
        <v>462679.30613799999</v>
      </c>
      <c r="V261" s="46">
        <f t="shared" si="100"/>
        <v>440466.64036900003</v>
      </c>
      <c r="W261" s="47">
        <f>IF(F261=F630,(V261+V630)/2,IF(F261=F260,(V261+V260)/2,IF(F261&lt;&gt;F260,V261)))</f>
        <v>440466.64036900003</v>
      </c>
      <c r="X261" s="47"/>
      <c r="Y261" s="48">
        <f t="shared" si="101"/>
        <v>354862.64352000004</v>
      </c>
      <c r="Z261" s="48">
        <f t="shared" si="102"/>
        <v>392425.43957400002</v>
      </c>
      <c r="AA261" s="48">
        <f>IF(N261="Standard",((($Z$5*Q261)+($AD$5*R261*$T$4))/2)*$O$7,IF(N261="Severe",((($AA$5*Q261)+($AE$5*R261*$T$4))/2)*$O$7,IF(N261="Hostile",((($AB$5*Q261)+($AF$5*R261*$T$4))/2)*$O$7)))</f>
        <v>440466.64036900009</v>
      </c>
      <c r="AB261" s="48">
        <f>IF(N261="Standard",((($Z$6*Q261)+($AD$6*R261*$T$4))/2)*$O$7,IF(N261="Severe",((($AA$6*Q261)+($AE$6*R261*$T$4))/2)*$O$7,IF(N261="Hostile",((($AB$6*Q261)+($AF$6*R261*$T$4))/2)*$O$7)))</f>
        <v>477314.27312799997</v>
      </c>
      <c r="AC261" s="48">
        <f>IF(N261="Standard",((($Z$7*Q261)+($AD$7*R261*$T$4))/2)*$O$7,IF(N261="Severe",((($AA$7*Q261)+($AE$7*R261*$T$4))/2)*$O$7,IF(N261="Hostile",((($AB$7*Q261)+($AF$7*R261*$T$4))/2)*$O$7)))</f>
        <v>514594.53805200005</v>
      </c>
      <c r="AD261" s="1"/>
      <c r="AE261" s="1"/>
      <c r="AF261" s="1"/>
      <c r="AI261" s="9"/>
      <c r="AJ261" s="1"/>
      <c r="AK261" s="1"/>
      <c r="AL261" s="1"/>
      <c r="AM261" s="7"/>
      <c r="AN261" s="1"/>
      <c r="AO261" s="1"/>
      <c r="AP261" s="9"/>
      <c r="AQ261" s="3"/>
      <c r="AR261" s="4"/>
      <c r="AS261" s="1"/>
      <c r="AT261" s="1"/>
      <c r="AU261" s="1"/>
      <c r="AV261" s="1"/>
      <c r="AW261" s="7"/>
      <c r="AX261" s="3"/>
      <c r="AY261" s="3"/>
      <c r="AZ261" s="5"/>
      <c r="BA261" s="5"/>
      <c r="BB261" s="5"/>
      <c r="BC261" s="5"/>
      <c r="BD261" s="6"/>
      <c r="BE261" s="6"/>
      <c r="BF261" s="12"/>
      <c r="BG261" s="12"/>
      <c r="BH261" s="12"/>
      <c r="BI261" s="12"/>
      <c r="BJ261" s="12"/>
    </row>
    <row r="262" spans="2:62" x14ac:dyDescent="0.25">
      <c r="B262" s="1" t="s">
        <v>1968</v>
      </c>
      <c r="C262" s="1" t="s">
        <v>1969</v>
      </c>
      <c r="D262" s="1" t="s">
        <v>1190</v>
      </c>
      <c r="E262" s="1" t="s">
        <v>1970</v>
      </c>
      <c r="F262" s="7" t="s">
        <v>1971</v>
      </c>
      <c r="G262" s="1" t="s">
        <v>1972</v>
      </c>
      <c r="H262" s="1" t="s">
        <v>1973</v>
      </c>
      <c r="I262" s="7" t="s">
        <v>1917</v>
      </c>
      <c r="J262" s="44">
        <v>1</v>
      </c>
      <c r="K262" s="45">
        <v>1</v>
      </c>
      <c r="L262" s="1" t="s">
        <v>1974</v>
      </c>
      <c r="M262" s="1" t="s">
        <v>1975</v>
      </c>
      <c r="N262" s="1" t="s">
        <v>1140</v>
      </c>
      <c r="O262" s="1" t="s">
        <v>1920</v>
      </c>
      <c r="P262" s="7" t="s">
        <v>1976</v>
      </c>
      <c r="Q262" s="44">
        <f>IF(L262="026",Multipliers!C256,"oops")</f>
        <v>1.07</v>
      </c>
      <c r="R262" s="44">
        <f>IF(M262="Cape Cod",Multipliers!C60, "GOOF")</f>
        <v>1.21</v>
      </c>
      <c r="S262" s="46">
        <f>IF(N262="Standard",$O$5*Q262*$O$7,IF(N262="Severe",$O$4*Q262*$O$7,IF(N262="Hostile",$O$3*Q262*$O$7)))</f>
        <v>434496.84740000009</v>
      </c>
      <c r="T262" s="46">
        <f>IF(N262="Standard",$P$5*R262*$O$7,IF(N262="Severe",$P$4*R262*$O$7,IF(N262="Hostile",$P$3*R262*$O$7)))</f>
        <v>473079.22969999997</v>
      </c>
      <c r="U262" s="46">
        <f t="shared" si="99"/>
        <v>487271.60659099999</v>
      </c>
      <c r="V262" s="46">
        <f>((S262+U262)/2*1.25)</f>
        <v>576105.28374437499</v>
      </c>
      <c r="W262" s="47">
        <f>IF(F262=F263,(V262+V263)/2,IF(F262=F478,(V262+V478)/2,IF(F262&lt;&gt;F478,V262)))</f>
        <v>576105.28374437499</v>
      </c>
      <c r="X262" s="47"/>
      <c r="Y262" s="48">
        <f>IF(N262="Standard",(((($Z$3*Q262)+($AD$3*R262*$T$5))/2)*$O$7*1.25),IF(N262="Severe",(((($AA$3*Q262)+($AE$3*R262*$T$5))/2)*$O$7*1.25),IF(N262="Hostile",(((($AB$3*Q262)+($AF$3*R262*$T$5))/2)*$O$7*1.25))))</f>
        <v>450090.92060625</v>
      </c>
      <c r="Z262" s="48">
        <f>IF(N262="Standard",(((($Z$4*Q262)+($AD$4*R262*$T$5))/2)*$O$7*1.25),IF(N262="Severe",(((($AA$4*Q262)+($AE$4*R262*$T$5))/2)*$O$7*1.25),IF(N262="Hostile",(((($AB$4*Q262)+($AF$4*R262*$T$5))/2)*$O$7*1.25))))</f>
        <v>497566.47588374995</v>
      </c>
      <c r="AA262" s="48">
        <f>IF(N262="Standard",(((($Z$5*Q262)+($AD$5*R262*$T$3))/2)*$O$7*1.25),IF(N262="Severe",(((($AA$5*Q262)+($AE$5*R262*$T$3))/2)*$O$7*1.25),IF(N262="Hostile",(((($AB$5*Q262)+($AF$5*R262*$T$3))/2)*$O$7*1.25))))</f>
        <v>576105.28374437499</v>
      </c>
      <c r="AB262" s="48">
        <f>IF(N262="Standard",(((($Z$6*Q262)+($AD$6*R262*$T$3))/2)*$O$7*1.25),IF(N262="Severe",(((($AA$6*Q262)+($AE$6*R262*$T$3))/2)*$O$7*1.25),IF(N262="Hostile",(((($AB$6*Q262)+($AF$6*R262*$T$3))/2)*$O$7*1.25))))</f>
        <v>624340.77871375007</v>
      </c>
      <c r="AC262" s="48">
        <f>IF(N262="Standard",(((($Z$7*Q262)+($AD$7*R262*$T$3))/2)*$O$7*1.25),IF(N262="Severe",(((($AA$7*Q262)+($AE$7*R262*$T$3))/2)*$O$7*1.25),IF(N262="Hostile",(((($AB$7*Q262)+($AF$7*R262*$T$3))/2)*$O$7*1.25))))</f>
        <v>673111.59192375001</v>
      </c>
      <c r="AD262" s="1"/>
      <c r="AE262" s="1"/>
      <c r="AF262" s="1"/>
      <c r="AI262" s="9"/>
      <c r="AJ262" s="1"/>
      <c r="AK262" s="1"/>
      <c r="AL262" s="1"/>
      <c r="AM262" s="7"/>
      <c r="AN262" s="1"/>
      <c r="AO262" s="1"/>
      <c r="AP262" s="9"/>
      <c r="AQ262" s="3"/>
      <c r="AR262" s="4"/>
      <c r="AS262" s="1"/>
      <c r="AT262" s="1"/>
      <c r="AU262" s="1"/>
      <c r="AV262" s="1"/>
      <c r="AW262" s="1"/>
      <c r="AX262" s="3"/>
      <c r="AY262" s="3"/>
      <c r="AZ262" s="5"/>
      <c r="BA262" s="5"/>
      <c r="BB262" s="5"/>
      <c r="BC262" s="5"/>
      <c r="BD262" s="6"/>
      <c r="BE262" s="6"/>
      <c r="BF262" s="12"/>
      <c r="BG262" s="12"/>
      <c r="BH262" s="12"/>
      <c r="BI262" s="12"/>
      <c r="BJ262" s="12"/>
    </row>
    <row r="263" spans="2:62" x14ac:dyDescent="0.25">
      <c r="B263" s="1" t="s">
        <v>1968</v>
      </c>
      <c r="C263" s="1" t="s">
        <v>1969</v>
      </c>
      <c r="D263" s="1" t="s">
        <v>1190</v>
      </c>
      <c r="E263" s="1" t="s">
        <v>1970</v>
      </c>
      <c r="F263" s="7" t="s">
        <v>1977</v>
      </c>
      <c r="G263" s="1" t="s">
        <v>1972</v>
      </c>
      <c r="H263" s="1" t="s">
        <v>1973</v>
      </c>
      <c r="I263" s="7" t="s">
        <v>1917</v>
      </c>
      <c r="J263" s="44">
        <v>1</v>
      </c>
      <c r="K263" s="45">
        <v>1</v>
      </c>
      <c r="L263" s="1" t="s">
        <v>1978</v>
      </c>
      <c r="M263" s="1" t="s">
        <v>1979</v>
      </c>
      <c r="N263" s="1" t="s">
        <v>1140</v>
      </c>
      <c r="O263" s="1" t="s">
        <v>1920</v>
      </c>
      <c r="P263" s="1"/>
      <c r="Q263" s="44">
        <f>IF(L263="025",Multipliers!C255,"oops")</f>
        <v>1.08</v>
      </c>
      <c r="R263" s="44">
        <f>IF(M263="New Bedford",Multipliers!C61, "GOOF")</f>
        <v>1.19</v>
      </c>
      <c r="S263" s="46">
        <f t="shared" ref="S263:S272" si="111">IF(N263="Standard",$O$5*Q263*$O$7,IF(N263="Severe",$O$4*Q263*$O$7,IF(N263="Hostile",$O$3*Q263*$O$7)))</f>
        <v>438557.56560000009</v>
      </c>
      <c r="T263" s="46">
        <f t="shared" ref="T263:T272" si="112">IF(N263="Standard",$P$5*R263*$O$7,IF(N263="Severe",$P$4*R263*$O$7,IF(N263="Hostile",$P$3*R263*$O$7)))</f>
        <v>465259.73830000003</v>
      </c>
      <c r="U263" s="46">
        <f t="shared" si="99"/>
        <v>479217.53044900001</v>
      </c>
      <c r="V263" s="46">
        <f>(S263+U263)/2</f>
        <v>458887.54802450002</v>
      </c>
      <c r="W263" s="47">
        <f>IF(F263=F264,(V263+V264)/2,IF(F263=F262,(V263+V262)/2,IF(F263&lt;&gt;F262,V263)))</f>
        <v>458887.54802450002</v>
      </c>
      <c r="X263" s="47"/>
      <c r="Y263" s="48">
        <f>IF(N263="Standard",(((($Z$3*Q263)+($AD$3*R263*$T$5))/2)*$O$7),IF(N263="Severe",(((($AA$3*Q263)+($AE$3*R263*$T$5))/2)*$O$7),IF(N263="Hostile",(((($AB$3*Q263)+($AF$3*R263*$T$5))/2)*$O$7))))</f>
        <v>358761.18316499999</v>
      </c>
      <c r="Z263" s="48">
        <f>IF(N263="Standard",(((($Z$4*Q263)+($AD$4*R263*$T$5))/2)*$O$7),IF(N263="Severe",(((($AA$4*Q263)+($AE$4*R263*$T$5))/2)*$O$7),IF(N263="Hostile",(((($AB$4*Q263)+($AF$4*R263*$T$5))/2)*$O$7))))</f>
        <v>396528.51237299998</v>
      </c>
      <c r="AA263" s="48">
        <f t="shared" ref="AA263:AA268" si="113">IF(N263="Standard",((($Z$5*Q263)+($AD$5*R263*$T$3))/2)*$O$7,IF(N263="Severe",((($AA$5*Q263)+($AE$5*R263*$T$3))/2)*$O$7,IF(N263="Hostile",((($AB$5*Q263)+($AF$5*R263*$T$3))/2)*$O$7)))</f>
        <v>458887.54802450002</v>
      </c>
      <c r="AB263" s="48">
        <f t="shared" ref="AB263:AB268" si="114">IF(N263="Standard",((($Z$6*Q263)+($AD$6*R263*$T$3))/2)*$O$7,IF(N263="Severe",((($AA$6*Q263)+($AE$6*R263*$T$3))/2)*$O$7,IF(N263="Hostile",((($AB$6*Q263)+($AF$6*R263*$T$3))/2)*$O$7)))</f>
        <v>497246.95451900002</v>
      </c>
      <c r="AC263" s="48">
        <f t="shared" ref="AC263:AC268" si="115">IF(N263="Standard",((($Z$7*Q263)+($AD$7*R263*$T$3))/2)*$O$7,IF(N263="Severe",((($AA$7*Q263)+($AE$7*R263*$T$3))/2)*$O$7,IF(N263="Hostile",((($AB$7*Q263)+($AF$7*R263*$T$3))/2)*$O$7)))</f>
        <v>536078.92837099999</v>
      </c>
      <c r="AD263" s="1"/>
      <c r="AE263" s="1"/>
      <c r="AF263" s="1"/>
      <c r="AI263" s="9"/>
      <c r="AJ263" s="1"/>
      <c r="AK263" s="1"/>
      <c r="AL263" s="1"/>
      <c r="AM263" s="1"/>
      <c r="AN263" s="1"/>
      <c r="AO263" s="1"/>
      <c r="AP263" s="9"/>
      <c r="AQ263" s="3"/>
      <c r="AR263" s="4"/>
      <c r="AS263" s="1"/>
      <c r="AT263" s="1"/>
      <c r="AU263" s="1"/>
      <c r="AV263" s="1"/>
      <c r="AW263" s="1"/>
      <c r="AX263" s="3"/>
      <c r="AY263" s="3"/>
      <c r="AZ263" s="5"/>
      <c r="BA263" s="5"/>
      <c r="BB263" s="5"/>
      <c r="BC263" s="5"/>
      <c r="BD263" s="6"/>
      <c r="BE263" s="6"/>
      <c r="BF263" s="12"/>
      <c r="BG263" s="12"/>
      <c r="BH263" s="12"/>
      <c r="BI263" s="12"/>
      <c r="BJ263" s="12"/>
    </row>
    <row r="264" spans="2:62" x14ac:dyDescent="0.25">
      <c r="B264" s="1" t="s">
        <v>1980</v>
      </c>
      <c r="C264" s="1" t="s">
        <v>1981</v>
      </c>
      <c r="D264" s="1" t="s">
        <v>1772</v>
      </c>
      <c r="E264" s="1" t="s">
        <v>1982</v>
      </c>
      <c r="F264" s="1" t="s">
        <v>1983</v>
      </c>
      <c r="G264" s="1" t="s">
        <v>1984</v>
      </c>
      <c r="H264" s="1" t="s">
        <v>1985</v>
      </c>
      <c r="I264" s="7" t="s">
        <v>1917</v>
      </c>
      <c r="J264" s="44">
        <v>1</v>
      </c>
      <c r="K264" s="45">
        <v>1</v>
      </c>
      <c r="L264" s="1" t="s">
        <v>1986</v>
      </c>
      <c r="M264" s="1" t="s">
        <v>1987</v>
      </c>
      <c r="N264" s="1" t="s">
        <v>1140</v>
      </c>
      <c r="O264" s="1" t="s">
        <v>1920</v>
      </c>
      <c r="P264" s="1" t="s">
        <v>1190</v>
      </c>
      <c r="Q264" s="44">
        <f>IF(L264="047",Multipliers!C251,"oops")</f>
        <v>0.88</v>
      </c>
      <c r="R264" s="44">
        <f>IF(M264="Presque Isle",Multipliers!C58, "GOOF")</f>
        <v>0.95</v>
      </c>
      <c r="S264" s="46">
        <f>IF(N264="Standard",$O$5*Q264*$O$7,IF(N264="Severe",$O$4*Q264*$O$7,IF(N264="Hostile",$O$3*Q264*$O$7)))</f>
        <v>357343.20160000003</v>
      </c>
      <c r="T264" s="46">
        <f>IF(N264="Standard",$P$5*R264*$O$7,IF(N264="Severe",$P$4*R264*$O$7,IF(N264="Hostile",$P$3*R264*$O$7)))</f>
        <v>371425.84149999998</v>
      </c>
      <c r="U264" s="46">
        <f t="shared" si="99"/>
        <v>382568.61674500001</v>
      </c>
      <c r="V264" s="46">
        <f>(S264+U264)/2</f>
        <v>369955.90917250002</v>
      </c>
      <c r="W264" s="47">
        <f t="shared" ref="W264:W284" si="116">IF(F264=F265,(V264+V265)/2,IF(F264=F263,(V264+V263)/2,IF(F264&lt;&gt;F263,V264)))</f>
        <v>369955.90917250002</v>
      </c>
      <c r="X264" s="47"/>
      <c r="Y264" s="48">
        <f>IF(N264="Standard",(((($Z$3*Q264)+($AD$3*R264*$T$5))/2)*$O$7),IF(N264="Severe",(((($AA$3*Q264)+($AE$3*R264*$T$5))/2)*$O$7),IF(N264="Hostile",(((($AB$3*Q264)+($AF$3*R264*$T$5))/2)*$O$7))))</f>
        <v>289391.73532500002</v>
      </c>
      <c r="Z264" s="48">
        <f>IF(N264="Standard",(((($Z$4*Q264)+($AD$4*R264*$T$5))/2)*$O$7),IF(N264="Severe",(((($AA$4*Q264)+($AE$4*R264*$T$5))/2)*$O$7),IF(N264="Hostile",(((($AB$4*Q264)+($AF$4*R264*$T$5))/2)*$O$7))))</f>
        <v>319808.94676499994</v>
      </c>
      <c r="AA264" s="48">
        <f t="shared" si="113"/>
        <v>369955.90917250002</v>
      </c>
      <c r="AB264" s="48">
        <f t="shared" si="114"/>
        <v>400842.038695</v>
      </c>
      <c r="AC264" s="48">
        <f t="shared" si="115"/>
        <v>432138.49675499997</v>
      </c>
      <c r="AD264" s="1"/>
      <c r="AE264" s="1"/>
      <c r="AF264" s="1"/>
      <c r="AI264" s="9"/>
      <c r="AJ264" s="1"/>
      <c r="AK264" s="1"/>
      <c r="AL264" s="1"/>
      <c r="AM264" s="1"/>
      <c r="AN264" s="1"/>
      <c r="AO264" s="1"/>
      <c r="AP264" s="9"/>
      <c r="AQ264" s="3"/>
      <c r="AR264" s="4"/>
      <c r="AS264" s="1"/>
      <c r="AT264" s="1"/>
      <c r="AU264" s="1"/>
      <c r="AV264" s="1"/>
      <c r="AW264" s="1"/>
      <c r="AX264" s="3"/>
      <c r="AY264" s="3"/>
      <c r="AZ264" s="5"/>
      <c r="BA264" s="5"/>
      <c r="BB264" s="5"/>
      <c r="BC264" s="5"/>
      <c r="BD264" s="6"/>
      <c r="BE264" s="6"/>
      <c r="BF264" s="12"/>
      <c r="BG264" s="12"/>
      <c r="BH264" s="12"/>
      <c r="BI264" s="12"/>
      <c r="BJ264" s="12"/>
    </row>
    <row r="265" spans="2:62" x14ac:dyDescent="0.25">
      <c r="B265" s="1" t="s">
        <v>1980</v>
      </c>
      <c r="C265" s="1" t="s">
        <v>1981</v>
      </c>
      <c r="D265" s="1" t="s">
        <v>1766</v>
      </c>
      <c r="E265" s="1" t="s">
        <v>1988</v>
      </c>
      <c r="F265" s="1" t="s">
        <v>1989</v>
      </c>
      <c r="G265" s="1" t="s">
        <v>1990</v>
      </c>
      <c r="H265" s="1" t="s">
        <v>1991</v>
      </c>
      <c r="I265" s="7" t="s">
        <v>1917</v>
      </c>
      <c r="J265" s="44">
        <v>1</v>
      </c>
      <c r="K265" s="45">
        <v>1</v>
      </c>
      <c r="L265" s="1" t="s">
        <v>1986</v>
      </c>
      <c r="M265" s="1" t="s">
        <v>1987</v>
      </c>
      <c r="N265" s="1" t="s">
        <v>1140</v>
      </c>
      <c r="O265" s="1" t="s">
        <v>1920</v>
      </c>
      <c r="P265" s="1" t="s">
        <v>1190</v>
      </c>
      <c r="Q265" s="44">
        <f>IF(L265="047",Multipliers!C251,"oops")</f>
        <v>0.88</v>
      </c>
      <c r="R265" s="44">
        <f>IF(M265="Presque Isle",Multipliers!C58, "GOOF")</f>
        <v>0.95</v>
      </c>
      <c r="S265" s="46">
        <f>IF(N265="Standard",$O$5*Q265*$O$7,IF(N265="Severe",$O$4*Q265*$O$7,IF(N265="Hostile",$O$3*Q265*$O$7)))</f>
        <v>357343.20160000003</v>
      </c>
      <c r="T265" s="46">
        <f>IF(N265="Standard",$P$5*R265*$O$7,IF(N265="Severe",$P$4*R265*$O$7,IF(N265="Hostile",$P$3*R265*$O$7)))</f>
        <v>371425.84149999998</v>
      </c>
      <c r="U265" s="46">
        <f t="shared" ref="U265:U292" si="117">IF(O265="E",$T$3*T265,IF(O265="C",$T$4*T265,IF(O265="W",$T$5*T265,1)))</f>
        <v>382568.61674500001</v>
      </c>
      <c r="V265" s="46">
        <f t="shared" ref="V265:V292" si="118">(S265+U265)/2</f>
        <v>369955.90917250002</v>
      </c>
      <c r="W265" s="47">
        <f t="shared" si="116"/>
        <v>369955.90917250002</v>
      </c>
      <c r="X265" s="47"/>
      <c r="Y265" s="48">
        <f t="shared" ref="Y265:Y292" si="119">IF(N265="Standard",(((($Z$3*Q265)+($AD$3*R265*$T$5))/2)*$O$7),IF(N265="Severe",(((($AA$3*Q265)+($AE$3*R265*$T$5))/2)*$O$7),IF(N265="Hostile",(((($AB$3*Q265)+($AF$3*R265*$T$5))/2)*$O$7))))</f>
        <v>289391.73532500002</v>
      </c>
      <c r="Z265" s="48">
        <f t="shared" ref="Z265:Z292" si="120">IF(N265="Standard",(((($Z$4*Q265)+($AD$4*R265*$T$5))/2)*$O$7),IF(N265="Severe",(((($AA$4*Q265)+($AE$4*R265*$T$5))/2)*$O$7),IF(N265="Hostile",(((($AB$4*Q265)+($AF$4*R265*$T$5))/2)*$O$7))))</f>
        <v>319808.94676499994</v>
      </c>
      <c r="AA265" s="48">
        <f t="shared" si="113"/>
        <v>369955.90917250002</v>
      </c>
      <c r="AB265" s="48">
        <f t="shared" si="114"/>
        <v>400842.038695</v>
      </c>
      <c r="AC265" s="48">
        <f t="shared" si="115"/>
        <v>432138.49675499997</v>
      </c>
      <c r="AD265" s="1"/>
      <c r="AE265" s="1"/>
      <c r="AF265" s="1"/>
      <c r="AI265" s="9"/>
      <c r="AJ265" s="1"/>
      <c r="AK265" s="1"/>
      <c r="AL265" s="1"/>
      <c r="AM265" s="7"/>
      <c r="AN265" s="1"/>
      <c r="AO265" s="1"/>
      <c r="AP265" s="9"/>
      <c r="AQ265" s="3"/>
      <c r="AR265" s="4"/>
      <c r="AS265" s="1"/>
      <c r="AT265" s="1"/>
      <c r="AU265" s="1"/>
      <c r="AV265" s="1"/>
      <c r="AW265" s="1"/>
      <c r="AX265" s="3"/>
      <c r="AY265" s="3"/>
      <c r="AZ265" s="5"/>
      <c r="BA265" s="5"/>
      <c r="BB265" s="5"/>
      <c r="BC265" s="5"/>
      <c r="BD265" s="6"/>
      <c r="BE265" s="6"/>
      <c r="BF265" s="12"/>
      <c r="BG265" s="12"/>
      <c r="BH265" s="12"/>
      <c r="BI265" s="12"/>
      <c r="BJ265" s="12"/>
    </row>
    <row r="266" spans="2:62" x14ac:dyDescent="0.25">
      <c r="B266" s="1" t="s">
        <v>1980</v>
      </c>
      <c r="C266" s="1" t="s">
        <v>1992</v>
      </c>
      <c r="D266" s="1" t="s">
        <v>1190</v>
      </c>
      <c r="E266" s="1" t="s">
        <v>1993</v>
      </c>
      <c r="F266" s="7" t="s">
        <v>1996</v>
      </c>
      <c r="G266" s="1" t="s">
        <v>1997</v>
      </c>
      <c r="H266" s="1" t="s">
        <v>1998</v>
      </c>
      <c r="I266" s="7" t="s">
        <v>1917</v>
      </c>
      <c r="J266" s="44">
        <v>1</v>
      </c>
      <c r="K266" s="45">
        <v>1</v>
      </c>
      <c r="L266" s="1" t="s">
        <v>1999</v>
      </c>
      <c r="M266" s="1" t="s">
        <v>2000</v>
      </c>
      <c r="N266" s="1" t="s">
        <v>1140</v>
      </c>
      <c r="O266" s="1" t="s">
        <v>1920</v>
      </c>
      <c r="P266" s="1" t="s">
        <v>1190</v>
      </c>
      <c r="Q266" s="44">
        <f>IF(L266="044",Multipliers!C250,"oops")</f>
        <v>0.9</v>
      </c>
      <c r="R266" s="44">
        <f>IF(M266="Bangor",Multipliers!C57, "GOOF")</f>
        <v>1</v>
      </c>
      <c r="S266" s="46">
        <f>IF(N266="Standard",$O$5*Q266*$O$7,IF(N266="Severe",$O$4*Q266*$O$7,IF(N266="Hostile",$O$3*Q266*$O$7)))</f>
        <v>365464.63800000009</v>
      </c>
      <c r="T266" s="46">
        <f>IF(N266="Standard",$P$5*R266*$O$7,IF(N266="Severe",$P$4*R266*$O$7,IF(N266="Hostile",$P$3*R266*$O$7)))</f>
        <v>390974.57</v>
      </c>
      <c r="U266" s="46">
        <f t="shared" ref="U266:U275" si="121">IF(O266="E",$T$3*T266,IF(O266="C",$T$4*T266,IF(O266="W",$T$5*T266,1)))</f>
        <v>402703.80710000003</v>
      </c>
      <c r="V266" s="46">
        <f t="shared" ref="V266:V275" si="122">(S266+U266)/2</f>
        <v>384084.22255000006</v>
      </c>
      <c r="W266" s="47">
        <f t="shared" si="116"/>
        <v>384084.22255000006</v>
      </c>
      <c r="X266" s="47"/>
      <c r="Y266" s="48">
        <f t="shared" ref="Y266:Y275" si="123">IF(N266="Standard",(((($Z$3*Q266)+($AD$3*R266*$T$5))/2)*$O$7),IF(N266="Severe",(((($AA$3*Q266)+($AE$3*R266*$T$5))/2)*$O$7),IF(N266="Hostile",(((($AB$3*Q266)+($AF$3*R266*$T$5))/2)*$O$7))))</f>
        <v>300212.451</v>
      </c>
      <c r="Z266" s="48">
        <f t="shared" ref="Z266:Z275" si="124">IF(N266="Standard",(((($Z$4*Q266)+($AD$4*R266*$T$5))/2)*$O$7),IF(N266="Severe",(((($AA$4*Q266)+($AE$4*R266*$T$5))/2)*$O$7),IF(N266="Hostile",(((($AB$4*Q266)+($AF$4*R266*$T$5))/2)*$O$7))))</f>
        <v>331836.42870000005</v>
      </c>
      <c r="AA266" s="48">
        <f t="shared" si="113"/>
        <v>384084.22255000006</v>
      </c>
      <c r="AB266" s="48">
        <f t="shared" si="114"/>
        <v>416207.33560000005</v>
      </c>
      <c r="AC266" s="48">
        <f t="shared" si="115"/>
        <v>448713.52540000004</v>
      </c>
      <c r="AD266" s="1"/>
      <c r="AE266" s="1"/>
      <c r="AF266" s="1"/>
      <c r="AI266" s="9"/>
      <c r="AJ266" s="1"/>
      <c r="AK266" s="1"/>
      <c r="AL266" s="1"/>
      <c r="AM266" s="1"/>
      <c r="AN266" s="1"/>
      <c r="AO266" s="1"/>
      <c r="AP266" s="9"/>
      <c r="AQ266" s="3"/>
      <c r="AR266" s="4"/>
      <c r="AS266" s="1"/>
      <c r="AT266" s="1"/>
      <c r="AU266" s="1"/>
      <c r="AV266" s="1"/>
      <c r="AW266" s="1"/>
      <c r="AX266" s="3"/>
      <c r="AY266" s="3"/>
      <c r="AZ266" s="5"/>
      <c r="BA266" s="5"/>
      <c r="BB266" s="5"/>
      <c r="BC266" s="5"/>
      <c r="BD266" s="6"/>
      <c r="BE266" s="6"/>
      <c r="BF266" s="12"/>
      <c r="BG266" s="12"/>
      <c r="BH266" s="12"/>
      <c r="BI266" s="12"/>
      <c r="BJ266" s="12"/>
    </row>
    <row r="267" spans="2:62" x14ac:dyDescent="0.25">
      <c r="B267" s="1" t="s">
        <v>1980</v>
      </c>
      <c r="C267" s="1" t="s">
        <v>2001</v>
      </c>
      <c r="D267" s="1" t="s">
        <v>1190</v>
      </c>
      <c r="E267" s="1" t="s">
        <v>2002</v>
      </c>
      <c r="F267" s="1" t="s">
        <v>2003</v>
      </c>
      <c r="G267" s="1" t="s">
        <v>2004</v>
      </c>
      <c r="H267" s="1" t="s">
        <v>2005</v>
      </c>
      <c r="I267" s="7" t="s">
        <v>1917</v>
      </c>
      <c r="J267" s="44">
        <v>1</v>
      </c>
      <c r="K267" s="45">
        <v>1</v>
      </c>
      <c r="L267" s="1" t="s">
        <v>1999</v>
      </c>
      <c r="M267" s="1" t="s">
        <v>2000</v>
      </c>
      <c r="N267" s="1" t="s">
        <v>1140</v>
      </c>
      <c r="O267" s="1" t="s">
        <v>1920</v>
      </c>
      <c r="P267" s="1" t="s">
        <v>1190</v>
      </c>
      <c r="Q267" s="44">
        <f>IF(L267="044",Multipliers!C250,"oops")</f>
        <v>0.9</v>
      </c>
      <c r="R267" s="44">
        <f>IF(M267="Bangor",Multipliers!C57, "GOOF")</f>
        <v>1</v>
      </c>
      <c r="S267" s="46">
        <f>IF(N267="Standard",$O$5*Q267*$O$7,IF(N267="Severe",$O$4*Q267*$O$7,IF(N267="Hostile",$O$3*Q267*$O$7)))</f>
        <v>365464.63800000009</v>
      </c>
      <c r="T267" s="46">
        <f>IF(N267="Standard",$P$5*R267*$O$7,IF(N267="Severe",$P$4*R267*$O$7,IF(N267="Hostile",$P$3*R267*$O$7)))</f>
        <v>390974.57</v>
      </c>
      <c r="U267" s="46">
        <f t="shared" si="121"/>
        <v>402703.80710000003</v>
      </c>
      <c r="V267" s="46">
        <f t="shared" si="122"/>
        <v>384084.22255000006</v>
      </c>
      <c r="W267" s="47">
        <f t="shared" si="116"/>
        <v>384084.22255000006</v>
      </c>
      <c r="X267" s="47"/>
      <c r="Y267" s="48">
        <f t="shared" si="123"/>
        <v>300212.451</v>
      </c>
      <c r="Z267" s="48">
        <f t="shared" si="124"/>
        <v>331836.42870000005</v>
      </c>
      <c r="AA267" s="48">
        <f t="shared" si="113"/>
        <v>384084.22255000006</v>
      </c>
      <c r="AB267" s="48">
        <f t="shared" si="114"/>
        <v>416207.33560000005</v>
      </c>
      <c r="AC267" s="48">
        <f t="shared" si="115"/>
        <v>448713.52540000004</v>
      </c>
      <c r="AD267" s="1"/>
      <c r="AE267" s="1"/>
      <c r="AF267" s="1"/>
      <c r="AI267" s="9"/>
      <c r="AJ267" s="1"/>
      <c r="AK267" s="1"/>
      <c r="AL267" s="1"/>
      <c r="AM267" s="7"/>
      <c r="AN267" s="1"/>
      <c r="AO267" s="1"/>
      <c r="AP267" s="9"/>
      <c r="AQ267" s="3"/>
      <c r="AR267" s="4"/>
      <c r="AS267" s="1"/>
      <c r="AT267" s="1"/>
      <c r="AU267" s="1"/>
      <c r="AV267" s="1"/>
      <c r="AW267" s="1"/>
      <c r="AX267" s="3"/>
      <c r="AY267" s="3"/>
      <c r="AZ267" s="5"/>
      <c r="BA267" s="5"/>
      <c r="BB267" s="5"/>
      <c r="BC267" s="5"/>
      <c r="BD267" s="6"/>
      <c r="BE267" s="6"/>
      <c r="BF267" s="12"/>
      <c r="BG267" s="12"/>
      <c r="BH267" s="12"/>
      <c r="BI267" s="12"/>
      <c r="BJ267" s="12"/>
    </row>
    <row r="268" spans="2:62" x14ac:dyDescent="0.25">
      <c r="B268" s="1" t="s">
        <v>1980</v>
      </c>
      <c r="C268" s="1" t="s">
        <v>2006</v>
      </c>
      <c r="D268" s="1" t="s">
        <v>1190</v>
      </c>
      <c r="E268" s="1" t="s">
        <v>2007</v>
      </c>
      <c r="F268" s="7" t="s">
        <v>2008</v>
      </c>
      <c r="G268" s="1" t="s">
        <v>2009</v>
      </c>
      <c r="H268" s="1" t="s">
        <v>2010</v>
      </c>
      <c r="I268" s="7" t="s">
        <v>1917</v>
      </c>
      <c r="J268" s="44">
        <v>1</v>
      </c>
      <c r="K268" s="45">
        <v>1</v>
      </c>
      <c r="L268" s="1" t="s">
        <v>1999</v>
      </c>
      <c r="M268" s="1" t="s">
        <v>2000</v>
      </c>
      <c r="N268" s="1" t="s">
        <v>1140</v>
      </c>
      <c r="O268" s="1" t="s">
        <v>1920</v>
      </c>
      <c r="P268" s="1" t="s">
        <v>1190</v>
      </c>
      <c r="Q268" s="44">
        <f>IF(L268="044",Multipliers!C250,"oops")</f>
        <v>0.9</v>
      </c>
      <c r="R268" s="44">
        <f>IF(M268="Bangor",Multipliers!C57, "GOOF")</f>
        <v>1</v>
      </c>
      <c r="S268" s="46">
        <f t="shared" si="111"/>
        <v>365464.63800000009</v>
      </c>
      <c r="T268" s="46">
        <f t="shared" si="112"/>
        <v>390974.57</v>
      </c>
      <c r="U268" s="46">
        <f t="shared" si="121"/>
        <v>402703.80710000003</v>
      </c>
      <c r="V268" s="46">
        <f t="shared" si="122"/>
        <v>384084.22255000006</v>
      </c>
      <c r="W268" s="47">
        <f>IF(F268=F269,(V268+V269)/2,IF(F268=F267,(V268+V267)/2,IF(F268&lt;&gt;F267,V268)))</f>
        <v>384084.22255000006</v>
      </c>
      <c r="X268" s="47"/>
      <c r="Y268" s="48">
        <f t="shared" si="123"/>
        <v>300212.451</v>
      </c>
      <c r="Z268" s="48">
        <f t="shared" si="124"/>
        <v>331836.42870000005</v>
      </c>
      <c r="AA268" s="48">
        <f t="shared" si="113"/>
        <v>384084.22255000006</v>
      </c>
      <c r="AB268" s="48">
        <f t="shared" si="114"/>
        <v>416207.33560000005</v>
      </c>
      <c r="AC268" s="48">
        <f t="shared" si="115"/>
        <v>448713.52540000004</v>
      </c>
      <c r="AD268" s="1"/>
      <c r="AE268" s="1"/>
      <c r="AF268" s="1"/>
      <c r="AI268" s="9"/>
      <c r="AJ268" s="1"/>
      <c r="AK268" s="1"/>
      <c r="AL268" s="1"/>
      <c r="AM268" s="1"/>
      <c r="AN268" s="1"/>
      <c r="AO268" s="1"/>
      <c r="AP268" s="9"/>
      <c r="AQ268" s="3"/>
      <c r="AR268" s="4"/>
      <c r="AS268" s="1"/>
      <c r="AT268" s="1"/>
      <c r="AU268" s="1"/>
      <c r="AV268" s="1"/>
      <c r="AW268" s="1"/>
      <c r="AX268" s="3"/>
      <c r="AY268" s="3"/>
      <c r="AZ268" s="5"/>
      <c r="BA268" s="5"/>
      <c r="BB268" s="5"/>
      <c r="BC268" s="5"/>
      <c r="BD268" s="6"/>
      <c r="BE268" s="6"/>
      <c r="BF268" s="12"/>
      <c r="BG268" s="12"/>
      <c r="BH268" s="12"/>
      <c r="BI268" s="12"/>
      <c r="BJ268" s="12"/>
    </row>
    <row r="269" spans="2:62" x14ac:dyDescent="0.25">
      <c r="B269" s="1" t="s">
        <v>2011</v>
      </c>
      <c r="C269" s="1" t="s">
        <v>2012</v>
      </c>
      <c r="D269" s="1" t="s">
        <v>1190</v>
      </c>
      <c r="E269" s="1" t="s">
        <v>2013</v>
      </c>
      <c r="F269" s="1" t="s">
        <v>2014</v>
      </c>
      <c r="G269" s="1" t="s">
        <v>2015</v>
      </c>
      <c r="H269" s="1" t="s">
        <v>2016</v>
      </c>
      <c r="I269" s="7" t="s">
        <v>1917</v>
      </c>
      <c r="J269" s="44">
        <v>1</v>
      </c>
      <c r="K269" s="45">
        <v>1</v>
      </c>
      <c r="L269" s="1" t="s">
        <v>2017</v>
      </c>
      <c r="M269" s="1" t="s">
        <v>2018</v>
      </c>
      <c r="N269" s="1" t="s">
        <v>1140</v>
      </c>
      <c r="O269" s="1" t="s">
        <v>1959</v>
      </c>
      <c r="P269" s="1" t="s">
        <v>1190</v>
      </c>
      <c r="Q269" s="44">
        <f>IF(L269="497",Multipliers!C263,"oops")</f>
        <v>0.86</v>
      </c>
      <c r="R269" s="44">
        <f>IF(M269="Sault Ste. Mari",Multipliers!C71, "GOOF")</f>
        <v>0.99</v>
      </c>
      <c r="S269" s="46">
        <f t="shared" si="111"/>
        <v>349221.76520000008</v>
      </c>
      <c r="T269" s="46">
        <f t="shared" si="112"/>
        <v>387064.82429999998</v>
      </c>
      <c r="U269" s="46">
        <f t="shared" si="121"/>
        <v>375452.879571</v>
      </c>
      <c r="V269" s="46">
        <f t="shared" si="122"/>
        <v>362337.32238550007</v>
      </c>
      <c r="W269" s="47">
        <f>IF(F269=F270,(V269+V270)/2,IF(F269=F268,(V269+V268)/2,IF(F269&lt;&gt;F268,V269)))</f>
        <v>362337.32238550007</v>
      </c>
      <c r="X269" s="47"/>
      <c r="Y269" s="48">
        <f t="shared" si="123"/>
        <v>292014.84196499997</v>
      </c>
      <c r="Z269" s="48">
        <f t="shared" si="124"/>
        <v>322858.28343300003</v>
      </c>
      <c r="AA269" s="48">
        <f t="shared" ref="AA269:AA289" si="125">IF(N269="Standard",((($Z$5*Q269)+($AD$5*R269*$T$4))/2)*$O$7,IF(N269="Severe",((($AA$5*Q269)+($AE$5*R269*$T$4))/2)*$O$7,IF(N269="Hostile",((($AB$5*Q269)+($AF$5*R269*$T$4))/2)*$O$7)))</f>
        <v>362337.32238550007</v>
      </c>
      <c r="AB269" s="48">
        <f t="shared" ref="AB269:AB289" si="126">IF(N269="Standard",((($Z$6*Q269)+($AD$6*R269*$T$4))/2)*$O$7,IF(N269="Severe",((($AA$6*Q269)+($AE$6*R269*$T$4))/2)*$O$7,IF(N269="Hostile",((($AB$6*Q269)+($AF$6*R269*$T$4))/2)*$O$7)))</f>
        <v>392595.33840100002</v>
      </c>
      <c r="AC269" s="48">
        <f t="shared" ref="AC269:AC289" si="127">IF(N269="Standard",((($Z$7*Q269)+($AD$7*R269*$T$4))/2)*$O$7,IF(N269="Severe",((($AA$7*Q269)+($AE$7*R269*$T$4))/2)*$O$7,IF(N269="Hostile",((($AB$7*Q269)+($AF$7*R269*$T$4))/2)*$O$7)))</f>
        <v>423249.30890899996</v>
      </c>
      <c r="AD269" s="1"/>
      <c r="AE269" s="1"/>
      <c r="AF269" s="1"/>
      <c r="AI269" s="9"/>
      <c r="AJ269" s="1"/>
      <c r="AK269" s="1"/>
      <c r="AL269" s="1"/>
      <c r="AM269" s="1"/>
      <c r="AN269" s="1"/>
      <c r="AO269" s="1"/>
      <c r="AP269" s="9"/>
      <c r="AQ269" s="3"/>
      <c r="AR269" s="4"/>
      <c r="AS269" s="1"/>
      <c r="AT269" s="1"/>
      <c r="AU269" s="1"/>
      <c r="AV269" s="1"/>
      <c r="AW269" s="1"/>
      <c r="AX269" s="3"/>
      <c r="AY269" s="3"/>
      <c r="AZ269" s="5"/>
      <c r="BA269" s="5"/>
      <c r="BB269" s="5"/>
      <c r="BC269" s="5"/>
      <c r="BD269" s="6"/>
      <c r="BE269" s="6"/>
      <c r="BF269" s="12"/>
      <c r="BG269" s="12"/>
      <c r="BH269" s="12"/>
      <c r="BI269" s="12"/>
      <c r="BJ269" s="12"/>
    </row>
    <row r="270" spans="2:62" x14ac:dyDescent="0.25">
      <c r="B270" s="1" t="s">
        <v>2011</v>
      </c>
      <c r="C270" s="1" t="s">
        <v>2019</v>
      </c>
      <c r="D270" s="1" t="s">
        <v>1190</v>
      </c>
      <c r="E270" s="1" t="s">
        <v>2020</v>
      </c>
      <c r="F270" s="1" t="s">
        <v>2021</v>
      </c>
      <c r="G270" s="1" t="s">
        <v>2022</v>
      </c>
      <c r="H270" s="1" t="s">
        <v>2023</v>
      </c>
      <c r="I270" s="7" t="s">
        <v>1917</v>
      </c>
      <c r="J270" s="44">
        <v>1</v>
      </c>
      <c r="K270" s="45">
        <v>1</v>
      </c>
      <c r="L270" s="1" t="s">
        <v>2024</v>
      </c>
      <c r="M270" s="1" t="s">
        <v>2025</v>
      </c>
      <c r="N270" s="1" t="s">
        <v>1140</v>
      </c>
      <c r="O270" s="1" t="s">
        <v>1959</v>
      </c>
      <c r="P270" s="1" t="s">
        <v>1190</v>
      </c>
      <c r="Q270" s="44">
        <f>IF(L270="496",Multipliers!C262,"oops")</f>
        <v>0.82</v>
      </c>
      <c r="R270" s="44">
        <f>IF(M270="Traverse City",Multipliers!C72, "GOOF")</f>
        <v>1</v>
      </c>
      <c r="S270" s="46">
        <f t="shared" si="111"/>
        <v>332978.89240000001</v>
      </c>
      <c r="T270" s="46">
        <f t="shared" si="112"/>
        <v>390974.57</v>
      </c>
      <c r="U270" s="46">
        <f t="shared" si="121"/>
        <v>379245.33289999998</v>
      </c>
      <c r="V270" s="46">
        <f t="shared" si="122"/>
        <v>356112.11265000002</v>
      </c>
      <c r="W270" s="47">
        <f>IF(F270=F271,(V270+V271)/2,IF(F270=F269,(V270+V269)/2,IF(F270&lt;&gt;F269,V270)))</f>
        <v>356112.11265000002</v>
      </c>
      <c r="X270" s="47"/>
      <c r="Y270" s="48">
        <f t="shared" si="123"/>
        <v>286804.74900000001</v>
      </c>
      <c r="Z270" s="48">
        <f t="shared" si="124"/>
        <v>317230.54229999997</v>
      </c>
      <c r="AA270" s="48">
        <f>IF(N270="Standard",((($Z$5*Q270)+($AD$5*R270*$T$4))/2)*$O$7,IF(N270="Severe",((($AA$5*Q270)+($AE$5*R270*$T$4))/2)*$O$7,IF(N270="Hostile",((($AB$5*Q270)+($AF$5*R270*$T$4))/2)*$O$7)))</f>
        <v>356112.11264999997</v>
      </c>
      <c r="AB270" s="48">
        <f>IF(N270="Standard",((($Z$6*Q270)+($AD$6*R270*$T$4))/2)*$O$7,IF(N270="Severe",((($AA$6*Q270)+($AE$6*R270*$T$4))/2)*$O$7,IF(N270="Hostile",((($AB$6*Q270)+($AF$6*R270*$T$4))/2)*$O$7)))</f>
        <v>385956.81179999997</v>
      </c>
      <c r="AC270" s="48">
        <f>IF(N270="Standard",((($Z$7*Q270)+($AD$7*R270*$T$4))/2)*$O$7,IF(N270="Severe",((($AA$7*Q270)+($AE$7*R270*$T$4))/2)*$O$7,IF(N270="Hostile",((($AB$7*Q270)+($AF$7*R270*$T$4))/2)*$O$7)))</f>
        <v>416111.09119999997</v>
      </c>
      <c r="AD270" s="1"/>
      <c r="AE270" s="1"/>
      <c r="AF270" s="1"/>
      <c r="AI270" s="9"/>
      <c r="AJ270" s="1"/>
      <c r="AK270" s="1"/>
      <c r="AL270" s="1"/>
      <c r="AM270" s="1"/>
      <c r="AN270" s="1"/>
      <c r="AO270" s="1"/>
      <c r="AP270" s="9"/>
      <c r="AQ270" s="3"/>
      <c r="AR270" s="4"/>
      <c r="AS270" s="1"/>
      <c r="AT270" s="1"/>
      <c r="AU270" s="1"/>
      <c r="AV270" s="1"/>
      <c r="AW270" s="1"/>
      <c r="AX270" s="3"/>
      <c r="AY270" s="3"/>
      <c r="AZ270" s="5"/>
      <c r="BA270" s="5"/>
      <c r="BB270" s="5"/>
      <c r="BC270" s="5"/>
      <c r="BD270" s="6"/>
      <c r="BE270" s="6"/>
      <c r="BF270" s="12"/>
      <c r="BG270" s="12"/>
      <c r="BH270" s="12"/>
      <c r="BI270" s="12"/>
      <c r="BJ270" s="12"/>
    </row>
    <row r="271" spans="2:62" x14ac:dyDescent="0.25">
      <c r="B271" s="1" t="s">
        <v>2011</v>
      </c>
      <c r="C271" s="1" t="s">
        <v>2026</v>
      </c>
      <c r="D271" s="1" t="s">
        <v>1190</v>
      </c>
      <c r="E271" s="1" t="s">
        <v>2027</v>
      </c>
      <c r="F271" s="1" t="s">
        <v>2028</v>
      </c>
      <c r="G271" s="1" t="s">
        <v>2029</v>
      </c>
      <c r="H271" s="1" t="s">
        <v>2030</v>
      </c>
      <c r="I271" s="7" t="s">
        <v>1917</v>
      </c>
      <c r="J271" s="44">
        <v>1</v>
      </c>
      <c r="K271" s="45">
        <v>1</v>
      </c>
      <c r="L271" s="1" t="s">
        <v>2031</v>
      </c>
      <c r="M271" s="1" t="s">
        <v>2032</v>
      </c>
      <c r="N271" s="1" t="s">
        <v>1140</v>
      </c>
      <c r="O271" s="1" t="s">
        <v>1959</v>
      </c>
      <c r="P271" s="1" t="s">
        <v>1190</v>
      </c>
      <c r="Q271" s="44">
        <f>IF(L271="498",Multipliers!C264,"oops")</f>
        <v>0.86</v>
      </c>
      <c r="R271" s="44">
        <f>IF(M271="Escanaba",Multipliers!C66, "GOOF")</f>
        <v>0.97</v>
      </c>
      <c r="S271" s="46">
        <f t="shared" si="111"/>
        <v>349221.76520000008</v>
      </c>
      <c r="T271" s="46">
        <f t="shared" si="112"/>
        <v>379245.33289999998</v>
      </c>
      <c r="U271" s="46">
        <f t="shared" si="121"/>
        <v>367867.97291299998</v>
      </c>
      <c r="V271" s="46">
        <f t="shared" si="122"/>
        <v>358544.86905650003</v>
      </c>
      <c r="W271" s="47">
        <f>IF(F271=F272,(V271+V272)/2,IF(F271=F270,(V271+V270)/2,IF(F271&lt;&gt;F270,V271)))</f>
        <v>358544.86905650003</v>
      </c>
      <c r="X271" s="47"/>
      <c r="Y271" s="48">
        <f t="shared" si="123"/>
        <v>289027.32589500002</v>
      </c>
      <c r="Z271" s="48">
        <f t="shared" si="124"/>
        <v>319507.87929899996</v>
      </c>
      <c r="AA271" s="48">
        <f>IF(N271="Standard",((($Z$5*Q271)+($AD$5*R271*$T$4))/2)*$O$7,IF(N271="Severe",((($AA$5*Q271)+($AE$5*R271*$T$4))/2)*$O$7,IF(N271="Hostile",((($AB$5*Q271)+($AF$5*R271*$T$4))/2)*$O$7)))</f>
        <v>358544.86905650003</v>
      </c>
      <c r="AB271" s="48">
        <f>IF(N271="Standard",((($Z$6*Q271)+($AD$6*R271*$T$4))/2)*$O$7,IF(N271="Severe",((($AA$6*Q271)+($AE$6*R271*$T$4))/2)*$O$7,IF(N271="Hostile",((($AB$6*Q271)+($AF$6*R271*$T$4))/2)*$O$7)))</f>
        <v>388448.16800300003</v>
      </c>
      <c r="AC271" s="48">
        <f>IF(N271="Standard",((($Z$7*Q271)+($AD$7*R271*$T$4))/2)*$O$7,IF(N271="Severe",((($AA$7*Q271)+($AE$7*R271*$T$4))/2)*$O$7,IF(N271="Hostile",((($AB$7*Q271)+($AF$7*R271*$T$4))/2)*$O$7)))</f>
        <v>418771.67192699999</v>
      </c>
      <c r="AD271" s="1"/>
      <c r="AE271" s="1"/>
      <c r="AF271" s="1"/>
      <c r="AI271" s="9"/>
      <c r="AJ271" s="1"/>
      <c r="AK271" s="1"/>
      <c r="AL271" s="1"/>
      <c r="AM271" s="1"/>
      <c r="AN271" s="1"/>
      <c r="AO271" s="1"/>
      <c r="AP271" s="9"/>
      <c r="AQ271" s="3"/>
      <c r="AR271" s="4"/>
      <c r="AS271" s="1"/>
      <c r="AT271" s="1"/>
      <c r="AU271" s="1"/>
      <c r="AV271" s="1"/>
      <c r="AW271" s="1"/>
      <c r="AX271" s="3"/>
      <c r="AY271" s="3"/>
      <c r="AZ271" s="5"/>
      <c r="BA271" s="5"/>
      <c r="BB271" s="5"/>
      <c r="BC271" s="5"/>
      <c r="BD271" s="6"/>
      <c r="BE271" s="6"/>
      <c r="BF271" s="12"/>
      <c r="BG271" s="12"/>
      <c r="BH271" s="12"/>
      <c r="BI271" s="12"/>
      <c r="BJ271" s="12"/>
    </row>
    <row r="272" spans="2:62" x14ac:dyDescent="0.25">
      <c r="B272" s="1" t="s">
        <v>2011</v>
      </c>
      <c r="C272" s="1" t="s">
        <v>2033</v>
      </c>
      <c r="D272" s="1" t="s">
        <v>1190</v>
      </c>
      <c r="E272" s="1" t="s">
        <v>2034</v>
      </c>
      <c r="F272" s="1" t="s">
        <v>2035</v>
      </c>
      <c r="G272" s="1" t="s">
        <v>2036</v>
      </c>
      <c r="H272" s="1" t="s">
        <v>2037</v>
      </c>
      <c r="I272" s="7" t="s">
        <v>1917</v>
      </c>
      <c r="J272" s="44">
        <v>1</v>
      </c>
      <c r="K272" s="45">
        <v>1</v>
      </c>
      <c r="L272" s="1" t="s">
        <v>2038</v>
      </c>
      <c r="M272" s="1" t="s">
        <v>2039</v>
      </c>
      <c r="N272" s="1" t="s">
        <v>1140</v>
      </c>
      <c r="O272" s="1" t="s">
        <v>1959</v>
      </c>
      <c r="P272" s="1" t="s">
        <v>1190</v>
      </c>
      <c r="Q272" s="44">
        <f>IF(L272="490",Multipliers!C260,"oops")</f>
        <v>0.88</v>
      </c>
      <c r="R272" s="44">
        <f>IF(M272="Battle Creek",Multipliers!C64, "GOOF")</f>
        <v>1.01</v>
      </c>
      <c r="S272" s="46">
        <f t="shared" si="111"/>
        <v>357343.20160000003</v>
      </c>
      <c r="T272" s="46">
        <f t="shared" si="112"/>
        <v>394884.31570000004</v>
      </c>
      <c r="U272" s="46">
        <f t="shared" si="121"/>
        <v>383037.78622900002</v>
      </c>
      <c r="V272" s="46">
        <f t="shared" si="122"/>
        <v>370190.4939145</v>
      </c>
      <c r="W272" s="47">
        <f>IF(F272=F273,(V272+V273)/2,IF(F272=F271,(V272+V271)/2,IF(F272&lt;&gt;F271,V272)))</f>
        <v>370190.4939145</v>
      </c>
      <c r="X272" s="47"/>
      <c r="Y272" s="48">
        <f t="shared" si="123"/>
        <v>298354.283535</v>
      </c>
      <c r="Z272" s="48">
        <f t="shared" si="124"/>
        <v>329860.15916699998</v>
      </c>
      <c r="AA272" s="48">
        <f>IF(N272="Standard",((($Z$5*Q272)+($AD$5*R272*$T$4))/2)*$O$7,IF(N272="Severe",((($AA$5*Q272)+($AE$5*R272*$T$4))/2)*$O$7,IF(N272="Hostile",((($AB$5*Q272)+($AF$5*R272*$T$4))/2)*$O$7)))</f>
        <v>370190.4939145</v>
      </c>
      <c r="AB272" s="48">
        <f>IF(N272="Standard",((($Z$6*Q272)+($AD$6*R272*$T$4))/2)*$O$7,IF(N272="Severe",((($AA$6*Q272)+($AE$6*R272*$T$4))/2)*$O$7,IF(N272="Hostile",((($AB$6*Q272)+($AF$6*R272*$T$4))/2)*$O$7)))</f>
        <v>401098.56469900004</v>
      </c>
      <c r="AC272" s="48">
        <f>IF(N272="Standard",((($Z$7*Q272)+($AD$7*R272*$T$4))/2)*$O$7,IF(N272="Severe",((($AA$7*Q272)+($AE$7*R272*$T$4))/2)*$O$7,IF(N272="Hostile",((($AB$7*Q272)+($AF$7*R272*$T$4))/2)*$O$7)))</f>
        <v>432415.46399100003</v>
      </c>
      <c r="AD272" s="1"/>
      <c r="AE272" s="1"/>
      <c r="AF272" s="1"/>
      <c r="AI272" s="9"/>
      <c r="AJ272" s="1"/>
      <c r="AK272" s="1"/>
      <c r="AL272" s="1"/>
      <c r="AM272" s="1"/>
      <c r="AN272" s="1"/>
      <c r="AO272" s="1"/>
      <c r="AP272" s="9"/>
      <c r="AQ272" s="3"/>
      <c r="AR272" s="4"/>
      <c r="AS272" s="1"/>
      <c r="AT272" s="7"/>
      <c r="AU272" s="1"/>
      <c r="AV272" s="1"/>
      <c r="AW272" s="1"/>
      <c r="AX272" s="3"/>
      <c r="AY272" s="3"/>
      <c r="AZ272" s="5"/>
      <c r="BA272" s="5"/>
      <c r="BB272" s="5"/>
      <c r="BC272" s="5"/>
      <c r="BD272" s="6"/>
      <c r="BE272" s="6"/>
      <c r="BF272" s="12"/>
      <c r="BG272" s="12"/>
      <c r="BH272" s="12"/>
      <c r="BI272" s="12"/>
      <c r="BJ272" s="12"/>
    </row>
    <row r="273" spans="2:62" x14ac:dyDescent="0.25">
      <c r="B273" s="1" t="s">
        <v>2011</v>
      </c>
      <c r="C273" s="1" t="s">
        <v>2040</v>
      </c>
      <c r="D273" s="1" t="s">
        <v>1190</v>
      </c>
      <c r="E273" s="1" t="s">
        <v>2041</v>
      </c>
      <c r="F273" s="1" t="s">
        <v>2042</v>
      </c>
      <c r="G273" s="1" t="s">
        <v>2043</v>
      </c>
      <c r="H273" s="1" t="s">
        <v>2044</v>
      </c>
      <c r="I273" s="7" t="s">
        <v>1917</v>
      </c>
      <c r="J273" s="44">
        <v>1</v>
      </c>
      <c r="K273" s="45">
        <v>1</v>
      </c>
      <c r="L273" s="1" t="s">
        <v>2045</v>
      </c>
      <c r="M273" s="7" t="s">
        <v>2046</v>
      </c>
      <c r="N273" s="1" t="s">
        <v>1140</v>
      </c>
      <c r="O273" s="1" t="s">
        <v>1959</v>
      </c>
      <c r="P273" s="1" t="s">
        <v>1190</v>
      </c>
      <c r="Q273" s="44">
        <f>IF(L273="499",Multipliers!C265,"oops")</f>
        <v>0.86</v>
      </c>
      <c r="R273" s="44">
        <f>IF(M273="Marquette",Multipliers!C69, "GOOF")</f>
        <v>0.99</v>
      </c>
      <c r="S273" s="46">
        <f t="shared" ref="S273:S286" si="128">IF(N273="Standard",$O$5*Q273*$O$7,IF(N273="Severe",$O$4*Q273*$O$7,IF(N273="Hostile",$O$3*Q273*$O$7)))</f>
        <v>349221.76520000008</v>
      </c>
      <c r="T273" s="46">
        <f t="shared" ref="T273:T286" si="129">IF(N273="Standard",$P$5*R273*$O$7,IF(N273="Severe",$P$4*R273*$O$7,IF(N273="Hostile",$P$3*R273*$O$7)))</f>
        <v>387064.82429999998</v>
      </c>
      <c r="U273" s="46">
        <f t="shared" si="121"/>
        <v>375452.879571</v>
      </c>
      <c r="V273" s="46">
        <f t="shared" si="122"/>
        <v>362337.32238550007</v>
      </c>
      <c r="W273" s="47">
        <f t="shared" si="116"/>
        <v>362337.32238550007</v>
      </c>
      <c r="X273" s="47"/>
      <c r="Y273" s="48">
        <f t="shared" si="123"/>
        <v>292014.84196499997</v>
      </c>
      <c r="Z273" s="48">
        <f t="shared" si="124"/>
        <v>322858.28343300003</v>
      </c>
      <c r="AA273" s="48">
        <f t="shared" si="125"/>
        <v>362337.32238550007</v>
      </c>
      <c r="AB273" s="48">
        <f t="shared" si="126"/>
        <v>392595.33840100002</v>
      </c>
      <c r="AC273" s="48">
        <f t="shared" si="127"/>
        <v>423249.30890899996</v>
      </c>
      <c r="AD273" s="1"/>
      <c r="AE273" s="1"/>
      <c r="AF273" s="1"/>
      <c r="AI273" s="9"/>
      <c r="AJ273" s="1"/>
      <c r="AK273" s="1"/>
      <c r="AL273" s="1"/>
      <c r="AM273" s="1"/>
      <c r="AN273" s="1"/>
      <c r="AO273" s="1"/>
      <c r="AP273" s="9"/>
      <c r="AQ273" s="3"/>
      <c r="AR273" s="4"/>
      <c r="AS273" s="1"/>
      <c r="AT273" s="1"/>
      <c r="AU273" s="1"/>
      <c r="AV273" s="1"/>
      <c r="AW273" s="1"/>
      <c r="AX273" s="3"/>
      <c r="AY273" s="3"/>
      <c r="AZ273" s="5"/>
      <c r="BA273" s="5"/>
      <c r="BB273" s="5"/>
      <c r="BC273" s="5"/>
      <c r="BD273" s="6"/>
      <c r="BE273" s="6"/>
      <c r="BF273" s="12"/>
      <c r="BG273" s="12"/>
      <c r="BH273" s="12"/>
      <c r="BI273" s="12"/>
      <c r="BJ273" s="12"/>
    </row>
    <row r="274" spans="2:62" x14ac:dyDescent="0.25">
      <c r="B274" s="1" t="s">
        <v>2011</v>
      </c>
      <c r="C274" s="1" t="s">
        <v>2047</v>
      </c>
      <c r="D274" s="1" t="s">
        <v>1190</v>
      </c>
      <c r="E274" s="1" t="s">
        <v>2048</v>
      </c>
      <c r="F274" s="1" t="s">
        <v>2049</v>
      </c>
      <c r="G274" s="1" t="s">
        <v>2050</v>
      </c>
      <c r="H274" s="1" t="s">
        <v>2051</v>
      </c>
      <c r="I274" s="7" t="s">
        <v>1917</v>
      </c>
      <c r="J274" s="44">
        <v>1</v>
      </c>
      <c r="K274" s="45">
        <v>1</v>
      </c>
      <c r="L274" s="1" t="s">
        <v>2045</v>
      </c>
      <c r="M274" s="1" t="s">
        <v>2052</v>
      </c>
      <c r="N274" s="1" t="s">
        <v>1140</v>
      </c>
      <c r="O274" s="1" t="s">
        <v>1959</v>
      </c>
      <c r="P274" s="1" t="s">
        <v>1190</v>
      </c>
      <c r="Q274" s="44">
        <f>IF(L274="499",Multipliers!C265,"oops")</f>
        <v>0.86</v>
      </c>
      <c r="R274" s="44">
        <f>IF(M274="Ishpeming",Multipliers!C68, "GOOF")</f>
        <v>0.99</v>
      </c>
      <c r="S274" s="46">
        <f t="shared" si="128"/>
        <v>349221.76520000008</v>
      </c>
      <c r="T274" s="46">
        <f t="shared" si="129"/>
        <v>387064.82429999998</v>
      </c>
      <c r="U274" s="46">
        <f t="shared" si="121"/>
        <v>375452.879571</v>
      </c>
      <c r="V274" s="46">
        <f t="shared" si="122"/>
        <v>362337.32238550007</v>
      </c>
      <c r="W274" s="47">
        <f t="shared" si="116"/>
        <v>362337.32238550007</v>
      </c>
      <c r="X274" s="47"/>
      <c r="Y274" s="48">
        <f t="shared" si="123"/>
        <v>292014.84196499997</v>
      </c>
      <c r="Z274" s="48">
        <f t="shared" si="124"/>
        <v>322858.28343300003</v>
      </c>
      <c r="AA274" s="48">
        <f t="shared" si="125"/>
        <v>362337.32238550007</v>
      </c>
      <c r="AB274" s="48">
        <f t="shared" si="126"/>
        <v>392595.33840100002</v>
      </c>
      <c r="AC274" s="48">
        <f t="shared" si="127"/>
        <v>423249.30890899996</v>
      </c>
      <c r="AD274" s="1"/>
      <c r="AE274" s="1"/>
      <c r="AF274" s="1"/>
      <c r="AI274" s="9"/>
      <c r="AJ274" s="1"/>
      <c r="AK274" s="1"/>
      <c r="AL274" s="1"/>
      <c r="AM274" s="1"/>
      <c r="AN274" s="1"/>
      <c r="AO274" s="1"/>
      <c r="AP274" s="9"/>
      <c r="AQ274" s="3"/>
      <c r="AR274" s="4"/>
      <c r="AS274" s="7"/>
      <c r="AT274" s="1"/>
      <c r="AU274" s="1"/>
      <c r="AV274" s="1"/>
      <c r="AW274" s="1"/>
      <c r="AX274" s="3"/>
      <c r="AY274" s="3"/>
      <c r="AZ274" s="5"/>
      <c r="BA274" s="5"/>
      <c r="BB274" s="5"/>
      <c r="BC274" s="5"/>
      <c r="BD274" s="6"/>
      <c r="BE274" s="6"/>
      <c r="BF274" s="12"/>
      <c r="BG274" s="12"/>
      <c r="BH274" s="12"/>
      <c r="BI274" s="12"/>
      <c r="BJ274" s="12"/>
    </row>
    <row r="275" spans="2:62" x14ac:dyDescent="0.25">
      <c r="B275" s="1" t="s">
        <v>2011</v>
      </c>
      <c r="C275" s="1" t="s">
        <v>2053</v>
      </c>
      <c r="D275" s="1" t="s">
        <v>1190</v>
      </c>
      <c r="E275" s="1" t="s">
        <v>1962</v>
      </c>
      <c r="F275" s="1" t="s">
        <v>2054</v>
      </c>
      <c r="G275" s="1" t="s">
        <v>1190</v>
      </c>
      <c r="H275" s="1" t="s">
        <v>1190</v>
      </c>
      <c r="I275" s="7" t="s">
        <v>1917</v>
      </c>
      <c r="J275" s="44">
        <v>1</v>
      </c>
      <c r="K275" s="45">
        <v>1</v>
      </c>
      <c r="L275" s="7" t="s">
        <v>2024</v>
      </c>
      <c r="M275" s="1" t="s">
        <v>2025</v>
      </c>
      <c r="N275" s="1" t="s">
        <v>1140</v>
      </c>
      <c r="O275" s="1" t="s">
        <v>1959</v>
      </c>
      <c r="P275" s="1" t="s">
        <v>1190</v>
      </c>
      <c r="Q275" s="44">
        <f>IF(L275="496",Multipliers!C262,"oops")</f>
        <v>0.82</v>
      </c>
      <c r="R275" s="44">
        <f>IF(M275="Traverse City",Multipliers!C72, "GOOF")</f>
        <v>1</v>
      </c>
      <c r="S275" s="46">
        <f t="shared" si="128"/>
        <v>332978.89240000001</v>
      </c>
      <c r="T275" s="46">
        <f t="shared" si="129"/>
        <v>390974.57</v>
      </c>
      <c r="U275" s="46">
        <f t="shared" si="121"/>
        <v>379245.33289999998</v>
      </c>
      <c r="V275" s="46">
        <f t="shared" si="122"/>
        <v>356112.11265000002</v>
      </c>
      <c r="W275" s="47">
        <f t="shared" si="116"/>
        <v>356112.11265000002</v>
      </c>
      <c r="X275" s="47"/>
      <c r="Y275" s="48">
        <f t="shared" si="123"/>
        <v>286804.74900000001</v>
      </c>
      <c r="Z275" s="48">
        <f t="shared" si="124"/>
        <v>317230.54229999997</v>
      </c>
      <c r="AA275" s="48">
        <f t="shared" si="125"/>
        <v>356112.11264999997</v>
      </c>
      <c r="AB275" s="48">
        <f t="shared" si="126"/>
        <v>385956.81179999997</v>
      </c>
      <c r="AC275" s="48">
        <f t="shared" si="127"/>
        <v>416111.09119999997</v>
      </c>
      <c r="AD275" s="1"/>
      <c r="AE275" s="1"/>
      <c r="AF275" s="1"/>
      <c r="AI275" s="9"/>
      <c r="AJ275" s="1"/>
      <c r="AK275" s="1"/>
      <c r="AL275" s="1"/>
      <c r="AM275" s="1"/>
      <c r="AN275" s="1"/>
      <c r="AO275" s="1"/>
      <c r="AP275" s="9"/>
      <c r="AQ275" s="3"/>
      <c r="AR275" s="4"/>
      <c r="AS275" s="1"/>
      <c r="AT275" s="1"/>
      <c r="AU275" s="1"/>
      <c r="AV275" s="1"/>
      <c r="AW275" s="1"/>
      <c r="AX275" s="3"/>
      <c r="AY275" s="3"/>
      <c r="AZ275" s="5"/>
      <c r="BA275" s="5"/>
      <c r="BB275" s="5"/>
      <c r="BC275" s="5"/>
      <c r="BD275" s="6"/>
      <c r="BE275" s="6"/>
      <c r="BF275" s="12"/>
      <c r="BG275" s="12"/>
      <c r="BH275" s="12"/>
      <c r="BI275" s="12"/>
      <c r="BJ275" s="12"/>
    </row>
    <row r="276" spans="2:62" x14ac:dyDescent="0.25">
      <c r="B276" s="1" t="s">
        <v>2011</v>
      </c>
      <c r="C276" s="1" t="s">
        <v>2055</v>
      </c>
      <c r="D276" s="1" t="s">
        <v>1190</v>
      </c>
      <c r="E276" s="1" t="s">
        <v>1962</v>
      </c>
      <c r="F276" s="1" t="s">
        <v>2056</v>
      </c>
      <c r="G276" s="1" t="s">
        <v>1190</v>
      </c>
      <c r="H276" s="1" t="s">
        <v>1190</v>
      </c>
      <c r="I276" s="7" t="s">
        <v>1917</v>
      </c>
      <c r="J276" s="44">
        <v>1</v>
      </c>
      <c r="K276" s="45">
        <v>1</v>
      </c>
      <c r="L276" s="1" t="s">
        <v>2017</v>
      </c>
      <c r="M276" s="1" t="s">
        <v>2025</v>
      </c>
      <c r="N276" s="1" t="s">
        <v>1140</v>
      </c>
      <c r="O276" s="1" t="s">
        <v>1959</v>
      </c>
      <c r="P276" s="1" t="s">
        <v>1190</v>
      </c>
      <c r="Q276" s="44">
        <f>IF(L276="497",Multipliers!C263,"oops")</f>
        <v>0.86</v>
      </c>
      <c r="R276" s="44">
        <f>IF(M276="Traverse City",Multipliers!C72, "GOOF")</f>
        <v>1</v>
      </c>
      <c r="S276" s="46">
        <f t="shared" si="128"/>
        <v>349221.76520000008</v>
      </c>
      <c r="T276" s="46">
        <f t="shared" si="129"/>
        <v>390974.57</v>
      </c>
      <c r="U276" s="46">
        <f t="shared" si="117"/>
        <v>379245.33289999998</v>
      </c>
      <c r="V276" s="46">
        <f t="shared" si="118"/>
        <v>364233.54905000003</v>
      </c>
      <c r="W276" s="47">
        <f>IF(F276=F278,(V276+V278)/2,IF(F276=F275,(V276+V275)/2,IF(F276&lt;&gt;F275,V276)))</f>
        <v>364233.54905000003</v>
      </c>
      <c r="X276" s="47"/>
      <c r="Y276" s="48">
        <f t="shared" si="119"/>
        <v>293508.60000000003</v>
      </c>
      <c r="Z276" s="48">
        <f t="shared" si="120"/>
        <v>324533.48550000001</v>
      </c>
      <c r="AA276" s="48">
        <f t="shared" si="125"/>
        <v>364233.54905000003</v>
      </c>
      <c r="AB276" s="48">
        <f t="shared" si="126"/>
        <v>394668.92359999998</v>
      </c>
      <c r="AC276" s="48">
        <f t="shared" si="127"/>
        <v>425488.1274</v>
      </c>
      <c r="AD276" s="1"/>
      <c r="AE276" s="1"/>
      <c r="AF276" s="1"/>
      <c r="AI276" s="9"/>
      <c r="AJ276" s="1"/>
      <c r="AK276" s="1"/>
      <c r="AL276" s="1"/>
      <c r="AM276" s="1"/>
      <c r="AN276" s="1"/>
      <c r="AO276" s="1"/>
      <c r="AP276" s="9"/>
      <c r="AQ276" s="3"/>
      <c r="AR276" s="4"/>
      <c r="AS276" s="1"/>
      <c r="AT276" s="1"/>
      <c r="AU276" s="1"/>
      <c r="AV276" s="1"/>
      <c r="AW276" s="1"/>
      <c r="AX276" s="3"/>
      <c r="AY276" s="3"/>
      <c r="AZ276" s="5"/>
      <c r="BA276" s="5"/>
      <c r="BB276" s="5"/>
      <c r="BC276" s="5"/>
      <c r="BD276" s="6"/>
      <c r="BE276" s="6"/>
      <c r="BF276" s="12"/>
      <c r="BG276" s="12"/>
      <c r="BH276" s="12"/>
      <c r="BI276" s="12"/>
      <c r="BJ276" s="12"/>
    </row>
    <row r="277" spans="2:62" x14ac:dyDescent="0.25">
      <c r="B277" s="1" t="s">
        <v>2011</v>
      </c>
      <c r="C277" s="1"/>
      <c r="D277" s="1"/>
      <c r="E277" s="1"/>
      <c r="F277" s="1" t="s">
        <v>2057</v>
      </c>
      <c r="G277" s="1"/>
      <c r="H277" s="1"/>
      <c r="I277" s="7" t="s">
        <v>1917</v>
      </c>
      <c r="J277" s="44">
        <v>1</v>
      </c>
      <c r="K277" s="45">
        <v>1</v>
      </c>
      <c r="L277" s="7" t="s">
        <v>2058</v>
      </c>
      <c r="M277" s="1" t="s">
        <v>2059</v>
      </c>
      <c r="N277" s="1" t="s">
        <v>1140</v>
      </c>
      <c r="O277" s="1" t="s">
        <v>1959</v>
      </c>
      <c r="P277" s="1"/>
      <c r="Q277" s="44">
        <f>IF(L277="493",Multipliers!C261,"oops")</f>
        <v>0.88</v>
      </c>
      <c r="R277" s="44">
        <f>IF(M277="Grand Rapids",Multipliers!C67, "GOOF")</f>
        <v>1</v>
      </c>
      <c r="S277" s="46">
        <f t="shared" si="128"/>
        <v>357343.20160000003</v>
      </c>
      <c r="T277" s="46">
        <f t="shared" si="129"/>
        <v>390974.57</v>
      </c>
      <c r="U277" s="46">
        <f>IF(O277="E",$T$3*T277,IF(O277="C",$T$4*T277,IF(O277="W",$T$5*T277,1)))</f>
        <v>379245.33289999998</v>
      </c>
      <c r="V277" s="46">
        <f>(S277+U277)/2</f>
        <v>368294.26725000003</v>
      </c>
      <c r="W277" s="47">
        <f>IF(F277=F279,(V277+V279)/2,IF(F277=F276,(V277+V276)/2,IF(F277&lt;&gt;F276,V277)))</f>
        <v>368294.26725000003</v>
      </c>
      <c r="X277" s="47"/>
      <c r="Y277" s="48">
        <f>IF(N277="Standard",(((($Z$3*Q277)+($AD$3*R277*$T$5))/2)*$O$7),IF(N277="Severe",(((($AA$3*Q277)+($AE$3*R277*$T$5))/2)*$O$7),IF(N277="Hostile",(((($AB$3*Q277)+($AF$3*R277*$T$5))/2)*$O$7))))</f>
        <v>296860.52549999999</v>
      </c>
      <c r="Z277" s="48">
        <f>IF(N277="Standard",(((($Z$4*Q277)+($AD$4*R277*$T$5))/2)*$O$7),IF(N277="Severe",(((($AA$4*Q277)+($AE$4*R277*$T$5))/2)*$O$7),IF(N277="Hostile",(((($AB$4*Q277)+($AF$4*R277*$T$5))/2)*$O$7))))</f>
        <v>328184.9571</v>
      </c>
      <c r="AA277" s="48">
        <f>IF(N277="Standard",((($Z$5*Q277)+($AD$5*R277*$T$4))/2)*$O$7,IF(N277="Severe",((($AA$5*Q277)+($AE$5*R277*$T$4))/2)*$O$7,IF(N277="Hostile",((($AB$5*Q277)+($AF$5*R277*$T$4))/2)*$O$7)))</f>
        <v>368294.26725000003</v>
      </c>
      <c r="AB277" s="48">
        <f>IF(N277="Standard",((($Z$6*Q277)+($AD$6*R277*$T$4))/2)*$O$7,IF(N277="Severe",((($AA$6*Q277)+($AE$6*R277*$T$4))/2)*$O$7,IF(N277="Hostile",((($AB$6*Q277)+($AF$6*R277*$T$4))/2)*$O$7)))</f>
        <v>399024.97950000002</v>
      </c>
      <c r="AC277" s="48">
        <f>IF(N277="Standard",((($Z$7*Q277)+($AD$7*R277*$T$4))/2)*$O$7,IF(N277="Severe",((($AA$7*Q277)+($AE$7*R277*$T$4))/2)*$O$7,IF(N277="Hostile",((($AB$7*Q277)+($AF$7*R277*$T$4))/2)*$O$7)))</f>
        <v>430176.64549999998</v>
      </c>
      <c r="AD277" s="1"/>
      <c r="AE277" s="1"/>
      <c r="AF277" s="1"/>
      <c r="AI277" s="9"/>
      <c r="AJ277" s="1"/>
      <c r="AK277" s="1"/>
      <c r="AL277" s="1"/>
      <c r="AM277" s="1"/>
      <c r="AN277" s="1"/>
      <c r="AO277" s="1"/>
      <c r="AP277" s="9"/>
      <c r="AQ277" s="3"/>
      <c r="AR277" s="4"/>
      <c r="AS277" s="1"/>
      <c r="AT277" s="1"/>
      <c r="AU277" s="1"/>
      <c r="AV277" s="1"/>
      <c r="AW277" s="1"/>
      <c r="AX277" s="3"/>
      <c r="AY277" s="3"/>
      <c r="AZ277" s="5"/>
      <c r="BA277" s="5"/>
      <c r="BB277" s="5"/>
      <c r="BC277" s="5"/>
      <c r="BD277" s="6"/>
      <c r="BE277" s="6"/>
      <c r="BF277" s="12"/>
      <c r="BG277" s="12"/>
      <c r="BH277" s="12"/>
      <c r="BI277" s="12"/>
      <c r="BJ277" s="12"/>
    </row>
    <row r="278" spans="2:62" x14ac:dyDescent="0.25">
      <c r="B278" s="1" t="s">
        <v>2011</v>
      </c>
      <c r="C278" s="1" t="s">
        <v>1961</v>
      </c>
      <c r="D278" s="1" t="s">
        <v>1190</v>
      </c>
      <c r="E278" s="1" t="s">
        <v>1962</v>
      </c>
      <c r="F278" s="1" t="s">
        <v>1963</v>
      </c>
      <c r="G278" s="1" t="s">
        <v>1964</v>
      </c>
      <c r="H278" s="1" t="s">
        <v>1965</v>
      </c>
      <c r="I278" s="7" t="s">
        <v>1917</v>
      </c>
      <c r="J278" s="44">
        <v>1</v>
      </c>
      <c r="K278" s="45">
        <v>1</v>
      </c>
      <c r="L278" s="1" t="s">
        <v>2038</v>
      </c>
      <c r="M278" s="1" t="s">
        <v>2060</v>
      </c>
      <c r="N278" s="1" t="s">
        <v>1140</v>
      </c>
      <c r="O278" s="1" t="s">
        <v>1959</v>
      </c>
      <c r="P278" s="1" t="s">
        <v>1190</v>
      </c>
      <c r="Q278" s="44">
        <f>IF(L278="490",Multipliers!C260,"oops")</f>
        <v>0.88</v>
      </c>
      <c r="R278" s="44">
        <f>IF(M278="Niles",Multipliers!C70, "GOOF")</f>
        <v>1.07</v>
      </c>
      <c r="S278" s="46">
        <f t="shared" si="128"/>
        <v>357343.20160000003</v>
      </c>
      <c r="T278" s="46">
        <f t="shared" si="129"/>
        <v>418342.78990000009</v>
      </c>
      <c r="U278" s="46">
        <f t="shared" si="117"/>
        <v>405792.50620300008</v>
      </c>
      <c r="V278" s="46">
        <f t="shared" si="118"/>
        <v>381567.85390150006</v>
      </c>
      <c r="W278" s="47">
        <f>IF(F278=F279,(V278+V279)/2,IF(F278=F276,(V278+V276)/2,IF(F278&lt;&gt;F276,V278)))</f>
        <v>381567.85390150006</v>
      </c>
      <c r="X278" s="47"/>
      <c r="Y278" s="48">
        <f t="shared" si="119"/>
        <v>307316.83174499997</v>
      </c>
      <c r="Z278" s="48">
        <f t="shared" si="120"/>
        <v>339911.37156900001</v>
      </c>
      <c r="AA278" s="48">
        <f t="shared" si="125"/>
        <v>381567.85390150012</v>
      </c>
      <c r="AB278" s="48">
        <f t="shared" si="126"/>
        <v>413540.075893</v>
      </c>
      <c r="AC278" s="48">
        <f t="shared" si="127"/>
        <v>445848.37493700004</v>
      </c>
      <c r="AD278" s="1"/>
      <c r="AE278" s="1"/>
      <c r="AF278" s="1"/>
      <c r="AI278" s="9"/>
      <c r="AJ278" s="1"/>
      <c r="AK278" s="1"/>
      <c r="AL278" s="1"/>
      <c r="AM278" s="1"/>
      <c r="AN278" s="1"/>
      <c r="AO278" s="1"/>
      <c r="AP278" s="9"/>
      <c r="AQ278" s="3"/>
      <c r="AR278" s="4"/>
      <c r="AS278" s="1"/>
      <c r="AT278" s="1"/>
      <c r="AU278" s="1"/>
      <c r="AV278" s="1"/>
      <c r="AW278" s="1"/>
      <c r="AX278" s="3"/>
      <c r="AY278" s="3"/>
      <c r="AZ278" s="5"/>
      <c r="BA278" s="5"/>
      <c r="BB278" s="5"/>
      <c r="BC278" s="5"/>
      <c r="BD278" s="6"/>
      <c r="BE278" s="6"/>
      <c r="BF278" s="12"/>
      <c r="BG278" s="12"/>
      <c r="BH278" s="12"/>
      <c r="BI278" s="12"/>
      <c r="BJ278" s="12"/>
    </row>
    <row r="279" spans="2:62" x14ac:dyDescent="0.25">
      <c r="B279" s="1" t="s">
        <v>2011</v>
      </c>
      <c r="C279" s="1" t="s">
        <v>2061</v>
      </c>
      <c r="D279" s="1" t="s">
        <v>1190</v>
      </c>
      <c r="E279" s="1" t="s">
        <v>2062</v>
      </c>
      <c r="F279" s="1" t="s">
        <v>2063</v>
      </c>
      <c r="G279" s="1" t="s">
        <v>2064</v>
      </c>
      <c r="H279" s="1" t="s">
        <v>2065</v>
      </c>
      <c r="I279" s="7" t="s">
        <v>1917</v>
      </c>
      <c r="J279" s="44">
        <v>1</v>
      </c>
      <c r="K279" s="45">
        <v>1</v>
      </c>
      <c r="L279" s="1" t="s">
        <v>2066</v>
      </c>
      <c r="M279" s="1" t="s">
        <v>2067</v>
      </c>
      <c r="N279" s="1" t="s">
        <v>1140</v>
      </c>
      <c r="O279" s="1" t="s">
        <v>1959</v>
      </c>
      <c r="P279" s="1" t="s">
        <v>1190</v>
      </c>
      <c r="Q279" s="44">
        <f>IF(L279="486",Multipliers!C259,"oops")</f>
        <v>0.89</v>
      </c>
      <c r="R279" s="44">
        <f>IF(M279="Bay City",Multipliers!C65, "GOOF")</f>
        <v>1.04</v>
      </c>
      <c r="S279" s="46">
        <f t="shared" si="128"/>
        <v>361403.91980000003</v>
      </c>
      <c r="T279" s="46">
        <f t="shared" si="129"/>
        <v>406613.55280000006</v>
      </c>
      <c r="U279" s="46">
        <f t="shared" si="117"/>
        <v>394415.14621600002</v>
      </c>
      <c r="V279" s="46">
        <f t="shared" si="118"/>
        <v>377909.533008</v>
      </c>
      <c r="W279" s="47">
        <f t="shared" si="116"/>
        <v>377909.533008</v>
      </c>
      <c r="X279" s="47"/>
      <c r="Y279" s="48">
        <f t="shared" si="119"/>
        <v>304511.52039000002</v>
      </c>
      <c r="Z279" s="48">
        <f t="shared" si="120"/>
        <v>336711.50116799999</v>
      </c>
      <c r="AA279" s="48">
        <f t="shared" si="125"/>
        <v>377909.53300800006</v>
      </c>
      <c r="AB279" s="48">
        <f t="shared" si="126"/>
        <v>409497.34824600001</v>
      </c>
      <c r="AC279" s="48">
        <f t="shared" si="127"/>
        <v>441476.17851400003</v>
      </c>
      <c r="AD279" s="1"/>
      <c r="AE279" s="1"/>
      <c r="AF279" s="1"/>
      <c r="AI279" s="9"/>
      <c r="AJ279" s="1"/>
      <c r="AK279" s="1"/>
      <c r="AL279" s="1"/>
      <c r="AM279" s="1"/>
      <c r="AN279" s="1"/>
      <c r="AO279" s="1"/>
      <c r="AP279" s="9"/>
      <c r="AQ279" s="3"/>
      <c r="AR279" s="4"/>
      <c r="AS279" s="1"/>
      <c r="AT279" s="1"/>
      <c r="AU279" s="1"/>
      <c r="AV279" s="1"/>
      <c r="AW279" s="1"/>
      <c r="AX279" s="3"/>
      <c r="AY279" s="3"/>
      <c r="AZ279" s="5"/>
      <c r="BA279" s="5"/>
      <c r="BB279" s="5"/>
      <c r="BC279" s="5"/>
      <c r="BD279" s="6"/>
      <c r="BE279" s="6"/>
      <c r="BF279" s="12"/>
      <c r="BG279" s="12"/>
      <c r="BH279" s="12"/>
      <c r="BI279" s="12"/>
      <c r="BJ279" s="12"/>
    </row>
    <row r="280" spans="2:62" x14ac:dyDescent="0.25">
      <c r="B280" s="1" t="s">
        <v>2011</v>
      </c>
      <c r="C280" s="1" t="s">
        <v>2068</v>
      </c>
      <c r="D280" s="1" t="s">
        <v>1190</v>
      </c>
      <c r="E280" s="1" t="s">
        <v>2069</v>
      </c>
      <c r="F280" s="1" t="s">
        <v>2070</v>
      </c>
      <c r="G280" s="1" t="s">
        <v>2071</v>
      </c>
      <c r="H280" s="1" t="s">
        <v>2072</v>
      </c>
      <c r="I280" s="7" t="s">
        <v>1917</v>
      </c>
      <c r="J280" s="44">
        <v>1</v>
      </c>
      <c r="K280" s="45">
        <v>1</v>
      </c>
      <c r="L280" s="1" t="s">
        <v>2017</v>
      </c>
      <c r="M280" s="1" t="s">
        <v>2018</v>
      </c>
      <c r="N280" s="1" t="s">
        <v>1140</v>
      </c>
      <c r="O280" s="1" t="s">
        <v>1959</v>
      </c>
      <c r="P280" s="1" t="s">
        <v>1190</v>
      </c>
      <c r="Q280" s="44">
        <f>IF(L280="497",Multipliers!C263,"oops")</f>
        <v>0.86</v>
      </c>
      <c r="R280" s="44">
        <f>IF(M280="Sault Ste. Mari",Multipliers!C71, "GOOF")</f>
        <v>0.99</v>
      </c>
      <c r="S280" s="46">
        <f t="shared" si="128"/>
        <v>349221.76520000008</v>
      </c>
      <c r="T280" s="46">
        <f t="shared" si="129"/>
        <v>387064.82429999998</v>
      </c>
      <c r="U280" s="46">
        <f t="shared" si="117"/>
        <v>375452.879571</v>
      </c>
      <c r="V280" s="46">
        <f t="shared" si="118"/>
        <v>362337.32238550007</v>
      </c>
      <c r="W280" s="47">
        <f>IF(F280=F281,(V280+V281)/2,IF(F280=F279,(V280+V279)/2,IF(F280&lt;&gt;F279,V280)))</f>
        <v>362337.32238550007</v>
      </c>
      <c r="X280" s="47"/>
      <c r="Y280" s="48">
        <f t="shared" si="119"/>
        <v>292014.84196499997</v>
      </c>
      <c r="Z280" s="48">
        <f t="shared" si="120"/>
        <v>322858.28343300003</v>
      </c>
      <c r="AA280" s="48">
        <f t="shared" si="125"/>
        <v>362337.32238550007</v>
      </c>
      <c r="AB280" s="48">
        <f t="shared" si="126"/>
        <v>392595.33840100002</v>
      </c>
      <c r="AC280" s="48">
        <f t="shared" si="127"/>
        <v>423249.30890899996</v>
      </c>
      <c r="AD280" s="1"/>
      <c r="AE280" s="1"/>
      <c r="AF280" s="1"/>
      <c r="AI280" s="9"/>
      <c r="AJ280" s="1"/>
      <c r="AK280" s="1"/>
      <c r="AL280" s="1"/>
      <c r="AM280" s="7"/>
      <c r="AN280" s="1"/>
      <c r="AO280" s="1"/>
      <c r="AP280" s="9"/>
      <c r="AQ280" s="3"/>
      <c r="AR280" s="4"/>
      <c r="AS280" s="1"/>
      <c r="AT280" s="1"/>
      <c r="AU280" s="1"/>
      <c r="AV280" s="1"/>
      <c r="AW280" s="1"/>
      <c r="AX280" s="3"/>
      <c r="AY280" s="3"/>
      <c r="AZ280" s="5"/>
      <c r="BA280" s="5"/>
      <c r="BB280" s="5"/>
      <c r="BC280" s="5"/>
      <c r="BD280" s="6"/>
      <c r="BE280" s="6"/>
      <c r="BF280" s="12"/>
      <c r="BG280" s="12"/>
      <c r="BH280" s="12"/>
      <c r="BI280" s="12"/>
      <c r="BJ280" s="12"/>
    </row>
    <row r="281" spans="2:62" x14ac:dyDescent="0.25">
      <c r="B281" s="1" t="s">
        <v>2011</v>
      </c>
      <c r="C281" s="1" t="s">
        <v>2068</v>
      </c>
      <c r="D281" s="1" t="s">
        <v>1190</v>
      </c>
      <c r="E281" s="1" t="s">
        <v>2069</v>
      </c>
      <c r="F281" s="7" t="s">
        <v>2073</v>
      </c>
      <c r="G281" s="1" t="s">
        <v>2071</v>
      </c>
      <c r="H281" s="1" t="s">
        <v>2072</v>
      </c>
      <c r="I281" s="7" t="s">
        <v>1917</v>
      </c>
      <c r="J281" s="44">
        <v>1</v>
      </c>
      <c r="K281" s="45">
        <v>1</v>
      </c>
      <c r="L281" s="1" t="s">
        <v>2045</v>
      </c>
      <c r="M281" s="1" t="s">
        <v>2046</v>
      </c>
      <c r="N281" s="1" t="s">
        <v>1140</v>
      </c>
      <c r="O281" s="1" t="s">
        <v>1959</v>
      </c>
      <c r="P281" s="1" t="s">
        <v>1190</v>
      </c>
      <c r="Q281" s="44">
        <f>IF(L281="499",Multipliers!C265,"oops")</f>
        <v>0.86</v>
      </c>
      <c r="R281" s="44">
        <f>IF(M281="Marquette",Multipliers!C69, "GOOF")</f>
        <v>0.99</v>
      </c>
      <c r="S281" s="46">
        <f t="shared" si="128"/>
        <v>349221.76520000008</v>
      </c>
      <c r="T281" s="46">
        <f t="shared" si="129"/>
        <v>387064.82429999998</v>
      </c>
      <c r="U281" s="46">
        <f>IF(O281="E",$T$3*T281,IF(O281="C",$T$4*T281,IF(O281="W",$T$5*T281,1)))</f>
        <v>375452.879571</v>
      </c>
      <c r="V281" s="46">
        <f>(S281+U281)/2</f>
        <v>362337.32238550007</v>
      </c>
      <c r="W281" s="47">
        <f>IF(F281=F282,(V281+V282)/2,IF(F281=F280,(V281+V280)/2,IF(F281&lt;&gt;F280,V281)))</f>
        <v>362337.32238550007</v>
      </c>
      <c r="X281" s="47"/>
      <c r="Y281" s="48">
        <f>IF(N281="Standard",(((($Z$3*Q281)+($AD$3*R281*$T$5))/2)*$O$7),IF(N281="Severe",(((($AA$3*Q281)+($AE$3*R281*$T$5))/2)*$O$7),IF(N281="Hostile",(((($AB$3*Q281)+($AF$3*R281*$T$5))/2)*$O$7))))</f>
        <v>292014.84196499997</v>
      </c>
      <c r="Z281" s="48">
        <f>IF(N281="Standard",(((($Z$4*Q281)+($AD$4*R281*$T$5))/2)*$O$7),IF(N281="Severe",(((($AA$4*Q281)+($AE$4*R281*$T$5))/2)*$O$7),IF(N281="Hostile",(((($AB$4*Q281)+($AF$4*R281*$T$5))/2)*$O$7))))</f>
        <v>322858.28343300003</v>
      </c>
      <c r="AA281" s="48">
        <f>IF(N281="Standard",((($Z$5*Q281)+($AD$5*R281*$T$4))/2)*$O$7,IF(N281="Severe",((($AA$5*Q281)+($AE$5*R281*$T$4))/2)*$O$7,IF(N281="Hostile",((($AB$5*Q281)+($AF$5*R281*$T$4))/2)*$O$7)))</f>
        <v>362337.32238550007</v>
      </c>
      <c r="AB281" s="48">
        <f>IF(N281="Standard",((($Z$6*Q281)+($AD$6*R281*$T$4))/2)*$O$7,IF(N281="Severe",((($AA$6*Q281)+($AE$6*R281*$T$4))/2)*$O$7,IF(N281="Hostile",((($AB$6*Q281)+($AF$6*R281*$T$4))/2)*$O$7)))</f>
        <v>392595.33840100002</v>
      </c>
      <c r="AC281" s="48">
        <f>IF(N281="Standard",((($Z$7*Q281)+($AD$7*R281*$T$4))/2)*$O$7,IF(N281="Severe",((($AA$7*Q281)+($AE$7*R281*$T$4))/2)*$O$7,IF(N281="Hostile",((($AB$7*Q281)+($AF$7*R281*$T$4))/2)*$O$7)))</f>
        <v>423249.30890899996</v>
      </c>
      <c r="AD281" s="1"/>
      <c r="AE281" s="1"/>
      <c r="AF281" s="1"/>
      <c r="AI281" s="9"/>
      <c r="AJ281" s="1"/>
      <c r="AK281" s="1"/>
      <c r="AL281" s="1"/>
      <c r="AM281" s="7"/>
      <c r="AN281" s="1"/>
      <c r="AO281" s="1"/>
      <c r="AP281" s="9"/>
      <c r="AQ281" s="3"/>
      <c r="AR281" s="4"/>
      <c r="AS281" s="1"/>
      <c r="AT281" s="1"/>
      <c r="AU281" s="1"/>
      <c r="AV281" s="1"/>
      <c r="AW281" s="1"/>
      <c r="AX281" s="3"/>
      <c r="AY281" s="3"/>
      <c r="AZ281" s="5"/>
      <c r="BA281" s="5"/>
      <c r="BB281" s="5"/>
      <c r="BC281" s="5"/>
      <c r="BD281" s="6"/>
      <c r="BE281" s="6"/>
      <c r="BF281" s="12"/>
      <c r="BG281" s="12"/>
      <c r="BH281" s="12"/>
      <c r="BI281" s="12"/>
      <c r="BJ281" s="12"/>
    </row>
    <row r="282" spans="2:62" x14ac:dyDescent="0.25">
      <c r="B282" s="1" t="s">
        <v>2011</v>
      </c>
      <c r="C282" s="1" t="s">
        <v>2068</v>
      </c>
      <c r="D282" s="1" t="s">
        <v>1190</v>
      </c>
      <c r="E282" s="1" t="s">
        <v>2069</v>
      </c>
      <c r="F282" s="7" t="s">
        <v>2074</v>
      </c>
      <c r="G282" s="1" t="s">
        <v>2071</v>
      </c>
      <c r="H282" s="1" t="s">
        <v>2072</v>
      </c>
      <c r="I282" s="7" t="s">
        <v>1917</v>
      </c>
      <c r="J282" s="44">
        <v>1</v>
      </c>
      <c r="K282" s="45">
        <v>1</v>
      </c>
      <c r="L282" s="1" t="s">
        <v>2031</v>
      </c>
      <c r="M282" s="1" t="s">
        <v>2032</v>
      </c>
      <c r="N282" s="1" t="s">
        <v>1140</v>
      </c>
      <c r="O282" s="1" t="s">
        <v>1959</v>
      </c>
      <c r="P282" s="1" t="s">
        <v>1190</v>
      </c>
      <c r="Q282" s="44">
        <f>IF(L282="498",Multipliers!C264,"oops")</f>
        <v>0.86</v>
      </c>
      <c r="R282" s="44">
        <f>IF(M282="Escanaba",Multipliers!C66, "GOOF")</f>
        <v>0.97</v>
      </c>
      <c r="S282" s="46">
        <f t="shared" si="128"/>
        <v>349221.76520000008</v>
      </c>
      <c r="T282" s="46">
        <f t="shared" si="129"/>
        <v>379245.33289999998</v>
      </c>
      <c r="U282" s="46">
        <f t="shared" si="117"/>
        <v>367867.97291299998</v>
      </c>
      <c r="V282" s="46">
        <f t="shared" si="118"/>
        <v>358544.86905650003</v>
      </c>
      <c r="W282" s="47">
        <f>IF(F282=F283,(V282+V283)/2,IF(F282=F281,(V282+V281)/2,IF(F282&lt;&gt;F281,V282)))</f>
        <v>358544.86905650003</v>
      </c>
      <c r="X282" s="47"/>
      <c r="Y282" s="48">
        <f t="shared" si="119"/>
        <v>289027.32589500002</v>
      </c>
      <c r="Z282" s="48">
        <f t="shared" si="120"/>
        <v>319507.87929899996</v>
      </c>
      <c r="AA282" s="48">
        <f t="shared" si="125"/>
        <v>358544.86905650003</v>
      </c>
      <c r="AB282" s="48">
        <f t="shared" si="126"/>
        <v>388448.16800300003</v>
      </c>
      <c r="AC282" s="48">
        <f t="shared" si="127"/>
        <v>418771.67192699999</v>
      </c>
      <c r="AD282" s="1"/>
      <c r="AE282" s="1"/>
      <c r="AF282" s="1"/>
      <c r="AI282" s="9"/>
      <c r="AJ282" s="1"/>
      <c r="AK282" s="1"/>
      <c r="AL282" s="1"/>
      <c r="AM282" s="1"/>
      <c r="AN282" s="1"/>
      <c r="AO282" s="1"/>
      <c r="AP282" s="9"/>
      <c r="AQ282" s="3"/>
      <c r="AR282" s="4"/>
      <c r="AS282" s="1"/>
      <c r="AT282" s="1"/>
      <c r="AU282" s="1"/>
      <c r="AV282" s="1"/>
      <c r="AW282" s="1"/>
      <c r="AX282" s="3"/>
      <c r="AY282" s="3"/>
      <c r="AZ282" s="5"/>
      <c r="BA282" s="5"/>
      <c r="BB282" s="5"/>
      <c r="BC282" s="5"/>
      <c r="BD282" s="6"/>
      <c r="BE282" s="6"/>
      <c r="BF282" s="12"/>
      <c r="BG282" s="12"/>
      <c r="BH282" s="12"/>
      <c r="BI282" s="12"/>
      <c r="BJ282" s="12"/>
    </row>
    <row r="283" spans="2:62" x14ac:dyDescent="0.25">
      <c r="B283" s="1" t="s">
        <v>2075</v>
      </c>
      <c r="C283" s="1" t="s">
        <v>2076</v>
      </c>
      <c r="D283" s="1" t="s">
        <v>1190</v>
      </c>
      <c r="E283" s="1" t="s">
        <v>2077</v>
      </c>
      <c r="F283" s="1" t="s">
        <v>2078</v>
      </c>
      <c r="G283" s="1" t="s">
        <v>2079</v>
      </c>
      <c r="H283" s="1" t="s">
        <v>2080</v>
      </c>
      <c r="I283" s="7" t="s">
        <v>1917</v>
      </c>
      <c r="J283" s="44">
        <v>1</v>
      </c>
      <c r="K283" s="45">
        <v>1</v>
      </c>
      <c r="L283" s="1" t="s">
        <v>2081</v>
      </c>
      <c r="M283" s="1" t="s">
        <v>2082</v>
      </c>
      <c r="N283" s="1" t="s">
        <v>1140</v>
      </c>
      <c r="O283" s="1" t="s">
        <v>1959</v>
      </c>
      <c r="P283" s="1" t="s">
        <v>1190</v>
      </c>
      <c r="Q283" s="44">
        <f>IF(L283="557",Multipliers!C271,"oops")</f>
        <v>0.99</v>
      </c>
      <c r="R283" s="44">
        <f>IF(M283="Hibbing",Multipliers!C76, "GOOF")</f>
        <v>1.04</v>
      </c>
      <c r="S283" s="46">
        <f t="shared" si="128"/>
        <v>402011.10180000006</v>
      </c>
      <c r="T283" s="46">
        <f t="shared" si="129"/>
        <v>406613.55280000006</v>
      </c>
      <c r="U283" s="46">
        <f t="shared" si="117"/>
        <v>394415.14621600002</v>
      </c>
      <c r="V283" s="46">
        <f t="shared" si="118"/>
        <v>398213.12400800001</v>
      </c>
      <c r="W283" s="47">
        <f t="shared" si="116"/>
        <v>398213.12400800001</v>
      </c>
      <c r="X283" s="47"/>
      <c r="Y283" s="48">
        <f t="shared" si="119"/>
        <v>321271.14789000002</v>
      </c>
      <c r="Z283" s="48">
        <f t="shared" si="120"/>
        <v>354968.85916799994</v>
      </c>
      <c r="AA283" s="48">
        <f t="shared" si="125"/>
        <v>398213.12400800007</v>
      </c>
      <c r="AB283" s="48">
        <f t="shared" si="126"/>
        <v>431277.62774600001</v>
      </c>
      <c r="AC283" s="48">
        <f t="shared" si="127"/>
        <v>464918.76901400002</v>
      </c>
      <c r="AD283" s="1"/>
      <c r="AE283" s="1"/>
      <c r="AF283" s="1"/>
      <c r="AI283" s="9"/>
      <c r="AJ283" s="1"/>
      <c r="AK283" s="1"/>
      <c r="AL283" s="1"/>
      <c r="AM283" s="1"/>
      <c r="AN283" s="1"/>
      <c r="AO283" s="1"/>
      <c r="AP283" s="9"/>
      <c r="AQ283" s="3"/>
      <c r="AR283" s="4"/>
      <c r="AS283" s="1"/>
      <c r="AT283" s="1"/>
      <c r="AU283" s="1"/>
      <c r="AV283" s="1"/>
      <c r="AW283" s="1"/>
      <c r="AX283" s="3"/>
      <c r="AY283" s="3"/>
      <c r="AZ283" s="5"/>
      <c r="BA283" s="5"/>
      <c r="BB283" s="5"/>
      <c r="BC283" s="5"/>
      <c r="BD283" s="6"/>
      <c r="BE283" s="6"/>
      <c r="BF283" s="12"/>
      <c r="BG283" s="12"/>
      <c r="BH283" s="12"/>
      <c r="BI283" s="12"/>
      <c r="BJ283" s="12"/>
    </row>
    <row r="284" spans="2:62" x14ac:dyDescent="0.25">
      <c r="B284" s="1" t="s">
        <v>2075</v>
      </c>
      <c r="C284" s="1" t="s">
        <v>2083</v>
      </c>
      <c r="D284" s="1" t="s">
        <v>1190</v>
      </c>
      <c r="E284" s="1" t="s">
        <v>2084</v>
      </c>
      <c r="F284" s="7" t="s">
        <v>2085</v>
      </c>
      <c r="G284" s="1" t="s">
        <v>2086</v>
      </c>
      <c r="H284" s="1" t="s">
        <v>2087</v>
      </c>
      <c r="I284" s="7" t="s">
        <v>1917</v>
      </c>
      <c r="J284" s="44">
        <v>1</v>
      </c>
      <c r="K284" s="45">
        <v>1</v>
      </c>
      <c r="L284" s="1" t="s">
        <v>2081</v>
      </c>
      <c r="M284" s="1" t="s">
        <v>2088</v>
      </c>
      <c r="N284" s="1" t="s">
        <v>1140</v>
      </c>
      <c r="O284" s="1" t="s">
        <v>1959</v>
      </c>
      <c r="P284" s="1" t="s">
        <v>1190</v>
      </c>
      <c r="Q284" s="44">
        <f>IF(L284="557",Multipliers!C271,"oops")</f>
        <v>0.99</v>
      </c>
      <c r="R284" s="44">
        <f>IF(M284="Duluth",Multipliers!C75, "GOOF")</f>
        <v>1.08</v>
      </c>
      <c r="S284" s="46">
        <f t="shared" si="128"/>
        <v>402011.10180000006</v>
      </c>
      <c r="T284" s="46">
        <f t="shared" si="129"/>
        <v>422252.53560000006</v>
      </c>
      <c r="U284" s="46">
        <f t="shared" si="117"/>
        <v>409584.95953200007</v>
      </c>
      <c r="V284" s="46">
        <f t="shared" si="118"/>
        <v>405798.03066600009</v>
      </c>
      <c r="W284" s="47">
        <f t="shared" si="116"/>
        <v>405798.03066600009</v>
      </c>
      <c r="X284" s="47"/>
      <c r="Y284" s="48">
        <f t="shared" si="119"/>
        <v>327246.18002999999</v>
      </c>
      <c r="Z284" s="48">
        <f t="shared" si="120"/>
        <v>361669.66743600002</v>
      </c>
      <c r="AA284" s="48">
        <f t="shared" si="125"/>
        <v>405798.03066600004</v>
      </c>
      <c r="AB284" s="48">
        <f t="shared" si="126"/>
        <v>439571.96854200005</v>
      </c>
      <c r="AC284" s="48">
        <f t="shared" si="127"/>
        <v>473874.04297800007</v>
      </c>
      <c r="AD284" s="1"/>
      <c r="AE284" s="1"/>
      <c r="AF284" s="1"/>
      <c r="AI284" s="9"/>
      <c r="AJ284" s="1"/>
      <c r="AK284" s="1"/>
      <c r="AL284" s="1"/>
      <c r="AM284" s="1"/>
      <c r="AN284" s="1"/>
      <c r="AO284" s="1"/>
      <c r="AP284" s="9"/>
      <c r="AQ284" s="3"/>
      <c r="AR284" s="4"/>
      <c r="AS284" s="1"/>
      <c r="AT284" s="1"/>
      <c r="AU284" s="1"/>
      <c r="AV284" s="1"/>
      <c r="AW284" s="1"/>
      <c r="AX284" s="3"/>
      <c r="AY284" s="3"/>
      <c r="AZ284" s="5"/>
      <c r="BA284" s="5"/>
      <c r="BB284" s="5"/>
      <c r="BC284" s="5"/>
      <c r="BD284" s="6"/>
      <c r="BE284" s="6"/>
      <c r="BF284" s="12"/>
      <c r="BG284" s="12"/>
      <c r="BH284" s="12"/>
      <c r="BI284" s="12"/>
      <c r="BJ284" s="12"/>
    </row>
    <row r="285" spans="2:62" x14ac:dyDescent="0.25">
      <c r="B285" s="1" t="s">
        <v>2075</v>
      </c>
      <c r="C285" s="1" t="s">
        <v>2089</v>
      </c>
      <c r="D285" s="1" t="s">
        <v>1190</v>
      </c>
      <c r="E285" s="1" t="s">
        <v>2090</v>
      </c>
      <c r="F285" s="1" t="s">
        <v>2091</v>
      </c>
      <c r="G285" s="1" t="s">
        <v>2092</v>
      </c>
      <c r="H285" s="1" t="s">
        <v>2093</v>
      </c>
      <c r="I285" s="7" t="s">
        <v>1917</v>
      </c>
      <c r="J285" s="44">
        <v>1</v>
      </c>
      <c r="K285" s="45">
        <v>1</v>
      </c>
      <c r="L285" s="1" t="s">
        <v>2094</v>
      </c>
      <c r="M285" s="1" t="s">
        <v>2088</v>
      </c>
      <c r="N285" s="1" t="s">
        <v>1140</v>
      </c>
      <c r="O285" s="1" t="s">
        <v>1959</v>
      </c>
      <c r="P285" s="1" t="s">
        <v>1190</v>
      </c>
      <c r="Q285" s="44">
        <f>IF(L285="556",Multipliers!C270,"oops")</f>
        <v>0.99</v>
      </c>
      <c r="R285" s="44">
        <f>IF(M285="Duluth",Multipliers!C75, "GOOF")</f>
        <v>1.08</v>
      </c>
      <c r="S285" s="46">
        <f t="shared" si="128"/>
        <v>402011.10180000006</v>
      </c>
      <c r="T285" s="46">
        <f t="shared" si="129"/>
        <v>422252.53560000006</v>
      </c>
      <c r="U285" s="46">
        <f t="shared" si="117"/>
        <v>409584.95953200007</v>
      </c>
      <c r="V285" s="46">
        <f t="shared" si="118"/>
        <v>405798.03066600009</v>
      </c>
      <c r="W285" s="47">
        <f t="shared" ref="W285:W291" si="130">IF(F285=F286,(V285+V286)/2,IF(F285=F284,(V285+V284)/2,IF(F285&lt;&gt;F284,V285)))</f>
        <v>405798.03066600009</v>
      </c>
      <c r="X285" s="47"/>
      <c r="Y285" s="48">
        <f t="shared" si="119"/>
        <v>327246.18002999999</v>
      </c>
      <c r="Z285" s="48">
        <f t="shared" si="120"/>
        <v>361669.66743600002</v>
      </c>
      <c r="AA285" s="48">
        <f t="shared" si="125"/>
        <v>405798.03066600004</v>
      </c>
      <c r="AB285" s="48">
        <f t="shared" si="126"/>
        <v>439571.96854200005</v>
      </c>
      <c r="AC285" s="48">
        <f t="shared" si="127"/>
        <v>473874.04297800007</v>
      </c>
      <c r="AD285" s="1"/>
      <c r="AE285" s="1"/>
      <c r="AF285" s="1"/>
      <c r="AI285" s="9"/>
      <c r="AJ285" s="1"/>
      <c r="AK285" s="1"/>
      <c r="AL285" s="1"/>
      <c r="AM285" s="1"/>
      <c r="AN285" s="1"/>
      <c r="AO285" s="1"/>
      <c r="AP285" s="9"/>
      <c r="AQ285" s="3"/>
      <c r="AR285" s="4"/>
      <c r="AS285" s="1"/>
      <c r="AT285" s="1"/>
      <c r="AU285" s="1"/>
      <c r="AV285" s="1"/>
      <c r="AW285" s="1"/>
      <c r="AX285" s="3"/>
      <c r="AY285" s="3"/>
      <c r="AZ285" s="5"/>
      <c r="BA285" s="5"/>
      <c r="BB285" s="5"/>
      <c r="BC285" s="5"/>
      <c r="BD285" s="6"/>
      <c r="BE285" s="6"/>
      <c r="BF285" s="12"/>
      <c r="BG285" s="12"/>
      <c r="BH285" s="12"/>
      <c r="BI285" s="12"/>
      <c r="BJ285" s="12"/>
    </row>
    <row r="286" spans="2:62" ht="14.25" customHeight="1" x14ac:dyDescent="0.25">
      <c r="B286" s="1" t="s">
        <v>2075</v>
      </c>
      <c r="C286" s="1" t="s">
        <v>2095</v>
      </c>
      <c r="D286" s="1" t="s">
        <v>1190</v>
      </c>
      <c r="E286" s="1" t="s">
        <v>2096</v>
      </c>
      <c r="F286" s="1" t="s">
        <v>2097</v>
      </c>
      <c r="G286" s="1" t="s">
        <v>2098</v>
      </c>
      <c r="H286" s="1" t="s">
        <v>2099</v>
      </c>
      <c r="I286" s="7" t="s">
        <v>1917</v>
      </c>
      <c r="J286" s="44">
        <v>1</v>
      </c>
      <c r="K286" s="45">
        <v>1</v>
      </c>
      <c r="L286" s="1" t="s">
        <v>2100</v>
      </c>
      <c r="M286" s="1" t="s">
        <v>2082</v>
      </c>
      <c r="N286" s="1" t="s">
        <v>1140</v>
      </c>
      <c r="O286" s="1" t="s">
        <v>1959</v>
      </c>
      <c r="P286" s="1" t="s">
        <v>1190</v>
      </c>
      <c r="Q286" s="44">
        <f>IF(L286="566",Multipliers!C275,"oops")</f>
        <v>0.91</v>
      </c>
      <c r="R286" s="44">
        <f>IF(M286="Hibbing",Multipliers!C76, "GOOF")</f>
        <v>1.04</v>
      </c>
      <c r="S286" s="46">
        <f t="shared" si="128"/>
        <v>369525.35620000004</v>
      </c>
      <c r="T286" s="46">
        <f t="shared" si="129"/>
        <v>406613.55280000006</v>
      </c>
      <c r="U286" s="46">
        <f t="shared" si="117"/>
        <v>394415.14621600002</v>
      </c>
      <c r="V286" s="46">
        <f t="shared" si="118"/>
        <v>381970.251208</v>
      </c>
      <c r="W286" s="47">
        <f t="shared" si="130"/>
        <v>381970.251208</v>
      </c>
      <c r="X286" s="47"/>
      <c r="Y286" s="48">
        <f t="shared" si="119"/>
        <v>307863.44589000003</v>
      </c>
      <c r="Z286" s="48">
        <f t="shared" si="120"/>
        <v>340362.97276799998</v>
      </c>
      <c r="AA286" s="48">
        <f t="shared" si="125"/>
        <v>381970.251208</v>
      </c>
      <c r="AB286" s="48">
        <f t="shared" si="126"/>
        <v>413853.40414600004</v>
      </c>
      <c r="AC286" s="48">
        <f t="shared" si="127"/>
        <v>446164.69661400001</v>
      </c>
      <c r="AD286" s="1"/>
      <c r="AE286" s="1"/>
      <c r="AF286" s="1"/>
      <c r="AI286" s="9"/>
      <c r="AJ286" s="1"/>
      <c r="AK286" s="1"/>
      <c r="AL286" s="1"/>
      <c r="AM286" s="1"/>
      <c r="AN286" s="1"/>
      <c r="AO286" s="1"/>
      <c r="AP286" s="9"/>
      <c r="AQ286" s="3"/>
      <c r="AR286" s="4"/>
      <c r="AS286" s="1"/>
      <c r="AT286" s="1"/>
      <c r="AU286" s="1"/>
      <c r="AV286" s="1"/>
      <c r="AW286" s="1"/>
      <c r="AX286" s="3"/>
      <c r="AY286" s="3"/>
      <c r="AZ286" s="5"/>
      <c r="BA286" s="5"/>
      <c r="BB286" s="5"/>
      <c r="BC286" s="5"/>
      <c r="BD286" s="6"/>
      <c r="BE286" s="6"/>
      <c r="BF286" s="12"/>
      <c r="BG286" s="12"/>
      <c r="BH286" s="12"/>
      <c r="BI286" s="12"/>
      <c r="BJ286" s="12"/>
    </row>
    <row r="287" spans="2:62" x14ac:dyDescent="0.25">
      <c r="B287" s="1" t="s">
        <v>2075</v>
      </c>
      <c r="C287" s="1" t="s">
        <v>2101</v>
      </c>
      <c r="D287" s="1" t="s">
        <v>1190</v>
      </c>
      <c r="E287" s="1" t="s">
        <v>2102</v>
      </c>
      <c r="F287" s="1" t="s">
        <v>2103</v>
      </c>
      <c r="G287" s="1" t="s">
        <v>2104</v>
      </c>
      <c r="H287" s="1" t="s">
        <v>2105</v>
      </c>
      <c r="I287" s="7" t="s">
        <v>1917</v>
      </c>
      <c r="J287" s="44">
        <v>1</v>
      </c>
      <c r="K287" s="45">
        <v>1</v>
      </c>
      <c r="L287" s="1" t="s">
        <v>1510</v>
      </c>
      <c r="M287" s="1" t="s">
        <v>2106</v>
      </c>
      <c r="N287" s="1" t="s">
        <v>1140</v>
      </c>
      <c r="O287" s="1" t="s">
        <v>1959</v>
      </c>
      <c r="P287" s="1" t="s">
        <v>1190</v>
      </c>
      <c r="Q287" s="44">
        <f>IF(L287="562",Multipliers!C272,"oops")</f>
        <v>0.94</v>
      </c>
      <c r="R287" s="44">
        <f>IF(M287="Mankato",Multipliers!C77, "GOOF")</f>
        <v>1.04</v>
      </c>
      <c r="S287" s="46">
        <f t="shared" ref="S287:S323" si="131">IF(N287="Standard",$O$5*Q287*$O$7,IF(N287="Severe",$O$4*Q287*$O$7,IF(N287="Hostile",$O$3*Q287*$O$7)))</f>
        <v>381707.51080000005</v>
      </c>
      <c r="T287" s="46">
        <f t="shared" ref="T287:T323" si="132">IF(N287="Standard",$P$5*R287*$O$7,IF(N287="Severe",$P$4*R287*$O$7,IF(N287="Hostile",$P$3*R287*$O$7)))</f>
        <v>406613.55280000006</v>
      </c>
      <c r="U287" s="46">
        <f t="shared" si="117"/>
        <v>394415.14621600002</v>
      </c>
      <c r="V287" s="46">
        <f t="shared" si="118"/>
        <v>388061.32850800001</v>
      </c>
      <c r="W287" s="47">
        <f t="shared" si="130"/>
        <v>388061.32850800001</v>
      </c>
      <c r="X287" s="47"/>
      <c r="Y287" s="48">
        <f t="shared" si="119"/>
        <v>312891.33413999993</v>
      </c>
      <c r="Z287" s="48">
        <f t="shared" si="120"/>
        <v>345840.18016799999</v>
      </c>
      <c r="AA287" s="48">
        <f t="shared" si="125"/>
        <v>388061.32850800006</v>
      </c>
      <c r="AB287" s="48">
        <f t="shared" si="126"/>
        <v>420387.48799599998</v>
      </c>
      <c r="AC287" s="48">
        <f t="shared" si="127"/>
        <v>453197.47376400005</v>
      </c>
      <c r="AD287" s="1"/>
      <c r="AE287" s="1"/>
      <c r="AF287" s="1"/>
      <c r="AI287" s="9"/>
      <c r="AJ287" s="1"/>
      <c r="AK287" s="1"/>
      <c r="AL287" s="1"/>
      <c r="AM287" s="1"/>
      <c r="AN287" s="1"/>
      <c r="AO287" s="1"/>
      <c r="AP287" s="9"/>
      <c r="AQ287" s="3"/>
      <c r="AR287" s="4"/>
      <c r="AS287" s="1"/>
      <c r="AT287" s="1"/>
      <c r="AU287" s="1"/>
      <c r="AV287" s="1"/>
      <c r="AW287" s="1"/>
      <c r="AX287" s="3"/>
      <c r="AY287" s="3"/>
      <c r="AZ287" s="5"/>
      <c r="BA287" s="5"/>
      <c r="BB287" s="5"/>
      <c r="BC287" s="5"/>
      <c r="BD287" s="6"/>
      <c r="BE287" s="6"/>
      <c r="BF287" s="12"/>
      <c r="BG287" s="12"/>
      <c r="BH287" s="12"/>
      <c r="BI287" s="12"/>
      <c r="BJ287" s="12"/>
    </row>
    <row r="288" spans="2:62" x14ac:dyDescent="0.25">
      <c r="B288" s="1" t="s">
        <v>2075</v>
      </c>
      <c r="C288" s="1" t="s">
        <v>2107</v>
      </c>
      <c r="D288" s="1" t="s">
        <v>1190</v>
      </c>
      <c r="E288" s="1" t="s">
        <v>2108</v>
      </c>
      <c r="F288" s="1" t="s">
        <v>2109</v>
      </c>
      <c r="G288" s="1" t="s">
        <v>2110</v>
      </c>
      <c r="H288" s="1" t="s">
        <v>2111</v>
      </c>
      <c r="I288" s="7" t="s">
        <v>1917</v>
      </c>
      <c r="J288" s="44">
        <v>1</v>
      </c>
      <c r="K288" s="45">
        <v>1</v>
      </c>
      <c r="L288" s="1" t="s">
        <v>2112</v>
      </c>
      <c r="M288" s="1" t="s">
        <v>2113</v>
      </c>
      <c r="N288" s="1" t="s">
        <v>1140</v>
      </c>
      <c r="O288" s="1" t="s">
        <v>1959</v>
      </c>
      <c r="P288" s="1" t="s">
        <v>1190</v>
      </c>
      <c r="Q288" s="44">
        <f>IF(L288="563",Multipliers!C273,"oops")</f>
        <v>1.02</v>
      </c>
      <c r="R288" s="44">
        <f>IF(M288="St. Cloud",Multipliers!C80, "GOOF")</f>
        <v>1.08</v>
      </c>
      <c r="S288" s="46">
        <f t="shared" si="131"/>
        <v>414193.25640000007</v>
      </c>
      <c r="T288" s="46">
        <f t="shared" si="132"/>
        <v>422252.53560000006</v>
      </c>
      <c r="U288" s="46">
        <f t="shared" si="117"/>
        <v>409584.95953200007</v>
      </c>
      <c r="V288" s="46">
        <f t="shared" si="118"/>
        <v>411889.1079660001</v>
      </c>
      <c r="W288" s="47">
        <f t="shared" si="130"/>
        <v>411889.1079660001</v>
      </c>
      <c r="X288" s="47"/>
      <c r="Y288" s="48">
        <f t="shared" si="119"/>
        <v>332274.06828000001</v>
      </c>
      <c r="Z288" s="48">
        <f t="shared" si="120"/>
        <v>367146.87483599997</v>
      </c>
      <c r="AA288" s="48">
        <f t="shared" si="125"/>
        <v>411889.1079660001</v>
      </c>
      <c r="AB288" s="48">
        <f t="shared" si="126"/>
        <v>446106.05239200004</v>
      </c>
      <c r="AC288" s="48">
        <f t="shared" si="127"/>
        <v>480906.82012799999</v>
      </c>
      <c r="AD288" s="1"/>
      <c r="AE288" s="1"/>
      <c r="AF288" s="1"/>
      <c r="AI288" s="9"/>
      <c r="AJ288" s="1"/>
      <c r="AK288" s="1"/>
      <c r="AL288" s="1"/>
      <c r="AM288" s="1"/>
      <c r="AN288" s="1"/>
      <c r="AO288" s="1"/>
      <c r="AP288" s="9"/>
      <c r="AQ288" s="3"/>
      <c r="AR288" s="4"/>
      <c r="AS288" s="1"/>
      <c r="AT288" s="1"/>
      <c r="AU288" s="1"/>
      <c r="AV288" s="1"/>
      <c r="AW288" s="1"/>
      <c r="AX288" s="3"/>
      <c r="AY288" s="3"/>
      <c r="AZ288" s="5"/>
      <c r="BA288" s="5"/>
      <c r="BB288" s="5"/>
      <c r="BC288" s="5"/>
      <c r="BD288" s="6"/>
      <c r="BE288" s="6"/>
      <c r="BF288" s="12"/>
      <c r="BG288" s="12"/>
      <c r="BH288" s="12"/>
      <c r="BI288" s="12"/>
      <c r="BJ288" s="12"/>
    </row>
    <row r="289" spans="2:62" x14ac:dyDescent="0.25">
      <c r="B289" s="1" t="s">
        <v>2075</v>
      </c>
      <c r="C289" s="1" t="s">
        <v>2114</v>
      </c>
      <c r="D289" s="1" t="s">
        <v>1190</v>
      </c>
      <c r="E289" s="1" t="s">
        <v>2115</v>
      </c>
      <c r="F289" s="1" t="s">
        <v>2116</v>
      </c>
      <c r="G289" s="1" t="s">
        <v>2104</v>
      </c>
      <c r="H289" s="1" t="s">
        <v>2105</v>
      </c>
      <c r="I289" s="7" t="s">
        <v>1917</v>
      </c>
      <c r="J289" s="44">
        <v>1</v>
      </c>
      <c r="K289" s="45">
        <v>1</v>
      </c>
      <c r="L289" s="1" t="s">
        <v>2117</v>
      </c>
      <c r="M289" s="1" t="s">
        <v>2118</v>
      </c>
      <c r="N289" s="1" t="s">
        <v>1140</v>
      </c>
      <c r="O289" s="1" t="s">
        <v>1959</v>
      </c>
      <c r="P289" s="1" t="s">
        <v>1190</v>
      </c>
      <c r="Q289" s="44">
        <f>IF(L289="550",Multipliers!C268,"oops")</f>
        <v>1.07</v>
      </c>
      <c r="R289" s="44">
        <f>IF(M289="St. Paul",Multipliers!C81, "GOOF")</f>
        <v>1.1499999999999999</v>
      </c>
      <c r="S289" s="46">
        <f t="shared" si="131"/>
        <v>434496.84740000009</v>
      </c>
      <c r="T289" s="46">
        <f t="shared" si="132"/>
        <v>449620.75549999997</v>
      </c>
      <c r="U289" s="46">
        <f t="shared" si="117"/>
        <v>436132.13283499994</v>
      </c>
      <c r="V289" s="46">
        <f t="shared" si="118"/>
        <v>435314.49011750001</v>
      </c>
      <c r="W289" s="47">
        <f t="shared" si="130"/>
        <v>435314.49011750001</v>
      </c>
      <c r="X289" s="47"/>
      <c r="Y289" s="48">
        <f t="shared" si="119"/>
        <v>351110.18827499996</v>
      </c>
      <c r="Z289" s="48">
        <f t="shared" si="120"/>
        <v>388001.96830499999</v>
      </c>
      <c r="AA289" s="48">
        <f t="shared" si="125"/>
        <v>435314.49011750001</v>
      </c>
      <c r="AB289" s="48">
        <f t="shared" si="126"/>
        <v>471511.28853499994</v>
      </c>
      <c r="AC289" s="48">
        <f t="shared" si="127"/>
        <v>508299.84481499996</v>
      </c>
      <c r="AD289" s="1"/>
      <c r="AE289" s="1"/>
      <c r="AF289" s="1"/>
      <c r="AI289" s="9"/>
      <c r="AJ289" s="1"/>
      <c r="AK289" s="1"/>
      <c r="AL289" s="1"/>
      <c r="AM289" s="1"/>
      <c r="AN289" s="1"/>
      <c r="AO289" s="1"/>
      <c r="AP289" s="9"/>
      <c r="AQ289" s="3"/>
      <c r="AR289" s="4"/>
      <c r="AS289" s="1"/>
      <c r="AT289" s="1"/>
      <c r="AU289" s="1"/>
      <c r="AV289" s="1"/>
      <c r="AW289" s="1"/>
      <c r="AX289" s="3"/>
      <c r="AY289" s="3"/>
      <c r="AZ289" s="5"/>
      <c r="BA289" s="5"/>
      <c r="BB289" s="5"/>
      <c r="BC289" s="5"/>
      <c r="BD289" s="6"/>
      <c r="BE289" s="6"/>
      <c r="BF289" s="12"/>
      <c r="BG289" s="12"/>
      <c r="BH289" s="12"/>
      <c r="BI289" s="12"/>
      <c r="BJ289" s="12"/>
    </row>
    <row r="290" spans="2:62" x14ac:dyDescent="0.25">
      <c r="B290" s="1" t="s">
        <v>2075</v>
      </c>
      <c r="C290" s="1" t="s">
        <v>2119</v>
      </c>
      <c r="D290" s="1" t="s">
        <v>1190</v>
      </c>
      <c r="E290" s="1" t="s">
        <v>2120</v>
      </c>
      <c r="F290" s="1" t="s">
        <v>2121</v>
      </c>
      <c r="G290" s="1" t="s">
        <v>2122</v>
      </c>
      <c r="H290" s="1" t="s">
        <v>2123</v>
      </c>
      <c r="I290" s="7" t="s">
        <v>1917</v>
      </c>
      <c r="J290" s="44">
        <v>1</v>
      </c>
      <c r="K290" s="45">
        <v>1</v>
      </c>
      <c r="L290" s="1" t="s">
        <v>2100</v>
      </c>
      <c r="M290" s="1" t="s">
        <v>2082</v>
      </c>
      <c r="N290" s="1" t="s">
        <v>1140</v>
      </c>
      <c r="O290" s="1" t="s">
        <v>1959</v>
      </c>
      <c r="P290" s="1" t="s">
        <v>1190</v>
      </c>
      <c r="Q290" s="44">
        <f>IF(L290="566",Multipliers!C275,"oops")</f>
        <v>0.91</v>
      </c>
      <c r="R290" s="44">
        <f>IF(M290="Hibbing",Multipliers!C76, "GOOF")</f>
        <v>1.04</v>
      </c>
      <c r="S290" s="46">
        <f t="shared" si="131"/>
        <v>369525.35620000004</v>
      </c>
      <c r="T290" s="46">
        <f t="shared" si="132"/>
        <v>406613.55280000006</v>
      </c>
      <c r="U290" s="46">
        <f t="shared" si="117"/>
        <v>394415.14621600002</v>
      </c>
      <c r="V290" s="46">
        <f t="shared" si="118"/>
        <v>381970.251208</v>
      </c>
      <c r="W290" s="47">
        <f t="shared" si="130"/>
        <v>381970.251208</v>
      </c>
      <c r="X290" s="47"/>
      <c r="Y290" s="48">
        <f t="shared" si="119"/>
        <v>307863.44589000003</v>
      </c>
      <c r="Z290" s="48">
        <f t="shared" si="120"/>
        <v>340362.97276799998</v>
      </c>
      <c r="AA290" s="48">
        <f>IF(N290="Standard",((($Z$5*Q290)+($AD$5*R290*$T$4))/2)*$O$7,IF(N290="Severe",((($AA$5*Q290)+($AE$5*R290*$T$4))/2)*$O$7,IF(N290="Hostile",((($AB$5*Q290)+($AF$5*R290*$T$4))/2)*$O$7)))</f>
        <v>381970.251208</v>
      </c>
      <c r="AB290" s="48">
        <f>IF(N290="Standard",((($Z$6*Q290)+($AD$6*R290*$T$4))/2)*$O$7,IF(N290="Severe",((($AA$6*Q290)+($AE$6*R290*$T$4))/2)*$O$7,IF(N290="Hostile",((($AB$6*Q290)+($AF$6*R290*$T$4))/2)*$O$7)))</f>
        <v>413853.40414600004</v>
      </c>
      <c r="AC290" s="48">
        <f>IF(N290="Standard",((($Z$7*Q290)+($AD$7*R290*$T$4))/2)*$O$7,IF(N290="Severe",((($AA$7*Q290)+($AE$7*R290*$T$4))/2)*$O$7,IF(N290="Hostile",((($AB$7*Q290)+($AF$7*R290*$T$4))/2)*$O$7)))</f>
        <v>446164.69661400001</v>
      </c>
      <c r="AD290" s="1"/>
      <c r="AE290" s="1"/>
      <c r="AF290" s="1"/>
      <c r="AI290" s="9"/>
      <c r="AJ290" s="1"/>
      <c r="AK290" s="1"/>
      <c r="AL290" s="1"/>
      <c r="AM290" s="1"/>
      <c r="AN290" s="1"/>
      <c r="AO290" s="1"/>
      <c r="AP290" s="9"/>
      <c r="AQ290" s="3"/>
      <c r="AR290" s="4"/>
      <c r="AS290" s="1"/>
      <c r="AT290" s="1"/>
      <c r="AU290" s="1"/>
      <c r="AV290" s="1"/>
      <c r="AW290" s="1"/>
      <c r="AX290" s="3"/>
      <c r="AY290" s="3"/>
      <c r="AZ290" s="5"/>
      <c r="BA290" s="5"/>
      <c r="BB290" s="5"/>
      <c r="BC290" s="5"/>
      <c r="BD290" s="6"/>
      <c r="BE290" s="6"/>
      <c r="BF290" s="12"/>
      <c r="BG290" s="12"/>
      <c r="BH290" s="12"/>
      <c r="BI290" s="12"/>
      <c r="BJ290" s="12"/>
    </row>
    <row r="291" spans="2:62" x14ac:dyDescent="0.25">
      <c r="B291" s="1" t="s">
        <v>2075</v>
      </c>
      <c r="C291" s="1" t="s">
        <v>2124</v>
      </c>
      <c r="D291" s="1" t="s">
        <v>1190</v>
      </c>
      <c r="E291" s="1" t="s">
        <v>2125</v>
      </c>
      <c r="F291" s="1" t="s">
        <v>2126</v>
      </c>
      <c r="G291" s="1" t="s">
        <v>2104</v>
      </c>
      <c r="H291" s="1" t="s">
        <v>2105</v>
      </c>
      <c r="I291" s="7" t="s">
        <v>1917</v>
      </c>
      <c r="J291" s="44">
        <v>1</v>
      </c>
      <c r="K291" s="45">
        <v>1</v>
      </c>
      <c r="L291" s="1" t="s">
        <v>2127</v>
      </c>
      <c r="M291" s="1" t="s">
        <v>2128</v>
      </c>
      <c r="N291" s="1" t="s">
        <v>1140</v>
      </c>
      <c r="O291" s="1" t="s">
        <v>1959</v>
      </c>
      <c r="P291" s="1" t="s">
        <v>1190</v>
      </c>
      <c r="Q291" s="44">
        <f>IF(L291="553",Multipliers!C269,"oops")</f>
        <v>1.08</v>
      </c>
      <c r="R291" s="44">
        <f>IF(M291="Minneapolis",Multipliers!C78, "GOOF")</f>
        <v>1.1499999999999999</v>
      </c>
      <c r="S291" s="46">
        <f t="shared" si="131"/>
        <v>438557.56560000009</v>
      </c>
      <c r="T291" s="46">
        <f t="shared" si="132"/>
        <v>449620.75549999997</v>
      </c>
      <c r="U291" s="46">
        <f t="shared" si="117"/>
        <v>436132.13283499994</v>
      </c>
      <c r="V291" s="46">
        <f t="shared" si="118"/>
        <v>437344.84921750001</v>
      </c>
      <c r="W291" s="47">
        <f t="shared" si="130"/>
        <v>437344.84921750001</v>
      </c>
      <c r="X291" s="47"/>
      <c r="Y291" s="48">
        <f t="shared" si="119"/>
        <v>352786.15102499997</v>
      </c>
      <c r="Z291" s="48">
        <f t="shared" si="120"/>
        <v>389827.70410499995</v>
      </c>
      <c r="AA291" s="48">
        <f>IF(N291="Standard",((($Z$5*Q291)+($AD$5*R291*$T$4))/2)*$O$7,IF(N291="Severe",((($AA$5*Q291)+($AE$5*R291*$T$4))/2)*$O$7,IF(N291="Hostile",((($AB$5*Q291)+($AF$5*R291*$T$4))/2)*$O$7)))</f>
        <v>437344.84921750001</v>
      </c>
      <c r="AB291" s="48">
        <f>IF(N291="Standard",((($Z$6*Q291)+($AD$6*R291*$T$4))/2)*$O$7,IF(N291="Severe",((($AA$6*Q291)+($AE$6*R291*$T$4))/2)*$O$7,IF(N291="Hostile",((($AB$6*Q291)+($AF$6*R291*$T$4))/2)*$O$7)))</f>
        <v>473689.31648499996</v>
      </c>
      <c r="AC291" s="48">
        <f>IF(N291="Standard",((($Z$7*Q291)+($AD$7*R291*$T$4))/2)*$O$7,IF(N291="Severe",((($AA$7*Q291)+($AE$7*R291*$T$4))/2)*$O$7,IF(N291="Hostile",((($AB$7*Q291)+($AF$7*R291*$T$4))/2)*$O$7)))</f>
        <v>510644.10386500001</v>
      </c>
      <c r="AD291" s="1"/>
      <c r="AE291" s="1"/>
      <c r="AF291" s="1"/>
      <c r="AI291" s="9"/>
      <c r="AJ291" s="1"/>
      <c r="AK291" s="1"/>
      <c r="AL291" s="1"/>
      <c r="AM291" s="1"/>
      <c r="AN291" s="1"/>
      <c r="AO291" s="1"/>
      <c r="AP291" s="9"/>
      <c r="AQ291" s="3"/>
      <c r="AR291" s="4"/>
      <c r="AS291" s="1"/>
      <c r="AT291" s="1"/>
      <c r="AU291" s="1"/>
      <c r="AV291" s="1"/>
      <c r="AW291" s="1"/>
      <c r="AX291" s="3"/>
      <c r="AY291" s="3"/>
      <c r="AZ291" s="5"/>
      <c r="BA291" s="5"/>
      <c r="BB291" s="5"/>
      <c r="BC291" s="5"/>
      <c r="BD291" s="6"/>
      <c r="BE291" s="6"/>
      <c r="BF291" s="12"/>
      <c r="BG291" s="12"/>
      <c r="BH291" s="12"/>
      <c r="BI291" s="12"/>
      <c r="BJ291" s="12"/>
    </row>
    <row r="292" spans="2:62" x14ac:dyDescent="0.25">
      <c r="B292" s="1" t="s">
        <v>2075</v>
      </c>
      <c r="C292" s="1" t="s">
        <v>2129</v>
      </c>
      <c r="D292" s="1" t="s">
        <v>1190</v>
      </c>
      <c r="E292" s="1" t="s">
        <v>2130</v>
      </c>
      <c r="F292" s="1" t="s">
        <v>2131</v>
      </c>
      <c r="G292" s="1" t="s">
        <v>2104</v>
      </c>
      <c r="H292" s="1" t="s">
        <v>2105</v>
      </c>
      <c r="I292" s="7" t="s">
        <v>1917</v>
      </c>
      <c r="J292" s="44">
        <v>1</v>
      </c>
      <c r="K292" s="45">
        <v>1</v>
      </c>
      <c r="L292" s="1" t="s">
        <v>2127</v>
      </c>
      <c r="M292" s="1" t="s">
        <v>2132</v>
      </c>
      <c r="N292" s="1" t="s">
        <v>1140</v>
      </c>
      <c r="O292" s="1" t="s">
        <v>1959</v>
      </c>
      <c r="P292" s="1" t="s">
        <v>1190</v>
      </c>
      <c r="Q292" s="44">
        <f>IF(L292="553",Multipliers!C269,"oops")</f>
        <v>1.08</v>
      </c>
      <c r="R292" s="44">
        <f>IF(M292="Minnesota",Multipliers!C74, "GOOF")</f>
        <v>1.07</v>
      </c>
      <c r="S292" s="46">
        <f t="shared" si="131"/>
        <v>438557.56560000009</v>
      </c>
      <c r="T292" s="46">
        <f t="shared" si="132"/>
        <v>418342.78990000009</v>
      </c>
      <c r="U292" s="46">
        <f t="shared" si="117"/>
        <v>405792.50620300008</v>
      </c>
      <c r="V292" s="46">
        <f t="shared" si="118"/>
        <v>422175.03590150009</v>
      </c>
      <c r="W292" s="47">
        <f t="shared" ref="W292:W308" si="133">IF(F292=F293,(V292+V293)/2,IF(F292=F291,(V292+V291)/2,IF(F292&lt;&gt;F291,V292)))</f>
        <v>422175.03590150009</v>
      </c>
      <c r="X292" s="47"/>
      <c r="Y292" s="48">
        <f t="shared" si="119"/>
        <v>340836.08674500004</v>
      </c>
      <c r="Z292" s="48">
        <f t="shared" si="120"/>
        <v>376426.08756899997</v>
      </c>
      <c r="AA292" s="48">
        <f>IF(N292="Standard",((($Z$5*Q292)+($AD$5*R292*$T$4))/2)*$O$7,IF(N292="Severe",((($AA$5*Q292)+($AE$5*R292*$T$4))/2)*$O$7,IF(N292="Hostile",((($AB$5*Q292)+($AF$5*R292*$T$4))/2)*$O$7)))</f>
        <v>422175.03590150009</v>
      </c>
      <c r="AB292" s="48">
        <f>IF(N292="Standard",((($Z$6*Q292)+($AD$6*R292*$T$4))/2)*$O$7,IF(N292="Severe",((($AA$6*Q292)+($AE$6*R292*$T$4))/2)*$O$7,IF(N292="Hostile",((($AB$6*Q292)+($AF$6*R292*$T$4))/2)*$O$7)))</f>
        <v>457100.63489300007</v>
      </c>
      <c r="AC292" s="48">
        <f>IF(N292="Standard",((($Z$7*Q292)+($AD$7*R292*$T$4))/2)*$O$7,IF(N292="Severe",((($AA$7*Q292)+($AE$7*R292*$T$4))/2)*$O$7,IF(N292="Hostile",((($AB$7*Q292)+($AF$7*R292*$T$4))/2)*$O$7)))</f>
        <v>492733.55593700003</v>
      </c>
      <c r="AD292" s="1"/>
      <c r="AE292" s="1"/>
      <c r="AF292" s="1"/>
      <c r="AI292" s="9"/>
      <c r="AJ292" s="1"/>
      <c r="AK292" s="1"/>
      <c r="AL292" s="1"/>
      <c r="AM292" s="1"/>
      <c r="AN292" s="1"/>
      <c r="AO292" s="1"/>
      <c r="AP292" s="9"/>
      <c r="AQ292" s="3"/>
      <c r="AR292" s="4"/>
      <c r="AS292" s="1"/>
      <c r="AT292" s="1"/>
      <c r="AU292" s="1"/>
      <c r="AV292" s="1"/>
      <c r="AW292" s="1"/>
      <c r="AX292" s="3"/>
      <c r="AY292" s="3"/>
      <c r="AZ292" s="5"/>
      <c r="BA292" s="5"/>
      <c r="BB292" s="5"/>
      <c r="BC292" s="5"/>
      <c r="BD292" s="6"/>
      <c r="BE292" s="6"/>
      <c r="BF292" s="12"/>
      <c r="BG292" s="12"/>
      <c r="BH292" s="12"/>
      <c r="BI292" s="12"/>
      <c r="BJ292" s="12"/>
    </row>
    <row r="293" spans="2:62" x14ac:dyDescent="0.25">
      <c r="B293" s="1" t="s">
        <v>2075</v>
      </c>
      <c r="C293" s="1" t="s">
        <v>2133</v>
      </c>
      <c r="D293" s="1" t="s">
        <v>1190</v>
      </c>
      <c r="E293" s="1" t="s">
        <v>2134</v>
      </c>
      <c r="F293" s="1" t="s">
        <v>2135</v>
      </c>
      <c r="G293" s="1" t="s">
        <v>2136</v>
      </c>
      <c r="H293" s="1" t="s">
        <v>2137</v>
      </c>
      <c r="I293" s="7" t="s">
        <v>1917</v>
      </c>
      <c r="J293" s="44">
        <v>1</v>
      </c>
      <c r="K293" s="45">
        <v>1</v>
      </c>
      <c r="L293" s="1" t="s">
        <v>2138</v>
      </c>
      <c r="M293" s="1" t="s">
        <v>2139</v>
      </c>
      <c r="N293" s="1" t="s">
        <v>1140</v>
      </c>
      <c r="O293" s="1" t="s">
        <v>1959</v>
      </c>
      <c r="P293" s="1" t="s">
        <v>1190</v>
      </c>
      <c r="Q293" s="44">
        <f>IF(L293="565",Multipliers!C274,"oops")</f>
        <v>0.9</v>
      </c>
      <c r="R293" s="44">
        <f>IF(M293="Moorhead",Multipliers!C79, "GOOF")</f>
        <v>1.01</v>
      </c>
      <c r="S293" s="46">
        <f t="shared" si="131"/>
        <v>365464.63800000009</v>
      </c>
      <c r="T293" s="46">
        <f t="shared" si="132"/>
        <v>394884.31570000004</v>
      </c>
      <c r="U293" s="46">
        <f t="shared" ref="U293:U309" si="134">IF(O293="E",$T$3*T293,IF(O293="C",$T$4*T293,IF(O293="W",$T$5*T293,1)))</f>
        <v>383037.78622900002</v>
      </c>
      <c r="V293" s="46">
        <f t="shared" ref="V293:V309" si="135">(S293+U293)/2</f>
        <v>374251.21211450006</v>
      </c>
      <c r="W293" s="47">
        <f t="shared" si="133"/>
        <v>374251.21211450006</v>
      </c>
      <c r="X293" s="47"/>
      <c r="Y293" s="48">
        <f t="shared" ref="Y293:Y309" si="136">IF(N293="Standard",(((($Z$3*Q293)+($AD$3*R293*$T$5))/2)*$O$7),IF(N293="Severe",(((($AA$3*Q293)+($AE$3*R293*$T$5))/2)*$O$7),IF(N293="Hostile",(((($AB$3*Q293)+($AF$3*R293*$T$5))/2)*$O$7))))</f>
        <v>301706.20903500001</v>
      </c>
      <c r="Z293" s="48">
        <f t="shared" ref="Z293:Z309" si="137">IF(N293="Standard",(((($Z$4*Q293)+($AD$4*R293*$T$5))/2)*$O$7),IF(N293="Severe",(((($AA$4*Q293)+($AE$4*R293*$T$5))/2)*$O$7),IF(N293="Hostile",(((($AB$4*Q293)+($AF$4*R293*$T$5))/2)*$O$7))))</f>
        <v>333511.63076700002</v>
      </c>
      <c r="AA293" s="48">
        <f>IF(N293="Standard",((($Z$5*Q293)+($AD$5*R293*$T$4))/2)*$O$7,IF(N293="Severe",((($AA$5*Q293)+($AE$5*R293*$T$4))/2)*$O$7,IF(N293="Hostile",((($AB$5*Q293)+($AF$5*R293*$T$4))/2)*$O$7)))</f>
        <v>374251.21211450006</v>
      </c>
      <c r="AB293" s="48">
        <f>IF(N293="Standard",((($Z$6*Q293)+($AD$6*R293*$T$4))/2)*$O$7,IF(N293="Severe",((($AA$6*Q293)+($AE$6*R293*$T$4))/2)*$O$7,IF(N293="Hostile",((($AB$6*Q293)+($AF$6*R293*$T$4))/2)*$O$7)))</f>
        <v>405454.62059900002</v>
      </c>
      <c r="AC293" s="48">
        <f>IF(N293="Standard",((($Z$7*Q293)+($AD$7*R293*$T$4))/2)*$O$7,IF(N293="Severe",((($AA$7*Q293)+($AE$7*R293*$T$4))/2)*$O$7,IF(N293="Hostile",((($AB$7*Q293)+($AF$7*R293*$T$4))/2)*$O$7)))</f>
        <v>437103.98209100001</v>
      </c>
      <c r="AD293" s="1"/>
      <c r="AE293" s="1"/>
      <c r="AF293" s="1"/>
      <c r="AI293" s="9"/>
      <c r="AJ293" s="1"/>
      <c r="AK293" s="1"/>
      <c r="AL293" s="1"/>
      <c r="AM293" s="1"/>
      <c r="AN293" s="1"/>
      <c r="AO293" s="1"/>
      <c r="AP293" s="9"/>
      <c r="AQ293" s="3"/>
      <c r="AR293" s="4"/>
      <c r="AS293" s="1"/>
      <c r="AT293" s="1"/>
      <c r="AU293" s="1"/>
      <c r="AV293" s="1"/>
      <c r="AW293" s="1"/>
      <c r="AX293" s="3"/>
      <c r="AY293" s="3"/>
      <c r="AZ293" s="5"/>
      <c r="BA293" s="5"/>
      <c r="BB293" s="5"/>
      <c r="BC293" s="5"/>
      <c r="BD293" s="6"/>
      <c r="BE293" s="6"/>
      <c r="BF293" s="12"/>
      <c r="BG293" s="12"/>
      <c r="BH293" s="12"/>
      <c r="BI293" s="12"/>
      <c r="BJ293" s="12"/>
    </row>
    <row r="294" spans="2:62" x14ac:dyDescent="0.25">
      <c r="B294" s="1" t="s">
        <v>2140</v>
      </c>
      <c r="C294" s="1" t="s">
        <v>2141</v>
      </c>
      <c r="D294" s="1" t="s">
        <v>1190</v>
      </c>
      <c r="E294" s="1" t="s">
        <v>2142</v>
      </c>
      <c r="F294" s="1" t="s">
        <v>2143</v>
      </c>
      <c r="G294" s="1" t="s">
        <v>2144</v>
      </c>
      <c r="H294" s="1" t="s">
        <v>2145</v>
      </c>
      <c r="I294" s="7" t="s">
        <v>1917</v>
      </c>
      <c r="J294" s="44">
        <v>1</v>
      </c>
      <c r="K294" s="45">
        <v>1</v>
      </c>
      <c r="L294" s="1" t="s">
        <v>2146</v>
      </c>
      <c r="M294" s="1" t="s">
        <v>2147</v>
      </c>
      <c r="N294" s="1" t="s">
        <v>1139</v>
      </c>
      <c r="O294" s="1" t="s">
        <v>1959</v>
      </c>
      <c r="P294" s="1" t="s">
        <v>1190</v>
      </c>
      <c r="Q294" s="44">
        <f>IF(L294="393",Multipliers!C278,"oops")</f>
        <v>0.79</v>
      </c>
      <c r="R294" s="44">
        <f>IF(M294="Meridian",Multipliers!C83, "GOOF")</f>
        <v>0.89</v>
      </c>
      <c r="S294" s="46">
        <f t="shared" si="131"/>
        <v>302906.02650000009</v>
      </c>
      <c r="T294" s="46">
        <f t="shared" si="132"/>
        <v>333730.2598</v>
      </c>
      <c r="U294" s="46">
        <f t="shared" si="134"/>
        <v>323718.352006</v>
      </c>
      <c r="V294" s="46">
        <f t="shared" si="135"/>
        <v>313312.18925300008</v>
      </c>
      <c r="W294" s="47">
        <f t="shared" si="133"/>
        <v>313312.18925300008</v>
      </c>
      <c r="X294" s="47"/>
      <c r="Y294" s="48">
        <f t="shared" si="136"/>
        <v>251693.79861500001</v>
      </c>
      <c r="Z294" s="48">
        <f t="shared" si="137"/>
        <v>279105.53131300001</v>
      </c>
      <c r="AA294" s="48">
        <f>IF(N294="Standard",((($Z$5*Q294)+($AD$5*R294*$T$4))/2)*$O$7,IF(N294="Severe",((($AA$5*Q294)+($AE$5*R294*$T$4))/2)*$O$7,IF(N294="Hostile",((($AB$5*Q294)+($AF$5*R294*$T$4))/2)*$O$7)))</f>
        <v>313312.18925300008</v>
      </c>
      <c r="AB294" s="48">
        <f>IF(N294="Standard",((($Z$6*Q294)+($AD$6*R294*$T$4))/2)*$O$7,IF(N294="Severe",((($AA$6*Q294)+($AE$6*R294*$T$4))/2)*$O$7,IF(N294="Hostile",((($AB$6*Q294)+($AF$6*R294*$T$4))/2)*$O$7)))</f>
        <v>338345.42523600004</v>
      </c>
      <c r="AC294" s="48">
        <f>IF(N294="Standard",((($Z$7*Q294)+($AD$7*R294*$T$4))/2)*$O$7,IF(N294="Severe",((($AA$7*Q294)+($AE$7*R294*$T$4))/2)*$O$7,IF(N294="Hostile",((($AB$7*Q294)+($AF$7*R294*$T$4))/2)*$O$7)))</f>
        <v>364855.65082400001</v>
      </c>
      <c r="AD294" s="1"/>
      <c r="AE294" s="1"/>
      <c r="AF294" s="1"/>
      <c r="AI294" s="9"/>
      <c r="AJ294" s="1"/>
      <c r="AK294" s="1"/>
      <c r="AL294" s="1"/>
      <c r="AM294" s="1"/>
      <c r="AN294" s="1"/>
      <c r="AO294" s="1"/>
      <c r="AP294" s="9"/>
      <c r="AQ294" s="3"/>
      <c r="AR294" s="4"/>
      <c r="AS294" s="1"/>
      <c r="AT294" s="1"/>
      <c r="AU294" s="1"/>
      <c r="AV294" s="1"/>
      <c r="AW294" s="1"/>
      <c r="AX294" s="3"/>
      <c r="AY294" s="3"/>
      <c r="AZ294" s="5"/>
      <c r="BA294" s="5"/>
      <c r="BB294" s="5"/>
      <c r="BC294" s="5"/>
      <c r="BD294" s="6"/>
      <c r="BE294" s="6"/>
      <c r="BF294" s="12"/>
      <c r="BG294" s="12"/>
      <c r="BH294" s="12"/>
      <c r="BI294" s="12"/>
      <c r="BJ294" s="12"/>
    </row>
    <row r="295" spans="2:62" x14ac:dyDescent="0.25">
      <c r="B295" s="1" t="s">
        <v>2148</v>
      </c>
      <c r="C295" s="1" t="s">
        <v>2149</v>
      </c>
      <c r="D295" s="1" t="s">
        <v>1190</v>
      </c>
      <c r="E295" s="1" t="s">
        <v>2150</v>
      </c>
      <c r="F295" s="1" t="s">
        <v>2151</v>
      </c>
      <c r="G295" s="1" t="s">
        <v>2152</v>
      </c>
      <c r="H295" s="1" t="s">
        <v>2153</v>
      </c>
      <c r="I295" s="7" t="s">
        <v>1917</v>
      </c>
      <c r="J295" s="44">
        <v>1</v>
      </c>
      <c r="K295" s="45">
        <v>2</v>
      </c>
      <c r="L295" s="1" t="s">
        <v>2154</v>
      </c>
      <c r="M295" s="1" t="s">
        <v>2155</v>
      </c>
      <c r="N295" s="1" t="s">
        <v>1139</v>
      </c>
      <c r="O295" s="1" t="s">
        <v>1920</v>
      </c>
      <c r="P295" s="1" t="s">
        <v>1190</v>
      </c>
      <c r="Q295" s="44">
        <f>IF(L295="283",Multipliers!C322,"oops")</f>
        <v>0.93</v>
      </c>
      <c r="R295" s="44">
        <f>IF(M295="Fayetteville",Multipliers!C109, "GOOF")</f>
        <v>0.91</v>
      </c>
      <c r="S295" s="46">
        <f t="shared" si="131"/>
        <v>356585.57550000009</v>
      </c>
      <c r="T295" s="46">
        <f t="shared" si="132"/>
        <v>341229.8162</v>
      </c>
      <c r="U295" s="46">
        <f t="shared" si="134"/>
        <v>351466.71068600001</v>
      </c>
      <c r="V295" s="46">
        <f t="shared" si="135"/>
        <v>354026.14309300005</v>
      </c>
      <c r="W295" s="47">
        <f t="shared" si="133"/>
        <v>354026.14309300005</v>
      </c>
      <c r="X295" s="47"/>
      <c r="Y295" s="48">
        <f t="shared" si="136"/>
        <v>276603.55768500001</v>
      </c>
      <c r="Z295" s="48">
        <f t="shared" si="137"/>
        <v>306441.95414700004</v>
      </c>
      <c r="AA295" s="48">
        <f t="shared" ref="AA295:AA309" si="138">IF(N295="Standard",((($Z$5*Q295)+($AD$5*R295*$T$3))/2)*$O$7,IF(N295="Severe",((($AA$5*Q295)+($AE$5*R295*$T$3))/2)*$O$7,IF(N295="Hostile",((($AB$5*Q295)+($AF$5*R295*$T$3))/2)*$O$7)))</f>
        <v>354026.14309300005</v>
      </c>
      <c r="AB295" s="48">
        <f t="shared" ref="AB295:AB309" si="139">IF(N295="Standard",((($Z$6*Q295)+($AD$6*R295*$T$3))/2)*$O$7,IF(N295="Severe",((($AA$6*Q295)+($AE$6*R295*$T$3))/2)*$O$7,IF(N295="Hostile",((($AB$6*Q295)+($AF$6*R295*$T$3))/2)*$O$7)))</f>
        <v>382158.98131600005</v>
      </c>
      <c r="AC295" s="48">
        <f t="shared" ref="AC295:AC309" si="140">IF(N295="Standard",((($Z$7*Q295)+($AD$7*R295*$T$3))/2)*$O$7,IF(N295="Severe",((($AA$7*Q295)+($AE$7*R295*$T$3))/2)*$O$7,IF(N295="Hostile",((($AB$7*Q295)+($AF$7*R295*$T$3))/2)*$O$7)))</f>
        <v>412084.713544</v>
      </c>
      <c r="AD295" s="1"/>
      <c r="AE295" s="1"/>
      <c r="AF295" s="1"/>
      <c r="AI295" s="9"/>
      <c r="AJ295" s="1"/>
      <c r="AK295" s="1"/>
      <c r="AL295" s="1"/>
      <c r="AM295" s="1"/>
      <c r="AN295" s="1"/>
      <c r="AO295" s="1"/>
      <c r="AP295" s="9"/>
      <c r="AQ295" s="3"/>
      <c r="AR295" s="4"/>
      <c r="AS295" s="1"/>
      <c r="AT295" s="1"/>
      <c r="AU295" s="1"/>
      <c r="AV295" s="1"/>
      <c r="AW295" s="1"/>
      <c r="AX295" s="3"/>
      <c r="AY295" s="3"/>
      <c r="AZ295" s="5"/>
      <c r="BA295" s="5"/>
      <c r="BB295" s="5"/>
      <c r="BC295" s="5"/>
      <c r="BD295" s="6"/>
      <c r="BE295" s="6"/>
      <c r="BF295" s="12"/>
      <c r="BG295" s="12"/>
      <c r="BH295" s="12"/>
      <c r="BI295" s="12"/>
      <c r="BJ295" s="12"/>
    </row>
    <row r="296" spans="2:62" x14ac:dyDescent="0.25">
      <c r="B296" s="1" t="s">
        <v>2148</v>
      </c>
      <c r="C296" s="1" t="s">
        <v>2156</v>
      </c>
      <c r="D296" s="1" t="s">
        <v>1190</v>
      </c>
      <c r="E296" s="1" t="s">
        <v>2157</v>
      </c>
      <c r="F296" s="1" t="s">
        <v>2158</v>
      </c>
      <c r="G296" s="1" t="s">
        <v>2159</v>
      </c>
      <c r="H296" s="1" t="s">
        <v>2160</v>
      </c>
      <c r="I296" s="7" t="s">
        <v>1917</v>
      </c>
      <c r="J296" s="44">
        <v>1</v>
      </c>
      <c r="K296" s="45">
        <v>1</v>
      </c>
      <c r="L296" s="1" t="s">
        <v>2161</v>
      </c>
      <c r="M296" s="1" t="s">
        <v>2162</v>
      </c>
      <c r="N296" s="1" t="s">
        <v>1139</v>
      </c>
      <c r="O296" s="1" t="s">
        <v>1920</v>
      </c>
      <c r="P296" s="1" t="s">
        <v>1190</v>
      </c>
      <c r="Q296" s="44">
        <f>IF(L296="288",Multipliers!C323,"oops")</f>
        <v>0.94</v>
      </c>
      <c r="R296" s="44">
        <f>IF(M296="Asheville",Multipliers!C108, "GOOF")</f>
        <v>0.92</v>
      </c>
      <c r="S296" s="46">
        <f t="shared" si="131"/>
        <v>360419.82900000003</v>
      </c>
      <c r="T296" s="46">
        <f t="shared" si="132"/>
        <v>344979.5944</v>
      </c>
      <c r="U296" s="46">
        <f t="shared" si="134"/>
        <v>355328.98223200004</v>
      </c>
      <c r="V296" s="46">
        <f t="shared" si="135"/>
        <v>357874.40561600006</v>
      </c>
      <c r="W296" s="47">
        <f t="shared" si="133"/>
        <v>357874.40561600006</v>
      </c>
      <c r="X296" s="47"/>
      <c r="Y296" s="48">
        <f t="shared" si="136"/>
        <v>279608.54222</v>
      </c>
      <c r="Z296" s="48">
        <f t="shared" si="137"/>
        <v>309771.57786399999</v>
      </c>
      <c r="AA296" s="48">
        <f t="shared" si="138"/>
        <v>357874.40561600006</v>
      </c>
      <c r="AB296" s="48">
        <f t="shared" si="139"/>
        <v>386313.49579200003</v>
      </c>
      <c r="AC296" s="48">
        <f t="shared" si="140"/>
        <v>416564.60652800003</v>
      </c>
      <c r="AD296" s="1"/>
      <c r="AE296" s="1"/>
      <c r="AF296" s="1"/>
      <c r="AI296" s="9"/>
      <c r="AJ296" s="1"/>
      <c r="AK296" s="1"/>
      <c r="AL296" s="1"/>
      <c r="AM296" s="1"/>
      <c r="AN296" s="1"/>
      <c r="AO296" s="1"/>
      <c r="AP296" s="9"/>
      <c r="AQ296" s="3"/>
      <c r="AR296" s="4"/>
      <c r="AS296" s="1"/>
      <c r="AT296" s="1"/>
      <c r="AU296" s="1"/>
      <c r="AV296" s="1"/>
      <c r="AW296" s="1"/>
      <c r="AX296" s="3"/>
      <c r="AY296" s="3"/>
      <c r="AZ296" s="5"/>
      <c r="BA296" s="5"/>
      <c r="BB296" s="5"/>
      <c r="BC296" s="5"/>
      <c r="BD296" s="6"/>
      <c r="BE296" s="6"/>
      <c r="BF296" s="12"/>
      <c r="BG296" s="12"/>
      <c r="BH296" s="12"/>
      <c r="BI296" s="12"/>
      <c r="BJ296" s="12"/>
    </row>
    <row r="297" spans="2:62" x14ac:dyDescent="0.25">
      <c r="B297" s="1" t="s">
        <v>2148</v>
      </c>
      <c r="C297" s="1" t="s">
        <v>2163</v>
      </c>
      <c r="D297" s="1" t="s">
        <v>1190</v>
      </c>
      <c r="E297" s="1" t="s">
        <v>1190</v>
      </c>
      <c r="F297" s="1" t="s">
        <v>2164</v>
      </c>
      <c r="G297" s="1" t="s">
        <v>2152</v>
      </c>
      <c r="H297" s="1" t="s">
        <v>2153</v>
      </c>
      <c r="I297" s="7" t="s">
        <v>1917</v>
      </c>
      <c r="J297" s="44">
        <v>1</v>
      </c>
      <c r="K297" s="45">
        <v>2</v>
      </c>
      <c r="L297" s="1" t="s">
        <v>2154</v>
      </c>
      <c r="M297" s="1" t="s">
        <v>2165</v>
      </c>
      <c r="N297" s="1" t="s">
        <v>1139</v>
      </c>
      <c r="O297" s="1" t="s">
        <v>1920</v>
      </c>
      <c r="P297" s="1" t="s">
        <v>1190</v>
      </c>
      <c r="Q297" s="44">
        <f>IF(L297="283",Multipliers!C322,"oops")</f>
        <v>0.93</v>
      </c>
      <c r="R297" s="44">
        <f>IF(M297="Raleigh",Multipliers!C110, "GOOF")</f>
        <v>0.93</v>
      </c>
      <c r="S297" s="46">
        <f t="shared" si="131"/>
        <v>356585.57550000009</v>
      </c>
      <c r="T297" s="46">
        <f t="shared" si="132"/>
        <v>348729.3726</v>
      </c>
      <c r="U297" s="46">
        <f t="shared" si="134"/>
        <v>359191.25377800001</v>
      </c>
      <c r="V297" s="46">
        <f t="shared" si="135"/>
        <v>357888.41463900008</v>
      </c>
      <c r="W297" s="47">
        <f t="shared" si="133"/>
        <v>357888.41463900008</v>
      </c>
      <c r="X297" s="47"/>
      <c r="Y297" s="48">
        <f t="shared" si="136"/>
        <v>279463.56175500003</v>
      </c>
      <c r="Z297" s="48">
        <f t="shared" si="137"/>
        <v>309655.00568099995</v>
      </c>
      <c r="AA297" s="48">
        <f t="shared" si="138"/>
        <v>357888.41463900008</v>
      </c>
      <c r="AB297" s="48">
        <f t="shared" si="139"/>
        <v>386369.84626800002</v>
      </c>
      <c r="AC297" s="48">
        <f t="shared" si="140"/>
        <v>416630.04751200002</v>
      </c>
      <c r="AD297" s="1"/>
      <c r="AE297" s="1"/>
      <c r="AF297" s="1"/>
      <c r="AI297" s="9"/>
      <c r="AJ297" s="1"/>
      <c r="AK297" s="1"/>
      <c r="AL297" s="1"/>
      <c r="AM297" s="1"/>
      <c r="AN297" s="1"/>
      <c r="AO297" s="1"/>
      <c r="AP297" s="9"/>
      <c r="AQ297" s="3"/>
      <c r="AR297" s="4"/>
      <c r="AS297" s="1"/>
      <c r="AT297" s="1"/>
      <c r="AU297" s="1"/>
      <c r="AV297" s="1"/>
      <c r="AW297" s="1"/>
      <c r="AX297" s="3"/>
      <c r="AY297" s="3"/>
      <c r="AZ297" s="5"/>
      <c r="BA297" s="5"/>
      <c r="BB297" s="5"/>
      <c r="BC297" s="5"/>
      <c r="BD297" s="6"/>
      <c r="BE297" s="6"/>
      <c r="BF297" s="12"/>
      <c r="BG297" s="12"/>
      <c r="BH297" s="12"/>
      <c r="BI297" s="12"/>
      <c r="BJ297" s="12"/>
    </row>
    <row r="298" spans="2:62" x14ac:dyDescent="0.25">
      <c r="B298" s="1" t="s">
        <v>2148</v>
      </c>
      <c r="C298" s="1" t="s">
        <v>2166</v>
      </c>
      <c r="D298" s="1" t="s">
        <v>1190</v>
      </c>
      <c r="E298" s="1" t="s">
        <v>1190</v>
      </c>
      <c r="F298" s="1" t="s">
        <v>2167</v>
      </c>
      <c r="G298" s="1" t="s">
        <v>2152</v>
      </c>
      <c r="H298" s="1" t="s">
        <v>2153</v>
      </c>
      <c r="I298" s="7" t="s">
        <v>1917</v>
      </c>
      <c r="J298" s="44">
        <v>1</v>
      </c>
      <c r="K298" s="45">
        <v>2</v>
      </c>
      <c r="L298" s="1" t="s">
        <v>2154</v>
      </c>
      <c r="M298" s="1" t="s">
        <v>2155</v>
      </c>
      <c r="N298" s="1" t="s">
        <v>1139</v>
      </c>
      <c r="O298" s="1" t="s">
        <v>1920</v>
      </c>
      <c r="P298" s="1" t="s">
        <v>1190</v>
      </c>
      <c r="Q298" s="44">
        <f>IF(L298="283",Multipliers!C322,"oops")</f>
        <v>0.93</v>
      </c>
      <c r="R298" s="44">
        <f>IF(M298="Fayetteville",Multipliers!C109, "GOOF")</f>
        <v>0.91</v>
      </c>
      <c r="S298" s="46">
        <f t="shared" si="131"/>
        <v>356585.57550000009</v>
      </c>
      <c r="T298" s="46">
        <f t="shared" si="132"/>
        <v>341229.8162</v>
      </c>
      <c r="U298" s="46">
        <f t="shared" si="134"/>
        <v>351466.71068600001</v>
      </c>
      <c r="V298" s="46">
        <f t="shared" si="135"/>
        <v>354026.14309300005</v>
      </c>
      <c r="W298" s="47">
        <f t="shared" si="133"/>
        <v>354026.14309300005</v>
      </c>
      <c r="X298" s="47"/>
      <c r="Y298" s="48">
        <f t="shared" si="136"/>
        <v>276603.55768500001</v>
      </c>
      <c r="Z298" s="48">
        <f t="shared" si="137"/>
        <v>306441.95414700004</v>
      </c>
      <c r="AA298" s="48">
        <f t="shared" si="138"/>
        <v>354026.14309300005</v>
      </c>
      <c r="AB298" s="48">
        <f t="shared" si="139"/>
        <v>382158.98131600005</v>
      </c>
      <c r="AC298" s="48">
        <f t="shared" si="140"/>
        <v>412084.713544</v>
      </c>
      <c r="AD298" s="1"/>
      <c r="AE298" s="1"/>
      <c r="AF298" s="1"/>
      <c r="AI298" s="9"/>
      <c r="AJ298" s="1"/>
      <c r="AK298" s="1"/>
      <c r="AL298" s="1"/>
      <c r="AM298" s="1"/>
      <c r="AN298" s="1"/>
      <c r="AO298" s="1"/>
      <c r="AP298" s="9"/>
      <c r="AQ298" s="3"/>
      <c r="AR298" s="4"/>
      <c r="AS298" s="1"/>
      <c r="AT298" s="1"/>
      <c r="AU298" s="1"/>
      <c r="AV298" s="1"/>
      <c r="AW298" s="1"/>
      <c r="AX298" s="3"/>
      <c r="AY298" s="3"/>
      <c r="AZ298" s="5"/>
      <c r="BA298" s="5"/>
      <c r="BB298" s="5"/>
      <c r="BC298" s="5"/>
      <c r="BD298" s="6"/>
      <c r="BE298" s="6"/>
      <c r="BF298" s="12"/>
      <c r="BG298" s="12"/>
      <c r="BH298" s="12"/>
      <c r="BI298" s="12"/>
      <c r="BJ298" s="12"/>
    </row>
    <row r="299" spans="2:62" x14ac:dyDescent="0.25">
      <c r="B299" s="1" t="s">
        <v>2148</v>
      </c>
      <c r="C299" s="1" t="s">
        <v>2168</v>
      </c>
      <c r="D299" s="1" t="s">
        <v>1190</v>
      </c>
      <c r="E299" s="1" t="s">
        <v>1190</v>
      </c>
      <c r="F299" s="1" t="s">
        <v>2169</v>
      </c>
      <c r="G299" s="1" t="s">
        <v>2152</v>
      </c>
      <c r="H299" s="1" t="s">
        <v>2153</v>
      </c>
      <c r="I299" s="7" t="s">
        <v>1917</v>
      </c>
      <c r="J299" s="44">
        <v>1</v>
      </c>
      <c r="K299" s="45">
        <v>2</v>
      </c>
      <c r="L299" s="1" t="s">
        <v>2154</v>
      </c>
      <c r="M299" s="1" t="s">
        <v>2155</v>
      </c>
      <c r="N299" s="1" t="s">
        <v>1139</v>
      </c>
      <c r="O299" s="1" t="s">
        <v>1920</v>
      </c>
      <c r="P299" s="1"/>
      <c r="Q299" s="44">
        <f>IF(L299="283",Multipliers!C322,"oops")</f>
        <v>0.93</v>
      </c>
      <c r="R299" s="44">
        <f>IF(M299="Fayetteville",Multipliers!C109, "GOOF")</f>
        <v>0.91</v>
      </c>
      <c r="S299" s="46">
        <f t="shared" si="131"/>
        <v>356585.57550000009</v>
      </c>
      <c r="T299" s="46">
        <f t="shared" si="132"/>
        <v>341229.8162</v>
      </c>
      <c r="U299" s="46">
        <f t="shared" si="134"/>
        <v>351466.71068600001</v>
      </c>
      <c r="V299" s="46">
        <f t="shared" si="135"/>
        <v>354026.14309300005</v>
      </c>
      <c r="W299" s="47">
        <f t="shared" si="133"/>
        <v>354026.14309300005</v>
      </c>
      <c r="X299" s="47"/>
      <c r="Y299" s="48">
        <f t="shared" si="136"/>
        <v>276603.55768500001</v>
      </c>
      <c r="Z299" s="48">
        <f t="shared" si="137"/>
        <v>306441.95414700004</v>
      </c>
      <c r="AA299" s="48">
        <f t="shared" si="138"/>
        <v>354026.14309300005</v>
      </c>
      <c r="AB299" s="48">
        <f t="shared" si="139"/>
        <v>382158.98131600005</v>
      </c>
      <c r="AC299" s="48">
        <f t="shared" si="140"/>
        <v>412084.713544</v>
      </c>
      <c r="AD299" s="1"/>
      <c r="AE299" s="1"/>
      <c r="AF299" s="1"/>
      <c r="AI299" s="9"/>
      <c r="AJ299" s="1"/>
      <c r="AK299" s="1"/>
      <c r="AL299" s="1"/>
      <c r="AM299" s="1"/>
      <c r="AN299" s="1"/>
      <c r="AO299" s="1"/>
      <c r="AP299" s="9"/>
      <c r="AQ299" s="3"/>
      <c r="AR299" s="4"/>
      <c r="AS299" s="1"/>
      <c r="AT299" s="1"/>
      <c r="AU299" s="1"/>
      <c r="AV299" s="1"/>
      <c r="AW299" s="1"/>
      <c r="AX299" s="3"/>
      <c r="AY299" s="3"/>
      <c r="AZ299" s="5"/>
      <c r="BA299" s="5"/>
      <c r="BB299" s="5"/>
      <c r="BC299" s="5"/>
      <c r="BD299" s="6"/>
      <c r="BE299" s="6"/>
      <c r="BF299" s="12"/>
      <c r="BG299" s="12"/>
      <c r="BH299" s="12"/>
      <c r="BI299" s="12"/>
      <c r="BJ299" s="12"/>
    </row>
    <row r="300" spans="2:62" x14ac:dyDescent="0.25">
      <c r="B300" s="1" t="s">
        <v>2148</v>
      </c>
      <c r="C300" s="1" t="s">
        <v>2170</v>
      </c>
      <c r="D300" s="1" t="s">
        <v>1190</v>
      </c>
      <c r="E300" s="1" t="s">
        <v>1190</v>
      </c>
      <c r="F300" s="1" t="s">
        <v>2171</v>
      </c>
      <c r="G300" s="1" t="s">
        <v>2152</v>
      </c>
      <c r="H300" s="1" t="s">
        <v>2153</v>
      </c>
      <c r="I300" s="7" t="s">
        <v>1917</v>
      </c>
      <c r="J300" s="44">
        <v>1</v>
      </c>
      <c r="K300" s="45">
        <v>2</v>
      </c>
      <c r="L300" s="1" t="s">
        <v>2154</v>
      </c>
      <c r="M300" s="1" t="s">
        <v>2155</v>
      </c>
      <c r="N300" s="1" t="s">
        <v>1139</v>
      </c>
      <c r="O300" s="1" t="s">
        <v>1920</v>
      </c>
      <c r="P300" s="1" t="s">
        <v>1190</v>
      </c>
      <c r="Q300" s="44">
        <f>IF(L300="283",Multipliers!C322,"oops")</f>
        <v>0.93</v>
      </c>
      <c r="R300" s="44">
        <f>IF(M300="Fayetteville",Multipliers!C109, "GOOF")</f>
        <v>0.91</v>
      </c>
      <c r="S300" s="46">
        <f t="shared" si="131"/>
        <v>356585.57550000009</v>
      </c>
      <c r="T300" s="46">
        <f t="shared" si="132"/>
        <v>341229.8162</v>
      </c>
      <c r="U300" s="46">
        <f t="shared" si="134"/>
        <v>351466.71068600001</v>
      </c>
      <c r="V300" s="46">
        <f t="shared" si="135"/>
        <v>354026.14309300005</v>
      </c>
      <c r="W300" s="47">
        <f t="shared" si="133"/>
        <v>354026.14309300005</v>
      </c>
      <c r="X300" s="47"/>
      <c r="Y300" s="48">
        <f t="shared" si="136"/>
        <v>276603.55768500001</v>
      </c>
      <c r="Z300" s="48">
        <f t="shared" si="137"/>
        <v>306441.95414700004</v>
      </c>
      <c r="AA300" s="48">
        <f t="shared" si="138"/>
        <v>354026.14309300005</v>
      </c>
      <c r="AB300" s="48">
        <f t="shared" si="139"/>
        <v>382158.98131600005</v>
      </c>
      <c r="AC300" s="48">
        <f t="shared" si="140"/>
        <v>412084.713544</v>
      </c>
      <c r="AD300" s="1"/>
      <c r="AE300" s="1"/>
      <c r="AF300" s="1"/>
      <c r="AI300" s="9"/>
      <c r="AJ300" s="1"/>
      <c r="AK300" s="1"/>
      <c r="AL300" s="1"/>
      <c r="AM300" s="1"/>
      <c r="AN300" s="1"/>
      <c r="AO300" s="1"/>
      <c r="AP300" s="9"/>
      <c r="AQ300" s="3"/>
      <c r="AR300" s="4"/>
      <c r="AS300" s="1"/>
      <c r="AT300" s="1"/>
      <c r="AU300" s="1"/>
      <c r="AV300" s="1"/>
      <c r="AW300" s="1"/>
      <c r="AX300" s="3"/>
      <c r="AY300" s="3"/>
      <c r="AZ300" s="5"/>
      <c r="BA300" s="5"/>
      <c r="BB300" s="5"/>
      <c r="BC300" s="5"/>
      <c r="BD300" s="6"/>
      <c r="BE300" s="6"/>
      <c r="BF300" s="12"/>
      <c r="BG300" s="12"/>
      <c r="BH300" s="12"/>
      <c r="BI300" s="12"/>
      <c r="BJ300" s="12"/>
    </row>
    <row r="301" spans="2:62" x14ac:dyDescent="0.25">
      <c r="B301" s="1" t="s">
        <v>2172</v>
      </c>
      <c r="C301" s="1" t="s">
        <v>2173</v>
      </c>
      <c r="D301" s="1" t="s">
        <v>1190</v>
      </c>
      <c r="E301" s="1" t="s">
        <v>2174</v>
      </c>
      <c r="F301" s="1" t="s">
        <v>2175</v>
      </c>
      <c r="G301" s="1" t="s">
        <v>1190</v>
      </c>
      <c r="H301" s="1" t="s">
        <v>1190</v>
      </c>
      <c r="I301" s="7" t="s">
        <v>1917</v>
      </c>
      <c r="J301" s="44">
        <v>1</v>
      </c>
      <c r="K301" s="45">
        <v>1</v>
      </c>
      <c r="L301" s="1" t="s">
        <v>2176</v>
      </c>
      <c r="M301" s="1" t="s">
        <v>2177</v>
      </c>
      <c r="N301" s="1" t="s">
        <v>1140</v>
      </c>
      <c r="O301" s="1" t="s">
        <v>1920</v>
      </c>
      <c r="P301" s="1" t="s">
        <v>1190</v>
      </c>
      <c r="Q301" s="44">
        <f>IF(L301="141",Multipliers!C317,"oops")</f>
        <v>1.0900000000000001</v>
      </c>
      <c r="R301" s="44">
        <f>IF(M301="Buffalo",Multipliers!C103, "GOOF")</f>
        <v>1.1599999999999999</v>
      </c>
      <c r="S301" s="46">
        <f t="shared" si="131"/>
        <v>442618.28380000009</v>
      </c>
      <c r="T301" s="46">
        <f t="shared" si="132"/>
        <v>453530.50119999994</v>
      </c>
      <c r="U301" s="46">
        <f t="shared" si="134"/>
        <v>467136.41623599996</v>
      </c>
      <c r="V301" s="46">
        <f t="shared" si="135"/>
        <v>454877.350018</v>
      </c>
      <c r="W301" s="47">
        <f t="shared" si="133"/>
        <v>454877.350018</v>
      </c>
      <c r="X301" s="47"/>
      <c r="Y301" s="48">
        <f t="shared" si="136"/>
        <v>355955.87180999998</v>
      </c>
      <c r="Z301" s="48">
        <f t="shared" si="137"/>
        <v>393328.64197199995</v>
      </c>
      <c r="AA301" s="48">
        <f t="shared" si="138"/>
        <v>454877.35001800006</v>
      </c>
      <c r="AB301" s="48">
        <f t="shared" si="139"/>
        <v>492819.43786600005</v>
      </c>
      <c r="AC301" s="48">
        <f t="shared" si="140"/>
        <v>531291.28109399998</v>
      </c>
      <c r="AD301" s="1"/>
      <c r="AE301" s="1"/>
      <c r="AF301" s="1"/>
      <c r="AI301" s="9"/>
      <c r="AJ301" s="1"/>
      <c r="AK301" s="1"/>
      <c r="AL301" s="1"/>
      <c r="AM301" s="1"/>
      <c r="AN301" s="1"/>
      <c r="AO301" s="1"/>
      <c r="AP301" s="9"/>
      <c r="AQ301" s="3"/>
      <c r="AR301" s="4"/>
      <c r="AS301" s="1"/>
      <c r="AT301" s="1"/>
      <c r="AU301" s="1"/>
      <c r="AV301" s="1"/>
      <c r="AW301" s="1"/>
      <c r="AX301" s="3"/>
      <c r="AY301" s="3"/>
      <c r="AZ301" s="5"/>
      <c r="BA301" s="5"/>
      <c r="BB301" s="5"/>
      <c r="BC301" s="5"/>
      <c r="BD301" s="6"/>
      <c r="BE301" s="6"/>
      <c r="BF301" s="12"/>
      <c r="BG301" s="12"/>
      <c r="BH301" s="12"/>
      <c r="BI301" s="12"/>
      <c r="BJ301" s="12"/>
    </row>
    <row r="302" spans="2:62" x14ac:dyDescent="0.25">
      <c r="B302" s="1" t="s">
        <v>2172</v>
      </c>
      <c r="C302" s="1" t="s">
        <v>2178</v>
      </c>
      <c r="D302" s="1" t="s">
        <v>1190</v>
      </c>
      <c r="E302" s="1" t="s">
        <v>2179</v>
      </c>
      <c r="F302" s="1" t="s">
        <v>2180</v>
      </c>
      <c r="G302" s="1" t="s">
        <v>2181</v>
      </c>
      <c r="H302" s="1" t="s">
        <v>2182</v>
      </c>
      <c r="I302" s="7" t="s">
        <v>1917</v>
      </c>
      <c r="J302" s="44">
        <v>1</v>
      </c>
      <c r="K302" s="45">
        <v>1</v>
      </c>
      <c r="L302" s="1" t="s">
        <v>2183</v>
      </c>
      <c r="M302" s="1" t="s">
        <v>2184</v>
      </c>
      <c r="N302" s="1" t="s">
        <v>1140</v>
      </c>
      <c r="O302" s="1" t="s">
        <v>1920</v>
      </c>
      <c r="P302" s="1" t="s">
        <v>1190</v>
      </c>
      <c r="Q302" s="44">
        <f>IF(L302="130",Multipliers!C313,"oops")</f>
        <v>0.98</v>
      </c>
      <c r="R302" s="44">
        <f>IF(M302="Syracuse",Multipliers!C106, "GOOF")</f>
        <v>1.1100000000000001</v>
      </c>
      <c r="S302" s="46">
        <f t="shared" si="131"/>
        <v>397950.38360000006</v>
      </c>
      <c r="T302" s="46">
        <f t="shared" si="132"/>
        <v>433981.77270000003</v>
      </c>
      <c r="U302" s="46">
        <f t="shared" si="134"/>
        <v>447001.22588100005</v>
      </c>
      <c r="V302" s="46">
        <f t="shared" si="135"/>
        <v>422475.80474050005</v>
      </c>
      <c r="W302" s="47">
        <f t="shared" si="133"/>
        <v>422475.80474050005</v>
      </c>
      <c r="X302" s="47"/>
      <c r="Y302" s="48">
        <f t="shared" si="136"/>
        <v>330051.491385</v>
      </c>
      <c r="Z302" s="48">
        <f t="shared" si="137"/>
        <v>364869.53783699998</v>
      </c>
      <c r="AA302" s="48">
        <f t="shared" si="138"/>
        <v>422475.80474050005</v>
      </c>
      <c r="AB302" s="48">
        <f t="shared" si="139"/>
        <v>457851.88941100001</v>
      </c>
      <c r="AC302" s="48">
        <f t="shared" si="140"/>
        <v>493617.92099900008</v>
      </c>
      <c r="AD302" s="1"/>
      <c r="AE302" s="1"/>
      <c r="AF302" s="1"/>
      <c r="AI302" s="9"/>
      <c r="AJ302" s="1"/>
      <c r="AK302" s="1"/>
      <c r="AL302" s="1"/>
      <c r="AM302" s="1"/>
      <c r="AN302" s="1"/>
      <c r="AO302" s="1"/>
      <c r="AP302" s="9"/>
      <c r="AQ302" s="3"/>
      <c r="AR302" s="4"/>
      <c r="AS302" s="1"/>
      <c r="AT302" s="1"/>
      <c r="AU302" s="1"/>
      <c r="AV302" s="1"/>
      <c r="AW302" s="1"/>
      <c r="AX302" s="3"/>
      <c r="AY302" s="3"/>
      <c r="AZ302" s="5"/>
      <c r="BA302" s="5"/>
      <c r="BB302" s="5"/>
      <c r="BC302" s="5"/>
      <c r="BD302" s="6"/>
      <c r="BE302" s="6"/>
      <c r="BF302" s="12"/>
      <c r="BG302" s="12"/>
      <c r="BH302" s="12"/>
      <c r="BI302" s="12"/>
      <c r="BJ302" s="12"/>
    </row>
    <row r="303" spans="2:62" x14ac:dyDescent="0.25">
      <c r="B303" s="1" t="s">
        <v>2172</v>
      </c>
      <c r="C303" s="1" t="s">
        <v>2185</v>
      </c>
      <c r="D303" s="1" t="s">
        <v>1190</v>
      </c>
      <c r="E303" s="1" t="s">
        <v>2186</v>
      </c>
      <c r="F303" s="1" t="s">
        <v>2187</v>
      </c>
      <c r="G303" s="1" t="s">
        <v>1190</v>
      </c>
      <c r="H303" s="1" t="s">
        <v>1190</v>
      </c>
      <c r="I303" s="7" t="s">
        <v>1917</v>
      </c>
      <c r="J303" s="44">
        <v>1</v>
      </c>
      <c r="K303" s="45">
        <v>1</v>
      </c>
      <c r="L303" s="1" t="s">
        <v>2188</v>
      </c>
      <c r="M303" s="1" t="s">
        <v>2184</v>
      </c>
      <c r="N303" s="1" t="s">
        <v>1140</v>
      </c>
      <c r="O303" s="1" t="s">
        <v>1920</v>
      </c>
      <c r="P303" s="1" t="s">
        <v>1190</v>
      </c>
      <c r="Q303" s="44">
        <f>IF(L303="132",Multipliers!C314,"oops")</f>
        <v>0.98</v>
      </c>
      <c r="R303" s="44">
        <f>IF(M303="Syracuse",Multipliers!C106, "GOOF")</f>
        <v>1.1100000000000001</v>
      </c>
      <c r="S303" s="46">
        <f t="shared" si="131"/>
        <v>397950.38360000006</v>
      </c>
      <c r="T303" s="46">
        <f t="shared" si="132"/>
        <v>433981.77270000003</v>
      </c>
      <c r="U303" s="46">
        <f t="shared" si="134"/>
        <v>447001.22588100005</v>
      </c>
      <c r="V303" s="46">
        <f t="shared" si="135"/>
        <v>422475.80474050005</v>
      </c>
      <c r="W303" s="47">
        <f t="shared" si="133"/>
        <v>422475.80474050005</v>
      </c>
      <c r="X303" s="47"/>
      <c r="Y303" s="48">
        <f t="shared" si="136"/>
        <v>330051.491385</v>
      </c>
      <c r="Z303" s="48">
        <f t="shared" si="137"/>
        <v>364869.53783699998</v>
      </c>
      <c r="AA303" s="48">
        <f t="shared" si="138"/>
        <v>422475.80474050005</v>
      </c>
      <c r="AB303" s="48">
        <f t="shared" si="139"/>
        <v>457851.88941100001</v>
      </c>
      <c r="AC303" s="48">
        <f t="shared" si="140"/>
        <v>493617.92099900008</v>
      </c>
      <c r="AD303" s="1"/>
      <c r="AE303" s="1"/>
      <c r="AF303" s="1"/>
      <c r="AI303" s="9"/>
      <c r="AJ303" s="1"/>
      <c r="AK303" s="1"/>
      <c r="AL303" s="1"/>
      <c r="AM303" s="1"/>
      <c r="AN303" s="1"/>
      <c r="AO303" s="1"/>
      <c r="AP303" s="9"/>
      <c r="AQ303" s="3"/>
      <c r="AR303" s="4"/>
      <c r="AS303" s="1"/>
      <c r="AT303" s="1"/>
      <c r="AU303" s="1"/>
      <c r="AV303" s="1"/>
      <c r="AW303" s="1"/>
      <c r="AX303" s="3"/>
      <c r="AY303" s="3"/>
      <c r="AZ303" s="5"/>
      <c r="BA303" s="5"/>
      <c r="BB303" s="5"/>
      <c r="BC303" s="5"/>
      <c r="BD303" s="6"/>
      <c r="BE303" s="6"/>
      <c r="BF303" s="12"/>
      <c r="BG303" s="12"/>
      <c r="BH303" s="12"/>
      <c r="BI303" s="12"/>
      <c r="BJ303" s="12"/>
    </row>
    <row r="304" spans="2:62" x14ac:dyDescent="0.25">
      <c r="B304" s="1" t="s">
        <v>2172</v>
      </c>
      <c r="C304" s="1" t="s">
        <v>2189</v>
      </c>
      <c r="D304" s="1" t="s">
        <v>1190</v>
      </c>
      <c r="E304" s="1" t="s">
        <v>2190</v>
      </c>
      <c r="F304" s="1" t="s">
        <v>2191</v>
      </c>
      <c r="G304" s="1" t="s">
        <v>2192</v>
      </c>
      <c r="H304" s="1" t="s">
        <v>2193</v>
      </c>
      <c r="I304" s="7" t="s">
        <v>1917</v>
      </c>
      <c r="J304" s="44">
        <v>1</v>
      </c>
      <c r="K304" s="45">
        <v>1</v>
      </c>
      <c r="L304" s="1" t="s">
        <v>2194</v>
      </c>
      <c r="M304" s="1" t="s">
        <v>2177</v>
      </c>
      <c r="N304" s="1" t="s">
        <v>1140</v>
      </c>
      <c r="O304" s="1" t="s">
        <v>1920</v>
      </c>
      <c r="P304" s="1" t="s">
        <v>1190</v>
      </c>
      <c r="Q304" s="44">
        <f>IF(L304="140",Multipliers!C316,"oops")</f>
        <v>1.0900000000000001</v>
      </c>
      <c r="R304" s="44">
        <f>IF(M304="Buffalo",Multipliers!C103, "GOOF")</f>
        <v>1.1599999999999999</v>
      </c>
      <c r="S304" s="46">
        <f t="shared" si="131"/>
        <v>442618.28380000009</v>
      </c>
      <c r="T304" s="46">
        <f t="shared" si="132"/>
        <v>453530.50119999994</v>
      </c>
      <c r="U304" s="46">
        <f t="shared" si="134"/>
        <v>467136.41623599996</v>
      </c>
      <c r="V304" s="46">
        <f t="shared" si="135"/>
        <v>454877.350018</v>
      </c>
      <c r="W304" s="47">
        <f>IF(F304=F306,(V304+V306)/2,IF(F304=F303,(V304+V303)/2,IF(F304&lt;&gt;F303,V304)))</f>
        <v>454877.350018</v>
      </c>
      <c r="X304" s="47"/>
      <c r="Y304" s="48">
        <f t="shared" si="136"/>
        <v>355955.87180999998</v>
      </c>
      <c r="Z304" s="48">
        <f t="shared" si="137"/>
        <v>393328.64197199995</v>
      </c>
      <c r="AA304" s="48">
        <f t="shared" si="138"/>
        <v>454877.35001800006</v>
      </c>
      <c r="AB304" s="48">
        <f t="shared" si="139"/>
        <v>492819.43786600005</v>
      </c>
      <c r="AC304" s="48">
        <f t="shared" si="140"/>
        <v>531291.28109399998</v>
      </c>
      <c r="AD304" s="1"/>
      <c r="AE304" s="1"/>
      <c r="AF304" s="1"/>
      <c r="AI304" s="9"/>
      <c r="AJ304" s="1"/>
      <c r="AK304" s="1"/>
      <c r="AL304" s="1"/>
      <c r="AM304" s="1"/>
      <c r="AN304" s="1"/>
      <c r="AO304" s="1"/>
      <c r="AP304" s="9"/>
      <c r="AQ304" s="3"/>
      <c r="AR304" s="4"/>
      <c r="AS304" s="1"/>
      <c r="AT304" s="1"/>
      <c r="AU304" s="1"/>
      <c r="AV304" s="1"/>
      <c r="AW304" s="1"/>
      <c r="AX304" s="3"/>
      <c r="AY304" s="3"/>
      <c r="AZ304" s="5"/>
      <c r="BA304" s="5"/>
      <c r="BB304" s="5"/>
      <c r="BC304" s="5"/>
      <c r="BD304" s="6"/>
      <c r="BE304" s="6"/>
      <c r="BF304" s="12"/>
      <c r="BG304" s="12"/>
      <c r="BH304" s="12"/>
      <c r="BI304" s="12"/>
      <c r="BJ304" s="12"/>
    </row>
    <row r="305" spans="2:62" x14ac:dyDescent="0.25">
      <c r="B305" s="84" t="s">
        <v>2172</v>
      </c>
      <c r="C305" s="1"/>
      <c r="D305" s="1"/>
      <c r="E305" s="1"/>
      <c r="F305" s="84" t="s">
        <v>2665</v>
      </c>
      <c r="G305" s="84" t="s">
        <v>2172</v>
      </c>
      <c r="H305" s="84" t="s">
        <v>2665</v>
      </c>
      <c r="I305" s="85" t="s">
        <v>1917</v>
      </c>
      <c r="J305" s="44">
        <v>1</v>
      </c>
      <c r="K305" s="45">
        <v>1</v>
      </c>
      <c r="L305" s="1">
        <v>119</v>
      </c>
      <c r="M305" s="84" t="s">
        <v>2666</v>
      </c>
      <c r="N305" s="84" t="s">
        <v>1140</v>
      </c>
      <c r="O305" s="84" t="s">
        <v>1920</v>
      </c>
      <c r="P305" s="1"/>
      <c r="Q305" s="44">
        <v>1.21</v>
      </c>
      <c r="R305" s="44">
        <v>1.43</v>
      </c>
      <c r="S305" s="46">
        <f>IF(N305="Standard",$O$5*Q305*$O$7,IF(N305="Severe",$O$4*Q305*$O$7,IF(N305="Hostile",$O$3*Q305*$O$7)))</f>
        <v>491346.90220000001</v>
      </c>
      <c r="T305" s="46">
        <f>IF(N305="Standard",$P$5*R305*$O$7,IF(N305="Severe",$P$4*R305*$O$7,IF(N305="Hostile",$P$3*R305*$O$7)))</f>
        <v>559093.63509999996</v>
      </c>
      <c r="U305" s="46">
        <f>IF(O305="E",$T$3*T305,IF(O305="C",$T$4*T305,IF(O305="W",$T$5*T305,1)))</f>
        <v>575866.44415300002</v>
      </c>
      <c r="V305" s="46">
        <f>(S305+U305)/2</f>
        <v>533606.67317650001</v>
      </c>
      <c r="W305" s="47">
        <f>IF(F305=F307,(V305+V307)/2,IF(F305=F304,(V305+V304)/2,IF(F305&lt;&gt;F304,V305)))</f>
        <v>533606.67317650001</v>
      </c>
      <c r="X305" s="47"/>
      <c r="Y305" s="48">
        <f>IF(N305="Standard",(((($Z$3*Q305)+($AD$3*R305*$T$5))/2)*$O$7),IF(N305="Severe",(((($AA$3*Q305)+($AE$3*R305*$T$5))/2)*$O$7),IF(N305="Hostile",(((($AB$3*Q305)+($AF$3*R305*$T$5))/2)*$O$7))))</f>
        <v>416398.89175499999</v>
      </c>
      <c r="Z305" s="48">
        <f>IF(N305="Standard",(((($Z$4*Q305)+($AD$4*R305*$T$5))/2)*$O$7),IF(N305="Severe",(((($AA$4*Q305)+($AE$4*R305*$T$5))/2)*$O$7),IF(N305="Hostile",(((($AB$4*Q305)+($AF$4*R305*$T$5))/2)*$O$7))))</f>
        <v>460467.92738099996</v>
      </c>
      <c r="AA305" s="48">
        <f>IF(N305="Standard",((($Z$5*Q305)+($AD$5*R305*$T$3))/2)*$O$7,IF(N305="Severe",((($AA$5*Q305)+($AE$5*R305*$T$3))/2)*$O$7,IF(N305="Hostile",((($AB$5*Q305)+($AF$5*R305*$T$3))/2)*$O$7)))</f>
        <v>533606.67317650001</v>
      </c>
      <c r="AB305" s="48">
        <f>IF(N305="Standard",((($Z$6*Q305)+($AD$6*R305*$T$3))/2)*$O$7,IF(N305="Severe",((($AA$6*Q305)+($AE$6*R305*$T$3))/2)*$O$7,IF(N305="Hostile",((($AB$6*Q305)+($AF$6*R305*$T$3))/2)*$O$7)))</f>
        <v>578405.67469300004</v>
      </c>
      <c r="AC305" s="48">
        <f>IF(N305="Standard",((($Z$7*Q305)+($AD$7*R305*$T$3))/2)*$O$7,IF(N305="Severe",((($AA$7*Q305)+($AE$7*R305*$T$3))/2)*$O$7,IF(N305="Hostile",((($AB$7*Q305)+($AF$7*R305*$T$3))/2)*$O$7)))</f>
        <v>623609.54663700005</v>
      </c>
      <c r="AD305" s="1"/>
      <c r="AE305" s="1"/>
      <c r="AF305" s="1"/>
      <c r="AI305" s="9"/>
      <c r="AJ305" s="1"/>
      <c r="AK305" s="1"/>
      <c r="AL305" s="1"/>
      <c r="AM305" s="1"/>
      <c r="AN305" s="1"/>
      <c r="AO305" s="1"/>
      <c r="AP305" s="9"/>
      <c r="AQ305" s="3"/>
      <c r="AR305" s="4"/>
      <c r="AS305" s="1"/>
      <c r="AT305" s="1"/>
      <c r="AU305" s="1"/>
      <c r="AV305" s="1"/>
      <c r="AW305" s="1"/>
      <c r="AX305" s="3"/>
      <c r="AY305" s="3"/>
      <c r="AZ305" s="5"/>
      <c r="BA305" s="5"/>
      <c r="BB305" s="5"/>
      <c r="BC305" s="5"/>
      <c r="BD305" s="6"/>
      <c r="BE305" s="6"/>
      <c r="BF305" s="12"/>
      <c r="BG305" s="12"/>
      <c r="BH305" s="12"/>
      <c r="BI305" s="12"/>
      <c r="BJ305" s="12"/>
    </row>
    <row r="306" spans="2:62" x14ac:dyDescent="0.25">
      <c r="B306" s="1" t="s">
        <v>2172</v>
      </c>
      <c r="C306" s="1" t="s">
        <v>2195</v>
      </c>
      <c r="D306" s="1" t="s">
        <v>1190</v>
      </c>
      <c r="E306" s="1" t="s">
        <v>2196</v>
      </c>
      <c r="F306" s="1" t="s">
        <v>2197</v>
      </c>
      <c r="G306" s="1" t="s">
        <v>2198</v>
      </c>
      <c r="H306" s="1" t="s">
        <v>2199</v>
      </c>
      <c r="I306" s="7" t="s">
        <v>1917</v>
      </c>
      <c r="J306" s="44">
        <v>1</v>
      </c>
      <c r="K306" s="45">
        <v>1</v>
      </c>
      <c r="L306" s="1" t="s">
        <v>2200</v>
      </c>
      <c r="M306" s="1" t="s">
        <v>2201</v>
      </c>
      <c r="N306" s="1" t="s">
        <v>1140</v>
      </c>
      <c r="O306" s="1" t="s">
        <v>1920</v>
      </c>
      <c r="P306" s="1" t="s">
        <v>1190</v>
      </c>
      <c r="Q306" s="44">
        <f>IF(L306="136",Multipliers!C315,"oops")</f>
        <v>0.96</v>
      </c>
      <c r="R306" s="44">
        <f>IF(M306="Plattsburgh",Multipliers!C105, "GOOF")</f>
        <v>1.04</v>
      </c>
      <c r="S306" s="46">
        <f t="shared" si="131"/>
        <v>389828.94720000005</v>
      </c>
      <c r="T306" s="46">
        <f t="shared" si="132"/>
        <v>406613.55280000006</v>
      </c>
      <c r="U306" s="46">
        <f t="shared" si="134"/>
        <v>418811.9593840001</v>
      </c>
      <c r="V306" s="46">
        <f t="shared" si="135"/>
        <v>404320.45329200011</v>
      </c>
      <c r="W306" s="47">
        <f>IF(F306=F307,(V306+V307)/2,IF(F306=F304,(V306+V304)/2,IF(F306&lt;&gt;F304,V306)))</f>
        <v>404320.45329200011</v>
      </c>
      <c r="X306" s="47"/>
      <c r="Y306" s="48">
        <f t="shared" si="136"/>
        <v>316243.25964</v>
      </c>
      <c r="Z306" s="48">
        <f t="shared" si="137"/>
        <v>349491.65176799998</v>
      </c>
      <c r="AA306" s="48">
        <f t="shared" si="138"/>
        <v>404320.45329200005</v>
      </c>
      <c r="AB306" s="48">
        <f t="shared" si="139"/>
        <v>438082.89610400004</v>
      </c>
      <c r="AC306" s="48">
        <f t="shared" si="140"/>
        <v>472288.28813600005</v>
      </c>
      <c r="AD306" s="1"/>
      <c r="AE306" s="1"/>
      <c r="AF306" s="1"/>
      <c r="AI306" s="9"/>
      <c r="AJ306" s="1"/>
      <c r="AK306" s="1"/>
      <c r="AL306" s="1"/>
      <c r="AM306" s="1"/>
      <c r="AN306" s="1"/>
      <c r="AO306" s="1"/>
      <c r="AP306" s="9"/>
      <c r="AQ306" s="3"/>
      <c r="AR306" s="4"/>
      <c r="AS306" s="1"/>
      <c r="AT306" s="1"/>
      <c r="AU306" s="1"/>
      <c r="AV306" s="1"/>
      <c r="AW306" s="1"/>
      <c r="AX306" s="3"/>
      <c r="AY306" s="3"/>
      <c r="AZ306" s="5"/>
      <c r="BA306" s="5"/>
      <c r="BB306" s="5"/>
      <c r="BC306" s="5"/>
      <c r="BD306" s="6"/>
      <c r="BE306" s="6"/>
      <c r="BF306" s="12"/>
      <c r="BG306" s="12"/>
      <c r="BH306" s="12"/>
      <c r="BI306" s="12"/>
      <c r="BJ306" s="12"/>
    </row>
    <row r="307" spans="2:62" x14ac:dyDescent="0.25">
      <c r="B307" s="1" t="s">
        <v>2172</v>
      </c>
      <c r="C307" s="1" t="s">
        <v>2202</v>
      </c>
      <c r="D307" s="1" t="s">
        <v>1190</v>
      </c>
      <c r="E307" s="1" t="s">
        <v>2203</v>
      </c>
      <c r="F307" s="1" t="s">
        <v>2204</v>
      </c>
      <c r="G307" s="1" t="s">
        <v>1190</v>
      </c>
      <c r="H307" s="1" t="s">
        <v>1190</v>
      </c>
      <c r="I307" s="7" t="s">
        <v>1917</v>
      </c>
      <c r="J307" s="44">
        <v>1</v>
      </c>
      <c r="K307" s="45">
        <v>1</v>
      </c>
      <c r="L307" s="1" t="s">
        <v>2205</v>
      </c>
      <c r="M307" s="1" t="s">
        <v>2177</v>
      </c>
      <c r="N307" s="1" t="s">
        <v>1140</v>
      </c>
      <c r="O307" s="1" t="s">
        <v>1920</v>
      </c>
      <c r="P307" s="1" t="s">
        <v>1190</v>
      </c>
      <c r="Q307" s="44">
        <f>IF(L307="142",Multipliers!C318,"oops")</f>
        <v>1.0900000000000001</v>
      </c>
      <c r="R307" s="44">
        <f>IF(M307="Buffalo",Multipliers!C103, "GOOF")</f>
        <v>1.1599999999999999</v>
      </c>
      <c r="S307" s="46">
        <f t="shared" si="131"/>
        <v>442618.28380000009</v>
      </c>
      <c r="T307" s="46">
        <f t="shared" si="132"/>
        <v>453530.50119999994</v>
      </c>
      <c r="U307" s="46">
        <f t="shared" si="134"/>
        <v>467136.41623599996</v>
      </c>
      <c r="V307" s="46">
        <f t="shared" si="135"/>
        <v>454877.350018</v>
      </c>
      <c r="W307" s="47">
        <f t="shared" si="133"/>
        <v>454877.350018</v>
      </c>
      <c r="X307" s="47"/>
      <c r="Y307" s="48">
        <f t="shared" si="136"/>
        <v>355955.87180999998</v>
      </c>
      <c r="Z307" s="48">
        <f t="shared" si="137"/>
        <v>393328.64197199995</v>
      </c>
      <c r="AA307" s="48">
        <f t="shared" si="138"/>
        <v>454877.35001800006</v>
      </c>
      <c r="AB307" s="48">
        <f t="shared" si="139"/>
        <v>492819.43786600005</v>
      </c>
      <c r="AC307" s="48">
        <f t="shared" si="140"/>
        <v>531291.28109399998</v>
      </c>
      <c r="AD307" s="1"/>
      <c r="AE307" s="1"/>
      <c r="AF307" s="1"/>
      <c r="AI307" s="9"/>
      <c r="AJ307" s="1"/>
      <c r="AK307" s="1"/>
      <c r="AL307" s="1"/>
      <c r="AM307" s="1"/>
      <c r="AN307" s="1"/>
      <c r="AO307" s="1"/>
      <c r="AP307" s="9"/>
      <c r="AQ307" s="3"/>
      <c r="AR307" s="4"/>
      <c r="AS307" s="1"/>
      <c r="AT307" s="1"/>
      <c r="AU307" s="1"/>
      <c r="AV307" s="1"/>
      <c r="AW307" s="1"/>
      <c r="AX307" s="3"/>
      <c r="AY307" s="3"/>
      <c r="AZ307" s="5"/>
      <c r="BA307" s="5"/>
      <c r="BB307" s="5"/>
      <c r="BC307" s="5"/>
      <c r="BD307" s="6"/>
      <c r="BE307" s="6"/>
      <c r="BF307" s="12"/>
      <c r="BG307" s="12"/>
      <c r="BH307" s="12"/>
      <c r="BI307" s="12"/>
      <c r="BJ307" s="12"/>
    </row>
    <row r="308" spans="2:62" x14ac:dyDescent="0.25">
      <c r="B308" s="1" t="s">
        <v>2172</v>
      </c>
      <c r="C308" s="1" t="s">
        <v>2206</v>
      </c>
      <c r="D308" s="1" t="s">
        <v>1190</v>
      </c>
      <c r="E308" s="1" t="s">
        <v>2207</v>
      </c>
      <c r="F308" s="1" t="s">
        <v>2208</v>
      </c>
      <c r="G308" s="1" t="s">
        <v>1190</v>
      </c>
      <c r="H308" s="1" t="s">
        <v>1190</v>
      </c>
      <c r="I308" s="7" t="s">
        <v>1917</v>
      </c>
      <c r="J308" s="44">
        <v>1</v>
      </c>
      <c r="K308" s="45">
        <v>1</v>
      </c>
      <c r="L308" s="1" t="s">
        <v>2209</v>
      </c>
      <c r="M308" s="1" t="s">
        <v>2210</v>
      </c>
      <c r="N308" s="1" t="s">
        <v>1140</v>
      </c>
      <c r="O308" s="1" t="s">
        <v>1920</v>
      </c>
      <c r="P308" s="1" t="s">
        <v>1190</v>
      </c>
      <c r="Q308" s="44">
        <f>IF(L308="143",Multipliers!C319,"oops")</f>
        <v>1.04</v>
      </c>
      <c r="R308" s="44">
        <f>IF(M308="Niagara Falls",Multipliers!C104, "GOOF")</f>
        <v>1.1399999999999999</v>
      </c>
      <c r="S308" s="46">
        <f t="shared" si="131"/>
        <v>422314.69280000008</v>
      </c>
      <c r="T308" s="46">
        <f t="shared" si="132"/>
        <v>445711.00979999994</v>
      </c>
      <c r="U308" s="46">
        <f t="shared" si="134"/>
        <v>459082.34009399993</v>
      </c>
      <c r="V308" s="46">
        <f t="shared" si="135"/>
        <v>440698.51644699997</v>
      </c>
      <c r="W308" s="47">
        <f t="shared" si="133"/>
        <v>440698.51644699997</v>
      </c>
      <c r="X308" s="47"/>
      <c r="Y308" s="48">
        <f t="shared" si="136"/>
        <v>344588.54199</v>
      </c>
      <c r="Z308" s="48">
        <f t="shared" si="137"/>
        <v>380849.558838</v>
      </c>
      <c r="AA308" s="48">
        <f t="shared" si="138"/>
        <v>440698.51644700003</v>
      </c>
      <c r="AB308" s="48">
        <f t="shared" si="139"/>
        <v>477525.60171400005</v>
      </c>
      <c r="AC308" s="48">
        <f t="shared" si="140"/>
        <v>514815.38162599993</v>
      </c>
      <c r="AD308" s="1"/>
      <c r="AE308" s="1"/>
      <c r="AF308" s="1"/>
      <c r="AI308" s="9"/>
      <c r="AJ308" s="1"/>
      <c r="AK308" s="1"/>
      <c r="AL308" s="1"/>
      <c r="AM308" s="1"/>
      <c r="AN308" s="1"/>
      <c r="AO308" s="1"/>
      <c r="AP308" s="9"/>
      <c r="AQ308" s="3"/>
      <c r="AR308" s="4"/>
      <c r="AS308" s="1"/>
      <c r="AT308" s="1"/>
      <c r="AU308" s="1"/>
      <c r="AV308" s="1"/>
      <c r="AW308" s="1"/>
      <c r="AX308" s="3"/>
      <c r="AY308" s="3"/>
      <c r="AZ308" s="5"/>
      <c r="BA308" s="5"/>
      <c r="BB308" s="5"/>
      <c r="BC308" s="5"/>
      <c r="BD308" s="6"/>
      <c r="BE308" s="6"/>
      <c r="BF308" s="12"/>
      <c r="BG308" s="12"/>
      <c r="BH308" s="12"/>
      <c r="BI308" s="12"/>
      <c r="BJ308" s="12"/>
    </row>
    <row r="309" spans="2:62" x14ac:dyDescent="0.25">
      <c r="B309" s="1" t="s">
        <v>2211</v>
      </c>
      <c r="C309" s="1" t="s">
        <v>2212</v>
      </c>
      <c r="D309" s="1" t="s">
        <v>1190</v>
      </c>
      <c r="E309" s="1" t="s">
        <v>2213</v>
      </c>
      <c r="F309" s="1" t="s">
        <v>2214</v>
      </c>
      <c r="G309" s="1" t="s">
        <v>2215</v>
      </c>
      <c r="H309" s="1" t="s">
        <v>2216</v>
      </c>
      <c r="I309" s="7" t="s">
        <v>1917</v>
      </c>
      <c r="J309" s="44">
        <v>1</v>
      </c>
      <c r="K309" s="45">
        <v>1</v>
      </c>
      <c r="L309" s="1" t="s">
        <v>2217</v>
      </c>
      <c r="M309" s="1" t="s">
        <v>2218</v>
      </c>
      <c r="N309" s="1" t="s">
        <v>1140</v>
      </c>
      <c r="O309" s="1" t="s">
        <v>1920</v>
      </c>
      <c r="P309" s="1" t="s">
        <v>1190</v>
      </c>
      <c r="Q309" s="44">
        <f>IF(L309="028",Multipliers!C350,"oops")</f>
        <v>1.07</v>
      </c>
      <c r="R309" s="44">
        <f>IF(M309="Newport",Multipliers!C130, "GOOF")</f>
        <v>1.1200000000000001</v>
      </c>
      <c r="S309" s="46">
        <f t="shared" si="131"/>
        <v>434496.84740000009</v>
      </c>
      <c r="T309" s="46">
        <f t="shared" si="132"/>
        <v>437891.51840000006</v>
      </c>
      <c r="U309" s="46">
        <f t="shared" si="134"/>
        <v>451028.26395200007</v>
      </c>
      <c r="V309" s="46">
        <f t="shared" si="135"/>
        <v>442762.55567600008</v>
      </c>
      <c r="W309" s="47">
        <f>IF(F309=F310,(V309+V310)/2,IF(F309=F308,(V309+V308)/2,IF(F309&lt;&gt;F308,V309)))</f>
        <v>442762.55567600008</v>
      </c>
      <c r="X309" s="47"/>
      <c r="Y309" s="48">
        <f t="shared" si="136"/>
        <v>346628.91417</v>
      </c>
      <c r="Z309" s="48">
        <f t="shared" si="137"/>
        <v>382976.362104</v>
      </c>
      <c r="AA309" s="48">
        <f t="shared" si="138"/>
        <v>442762.55567600008</v>
      </c>
      <c r="AB309" s="48">
        <f t="shared" si="139"/>
        <v>479655.98916200001</v>
      </c>
      <c r="AC309" s="48">
        <f t="shared" si="140"/>
        <v>517093.55455800006</v>
      </c>
      <c r="AD309" s="1"/>
      <c r="AE309" s="1"/>
      <c r="AF309" s="1"/>
      <c r="AI309" s="9"/>
      <c r="AJ309" s="1"/>
      <c r="AK309" s="1"/>
      <c r="AL309" s="1"/>
      <c r="AM309" s="1"/>
      <c r="AN309" s="1"/>
      <c r="AO309" s="1"/>
      <c r="AP309" s="9"/>
      <c r="AQ309" s="3"/>
      <c r="AR309" s="4"/>
      <c r="AS309" s="1"/>
      <c r="AT309" s="1"/>
      <c r="AU309" s="1"/>
      <c r="AV309" s="1"/>
      <c r="AW309" s="1"/>
      <c r="AX309" s="3"/>
      <c r="AY309" s="3"/>
      <c r="AZ309" s="5"/>
      <c r="BA309" s="5"/>
      <c r="BB309" s="5"/>
      <c r="BC309" s="5"/>
      <c r="BD309" s="6"/>
      <c r="BE309" s="6"/>
      <c r="BF309" s="12"/>
      <c r="BG309" s="12"/>
      <c r="BH309" s="12"/>
      <c r="BI309" s="12"/>
      <c r="BJ309" s="12"/>
    </row>
    <row r="310" spans="2:62" x14ac:dyDescent="0.25">
      <c r="B310" s="1" t="s">
        <v>2219</v>
      </c>
      <c r="C310" s="1" t="s">
        <v>2220</v>
      </c>
      <c r="D310" s="1" t="s">
        <v>1190</v>
      </c>
      <c r="E310" s="1" t="s">
        <v>2221</v>
      </c>
      <c r="F310" s="1" t="s">
        <v>2222</v>
      </c>
      <c r="G310" s="1" t="s">
        <v>2223</v>
      </c>
      <c r="H310" s="1" t="s">
        <v>2224</v>
      </c>
      <c r="I310" s="7" t="s">
        <v>1917</v>
      </c>
      <c r="J310" s="44">
        <v>1</v>
      </c>
      <c r="K310" s="45">
        <v>1</v>
      </c>
      <c r="L310" s="1" t="s">
        <v>2225</v>
      </c>
      <c r="M310" s="1" t="s">
        <v>2226</v>
      </c>
      <c r="N310" s="1" t="s">
        <v>1139</v>
      </c>
      <c r="O310" s="1" t="s">
        <v>1920</v>
      </c>
      <c r="P310" s="1" t="s">
        <v>1190</v>
      </c>
      <c r="Q310" s="44">
        <f>IF(L310="297",Multipliers!C353,"oops")</f>
        <v>0.93</v>
      </c>
      <c r="R310" s="44">
        <f>IF(M310="Rock Hill",Multipliers!C132, "GOOF")</f>
        <v>0.92</v>
      </c>
      <c r="S310" s="46">
        <f t="shared" si="131"/>
        <v>356585.57550000009</v>
      </c>
      <c r="T310" s="46">
        <f t="shared" si="132"/>
        <v>344979.5944</v>
      </c>
      <c r="U310" s="46">
        <f t="shared" ref="U310:U324" si="141">IF(O310="E",$T$3*T310,IF(O310="C",$T$4*T310,IF(O310="W",$T$5*T310,1)))</f>
        <v>355328.98223200004</v>
      </c>
      <c r="V310" s="46">
        <f t="shared" ref="V310:V324" si="142">(S310+U310)/2</f>
        <v>355957.27886600007</v>
      </c>
      <c r="W310" s="47">
        <f>IF(F310=F318,(V310+V318)/2,IF(F310=F309,(V310+V309)/2,IF(F310&lt;&gt;F309,V310)))</f>
        <v>355957.27886600007</v>
      </c>
      <c r="X310" s="47"/>
      <c r="Y310" s="48">
        <f t="shared" ref="Y310:Y332" si="143">IF(N310="Standard",(((($Z$3*Q310)+($AD$3*R310*$T$5))/2)*$O$7),IF(N310="Severe",(((($AA$3*Q310)+($AE$3*R310*$T$5))/2)*$O$7),IF(N310="Hostile",(((($AB$3*Q310)+($AF$3*R310*$T$5))/2)*$O$7))))</f>
        <v>278033.55972000002</v>
      </c>
      <c r="Z310" s="48">
        <f t="shared" ref="Z310:Z332" si="144">IF(N310="Standard",(((($Z$4*Q310)+($AD$4*R310*$T$5))/2)*$O$7),IF(N310="Severe",(((($AA$4*Q310)+($AE$4*R310*$T$5))/2)*$O$7),IF(N310="Hostile",(((($AB$4*Q310)+($AF$4*R310*$T$5))/2)*$O$7))))</f>
        <v>308048.47991400003</v>
      </c>
      <c r="AA310" s="48">
        <f t="shared" ref="AA310:AA327" si="145">IF(N310="Standard",((($Z$5*Q310)+($AD$5*R310*$T$4))/2)*$O$7,IF(N310="Severe",((($AA$5*Q310)+($AE$5*R310*$T$4))/2)*$O$7,IF(N310="Hostile",((($AB$5*Q310)+($AF$5*R310*$T$4))/2)*$O$7)))</f>
        <v>345607.89103400009</v>
      </c>
      <c r="AB310" s="48">
        <f t="shared" ref="AB310:AB327" si="146">IF(N310="Standard",((($Z$6*Q310)+($AD$6*R310*$T$4))/2)*$O$7,IF(N310="Severe",((($AA$6*Q310)+($AE$6*R310*$T$4))/2)*$O$7,IF(N310="Hostile",((($AB$6*Q310)+($AF$6*R310*$T$4))/2)*$O$7)))</f>
        <v>372980.93100800004</v>
      </c>
      <c r="AC310" s="48">
        <f t="shared" ref="AC310:AC327" si="147">IF(N310="Standard",((($Z$7*Q310)+($AD$7*R310*$T$4))/2)*$O$7,IF(N310="Severe",((($AA$7*Q310)+($AE$7*R310*$T$4))/2)*$O$7,IF(N310="Hostile",((($AB$7*Q310)+($AF$7*R310*$T$4))/2)*$O$7)))</f>
        <v>402177.65067200002</v>
      </c>
      <c r="AD310" s="1"/>
      <c r="AE310" s="1"/>
      <c r="AF310" s="1"/>
      <c r="AI310" s="9"/>
      <c r="AJ310" s="1"/>
      <c r="AK310" s="1"/>
      <c r="AL310" s="1"/>
      <c r="AM310" s="1"/>
      <c r="AN310" s="1"/>
      <c r="AO310" s="1"/>
      <c r="AP310" s="9"/>
      <c r="AQ310" s="3"/>
      <c r="AR310" s="4"/>
      <c r="AS310" s="1"/>
      <c r="AT310" s="1"/>
      <c r="AU310" s="1"/>
      <c r="AV310" s="1"/>
      <c r="AW310" s="1"/>
      <c r="AX310" s="3"/>
      <c r="AY310" s="3"/>
      <c r="AZ310" s="5"/>
      <c r="BA310" s="5"/>
      <c r="BB310" s="5"/>
      <c r="BC310" s="5"/>
      <c r="BD310" s="6"/>
      <c r="BE310" s="6"/>
      <c r="BF310" s="12"/>
      <c r="BG310" s="12"/>
      <c r="BH310" s="12"/>
      <c r="BI310" s="12"/>
      <c r="BJ310" s="12"/>
    </row>
    <row r="311" spans="2:62" x14ac:dyDescent="0.25">
      <c r="B311" s="84" t="s">
        <v>1045</v>
      </c>
      <c r="C311" s="1"/>
      <c r="D311" s="1"/>
      <c r="E311" s="1"/>
      <c r="F311" s="84" t="s">
        <v>2679</v>
      </c>
      <c r="G311" s="1"/>
      <c r="H311" s="1"/>
      <c r="I311" s="7" t="s">
        <v>1917</v>
      </c>
      <c r="J311" s="44">
        <v>1</v>
      </c>
      <c r="K311" s="45">
        <v>2</v>
      </c>
      <c r="L311" s="1">
        <v>234</v>
      </c>
      <c r="M311" s="84" t="s">
        <v>2683</v>
      </c>
      <c r="N311" s="84" t="s">
        <v>1139</v>
      </c>
      <c r="O311" s="84" t="s">
        <v>1920</v>
      </c>
      <c r="P311" s="1"/>
      <c r="Q311" s="44">
        <v>0.95</v>
      </c>
      <c r="R311" s="44">
        <v>0.95</v>
      </c>
      <c r="S311" s="46">
        <f t="shared" si="131"/>
        <v>364254.08250000008</v>
      </c>
      <c r="T311" s="46">
        <f t="shared" si="132"/>
        <v>356228.929</v>
      </c>
      <c r="U311" s="46">
        <f t="shared" si="141"/>
        <v>366915.79687000002</v>
      </c>
      <c r="V311" s="46">
        <f t="shared" si="142"/>
        <v>365584.93968500005</v>
      </c>
      <c r="W311" s="47">
        <f>IF(F311=F312,(V311+V312)/2,IF(F311=F308,(V311+V308)/2,IF(F311&lt;&gt;F308,V311)))</f>
        <v>365584.93968500005</v>
      </c>
      <c r="X311" s="47"/>
      <c r="Y311" s="48">
        <f t="shared" si="143"/>
        <v>285473.53082500002</v>
      </c>
      <c r="Z311" s="48">
        <f t="shared" si="144"/>
        <v>316314.25311499997</v>
      </c>
      <c r="AA311" s="48">
        <f t="shared" ref="AA311:AA317" si="148">IF(N311="Standard",((($Z$5*Q311)+($AD$5*R311*$T$3))/2)*$O$7,IF(N311="Severe",((($AA$5*Q311)+($AE$5*R311*$T$3))/2)*$O$7,IF(N311="Hostile",((($AB$5*Q311)+($AF$5*R311*$T$3))/2)*$O$7)))</f>
        <v>365584.93968500005</v>
      </c>
      <c r="AB311" s="48">
        <f t="shared" ref="AB311:AB317" si="149">IF(N311="Standard",((($Z$6*Q311)+($AD$6*R311*$T$3))/2)*$O$7,IF(N311="Severe",((($AA$6*Q311)+($AE$6*R311*$T$3))/2)*$O$7,IF(N311="Hostile",((($AB$6*Q311)+($AF$6*R311*$T$3))/2)*$O$7)))</f>
        <v>394678.87521999999</v>
      </c>
      <c r="AC311" s="48">
        <f t="shared" ref="AC311:AC317" si="150">IF(N311="Standard",((($Z$7*Q311)+($AD$7*R311*$T$3))/2)*$O$7,IF(N311="Severe",((($AA$7*Q311)+($AE$7*R311*$T$3))/2)*$O$7,IF(N311="Hostile",((($AB$7*Q311)+($AF$7*R311*$T$3))/2)*$O$7)))</f>
        <v>425589.83348000003</v>
      </c>
      <c r="AD311" s="1"/>
      <c r="AE311" s="1"/>
      <c r="AF311" s="1"/>
      <c r="AI311" s="9"/>
      <c r="AJ311" s="1"/>
      <c r="AK311" s="1"/>
      <c r="AL311" s="1"/>
      <c r="AM311" s="1"/>
      <c r="AN311" s="1"/>
      <c r="AO311" s="1"/>
      <c r="AP311" s="9"/>
      <c r="AQ311" s="3"/>
      <c r="AR311" s="4"/>
      <c r="AS311" s="1"/>
      <c r="AT311" s="1"/>
      <c r="AU311" s="1"/>
      <c r="AV311" s="1"/>
      <c r="AW311" s="1"/>
      <c r="AX311" s="3"/>
      <c r="AY311" s="3"/>
      <c r="AZ311" s="5"/>
      <c r="BA311" s="5"/>
      <c r="BB311" s="5"/>
      <c r="BC311" s="5"/>
      <c r="BD311" s="6"/>
      <c r="BE311" s="6"/>
      <c r="BF311" s="12"/>
      <c r="BG311" s="12"/>
      <c r="BH311" s="12"/>
      <c r="BI311" s="12"/>
      <c r="BJ311" s="12"/>
    </row>
    <row r="312" spans="2:62" x14ac:dyDescent="0.25">
      <c r="B312" s="84" t="s">
        <v>1045</v>
      </c>
      <c r="C312" s="1"/>
      <c r="D312" s="1"/>
      <c r="E312" s="1"/>
      <c r="F312" s="84" t="s">
        <v>2680</v>
      </c>
      <c r="G312" s="1"/>
      <c r="H312" s="1"/>
      <c r="I312" s="7" t="s">
        <v>1917</v>
      </c>
      <c r="J312" s="44">
        <v>1</v>
      </c>
      <c r="K312" s="45">
        <v>2</v>
      </c>
      <c r="L312" s="1">
        <v>245</v>
      </c>
      <c r="M312" s="84" t="s">
        <v>2684</v>
      </c>
      <c r="N312" s="84" t="s">
        <v>1139</v>
      </c>
      <c r="O312" s="84" t="s">
        <v>1920</v>
      </c>
      <c r="P312" s="1"/>
      <c r="Q312" s="44">
        <v>0.98</v>
      </c>
      <c r="R312" s="44">
        <v>0.89</v>
      </c>
      <c r="S312" s="46">
        <f t="shared" si="131"/>
        <v>375756.84300000005</v>
      </c>
      <c r="T312" s="46">
        <f t="shared" si="132"/>
        <v>333730.2598</v>
      </c>
      <c r="U312" s="46">
        <f t="shared" si="141"/>
        <v>343742.167594</v>
      </c>
      <c r="V312" s="46">
        <f t="shared" si="142"/>
        <v>359749.50529700005</v>
      </c>
      <c r="W312" s="47">
        <f>IF(F312=F313,(V312+V313)/2,IF(F312=F309,(V312+V309)/2,IF(F312&lt;&gt;F309,V312)))</f>
        <v>359749.50529700005</v>
      </c>
      <c r="X312" s="47"/>
      <c r="Y312" s="48">
        <f t="shared" si="143"/>
        <v>281618.46611500002</v>
      </c>
      <c r="Z312" s="48">
        <f t="shared" si="144"/>
        <v>311844.39236299996</v>
      </c>
      <c r="AA312" s="48">
        <f t="shared" si="148"/>
        <v>359749.505297</v>
      </c>
      <c r="AB312" s="48">
        <f t="shared" si="149"/>
        <v>388193.52636399999</v>
      </c>
      <c r="AC312" s="48">
        <f t="shared" si="150"/>
        <v>418575.50957599998</v>
      </c>
      <c r="AD312" s="1"/>
      <c r="AE312" s="1"/>
      <c r="AF312" s="1"/>
      <c r="AI312" s="9"/>
      <c r="AJ312" s="1"/>
      <c r="AK312" s="1"/>
      <c r="AL312" s="1"/>
      <c r="AM312" s="1"/>
      <c r="AN312" s="1"/>
      <c r="AO312" s="1"/>
      <c r="AP312" s="9"/>
      <c r="AQ312" s="3"/>
      <c r="AR312" s="4"/>
      <c r="AS312" s="1"/>
      <c r="AT312" s="1"/>
      <c r="AU312" s="1"/>
      <c r="AV312" s="1"/>
      <c r="AW312" s="1"/>
      <c r="AX312" s="3"/>
      <c r="AY312" s="3"/>
      <c r="AZ312" s="5"/>
      <c r="BA312" s="5"/>
      <c r="BB312" s="5"/>
      <c r="BC312" s="5"/>
      <c r="BD312" s="6"/>
      <c r="BE312" s="6"/>
      <c r="BF312" s="12"/>
      <c r="BG312" s="12"/>
      <c r="BH312" s="12"/>
      <c r="BI312" s="12"/>
      <c r="BJ312" s="12"/>
    </row>
    <row r="313" spans="2:62" x14ac:dyDescent="0.25">
      <c r="B313" s="1" t="s">
        <v>1045</v>
      </c>
      <c r="C313" s="1" t="s">
        <v>1046</v>
      </c>
      <c r="D313" s="1" t="s">
        <v>1190</v>
      </c>
      <c r="E313" s="1" t="s">
        <v>1190</v>
      </c>
      <c r="F313" s="1" t="s">
        <v>1047</v>
      </c>
      <c r="G313" s="1" t="s">
        <v>1190</v>
      </c>
      <c r="H313" s="1" t="s">
        <v>1190</v>
      </c>
      <c r="I313" s="7" t="s">
        <v>1917</v>
      </c>
      <c r="J313" s="44">
        <v>1</v>
      </c>
      <c r="K313" s="45">
        <v>2</v>
      </c>
      <c r="L313" s="7" t="s">
        <v>1048</v>
      </c>
      <c r="M313" s="84" t="s">
        <v>2685</v>
      </c>
      <c r="N313" s="1" t="s">
        <v>1139</v>
      </c>
      <c r="O313" s="1" t="s">
        <v>1920</v>
      </c>
      <c r="P313" s="1" t="s">
        <v>1190</v>
      </c>
      <c r="Q313" s="44">
        <v>1.03</v>
      </c>
      <c r="R313" s="44">
        <v>0.96</v>
      </c>
      <c r="S313" s="46">
        <f t="shared" si="131"/>
        <v>394928.11050000007</v>
      </c>
      <c r="T313" s="46">
        <f t="shared" si="132"/>
        <v>359978.7072</v>
      </c>
      <c r="U313" s="46">
        <f t="shared" si="141"/>
        <v>370778.06841599999</v>
      </c>
      <c r="V313" s="46">
        <f t="shared" si="142"/>
        <v>382853.08945800003</v>
      </c>
      <c r="W313" s="47">
        <f>IF(F313=F314,(V313+V314)/2,IF(F313=F310,(V313+V310)/2,IF(F313&lt;&gt;F310,V313)))</f>
        <v>382853.08945800003</v>
      </c>
      <c r="X313" s="47"/>
      <c r="Y313" s="48">
        <f t="shared" si="143"/>
        <v>299503.39286000002</v>
      </c>
      <c r="Z313" s="48">
        <f t="shared" si="144"/>
        <v>331705.56248200004</v>
      </c>
      <c r="AA313" s="48">
        <f t="shared" si="148"/>
        <v>382853.08945800003</v>
      </c>
      <c r="AB313" s="48">
        <f t="shared" si="149"/>
        <v>413176.96369600005</v>
      </c>
      <c r="AC313" s="48">
        <f t="shared" si="150"/>
        <v>445520.308464</v>
      </c>
      <c r="AD313" s="1"/>
      <c r="AE313" s="1"/>
      <c r="AF313" s="1"/>
      <c r="AI313" s="9"/>
      <c r="AJ313" s="1"/>
      <c r="AK313" s="1"/>
      <c r="AL313" s="1"/>
      <c r="AM313" s="1"/>
      <c r="AN313" s="1"/>
      <c r="AO313" s="1"/>
      <c r="AP313" s="9"/>
      <c r="AQ313" s="3"/>
      <c r="AR313" s="4"/>
      <c r="AS313" s="1"/>
      <c r="AT313" s="1"/>
      <c r="AU313" s="1"/>
      <c r="AV313" s="1"/>
      <c r="AW313" s="1"/>
      <c r="AX313" s="3"/>
      <c r="AY313" s="3"/>
      <c r="AZ313" s="5"/>
      <c r="BA313" s="5"/>
      <c r="BB313" s="5"/>
      <c r="BC313" s="5"/>
      <c r="BD313" s="6"/>
      <c r="BE313" s="6"/>
      <c r="BF313" s="12"/>
      <c r="BG313" s="12"/>
      <c r="BH313" s="12"/>
      <c r="BI313" s="12"/>
      <c r="BJ313" s="12"/>
    </row>
    <row r="314" spans="2:62" x14ac:dyDescent="0.25">
      <c r="B314" s="1" t="s">
        <v>1045</v>
      </c>
      <c r="C314" s="1" t="s">
        <v>1050</v>
      </c>
      <c r="D314" s="1" t="s">
        <v>1190</v>
      </c>
      <c r="E314" s="1" t="s">
        <v>1190</v>
      </c>
      <c r="F314" s="1" t="s">
        <v>1051</v>
      </c>
      <c r="G314" s="1" t="s">
        <v>1190</v>
      </c>
      <c r="H314" s="1" t="s">
        <v>1190</v>
      </c>
      <c r="I314" s="7" t="s">
        <v>1917</v>
      </c>
      <c r="J314" s="44">
        <v>1</v>
      </c>
      <c r="K314" s="45">
        <v>2</v>
      </c>
      <c r="L314" s="7" t="s">
        <v>1048</v>
      </c>
      <c r="M314" s="84" t="s">
        <v>2686</v>
      </c>
      <c r="N314" s="1" t="s">
        <v>1139</v>
      </c>
      <c r="O314" s="1" t="s">
        <v>1920</v>
      </c>
      <c r="P314" s="1" t="s">
        <v>1190</v>
      </c>
      <c r="Q314" s="44">
        <v>1.03</v>
      </c>
      <c r="R314" s="44">
        <v>0.96</v>
      </c>
      <c r="S314" s="46">
        <f t="shared" si="131"/>
        <v>394928.11050000007</v>
      </c>
      <c r="T314" s="46">
        <f t="shared" si="132"/>
        <v>359978.7072</v>
      </c>
      <c r="U314" s="46">
        <f t="shared" si="141"/>
        <v>370778.06841599999</v>
      </c>
      <c r="V314" s="46">
        <f t="shared" si="142"/>
        <v>382853.08945800003</v>
      </c>
      <c r="W314" s="47">
        <f>IF(F314=F315,(V314+V315)/2,IF(F314=F313,(V314+V313)/2,IF(F314&lt;&gt;F313,V314)))</f>
        <v>382853.08945800003</v>
      </c>
      <c r="X314" s="47"/>
      <c r="Y314" s="48">
        <f t="shared" si="143"/>
        <v>299503.39286000002</v>
      </c>
      <c r="Z314" s="48">
        <f t="shared" si="144"/>
        <v>331705.56248200004</v>
      </c>
      <c r="AA314" s="48">
        <f t="shared" si="148"/>
        <v>382853.08945800003</v>
      </c>
      <c r="AB314" s="48">
        <f t="shared" si="149"/>
        <v>413176.96369600005</v>
      </c>
      <c r="AC314" s="48">
        <f t="shared" si="150"/>
        <v>445520.308464</v>
      </c>
      <c r="AD314" s="1"/>
      <c r="AE314" s="1"/>
      <c r="AF314" s="1"/>
      <c r="AI314" s="9"/>
      <c r="AJ314" s="1"/>
      <c r="AK314" s="1"/>
      <c r="AL314" s="1"/>
      <c r="AM314" s="1"/>
      <c r="AN314" s="1"/>
      <c r="AO314" s="1"/>
      <c r="AP314" s="9"/>
      <c r="AQ314" s="3"/>
      <c r="AR314" s="4"/>
      <c r="AS314" s="1"/>
      <c r="AT314" s="1"/>
      <c r="AU314" s="1"/>
      <c r="AV314" s="1"/>
      <c r="AW314" s="1"/>
      <c r="AX314" s="3"/>
      <c r="AY314" s="3"/>
      <c r="AZ314" s="5"/>
      <c r="BA314" s="5"/>
      <c r="BB314" s="5"/>
      <c r="BC314" s="5"/>
      <c r="BD314" s="6"/>
      <c r="BE314" s="6"/>
      <c r="BF314" s="12"/>
      <c r="BG314" s="12"/>
      <c r="BH314" s="12"/>
      <c r="BI314" s="12"/>
      <c r="BJ314" s="12"/>
    </row>
    <row r="315" spans="2:62" x14ac:dyDescent="0.25">
      <c r="B315" s="1" t="s">
        <v>1045</v>
      </c>
      <c r="C315" s="1" t="s">
        <v>1052</v>
      </c>
      <c r="D315" s="1" t="s">
        <v>1190</v>
      </c>
      <c r="E315" s="1" t="s">
        <v>1053</v>
      </c>
      <c r="F315" s="84" t="s">
        <v>2688</v>
      </c>
      <c r="G315" s="1" t="s">
        <v>1190</v>
      </c>
      <c r="H315" s="1" t="s">
        <v>1190</v>
      </c>
      <c r="I315" s="7" t="s">
        <v>1917</v>
      </c>
      <c r="J315" s="44">
        <v>1</v>
      </c>
      <c r="K315" s="45">
        <v>2</v>
      </c>
      <c r="L315" s="1" t="s">
        <v>1055</v>
      </c>
      <c r="M315" s="84" t="s">
        <v>2687</v>
      </c>
      <c r="N315" s="1" t="s">
        <v>1139</v>
      </c>
      <c r="O315" s="1" t="s">
        <v>1920</v>
      </c>
      <c r="P315" s="1" t="s">
        <v>1190</v>
      </c>
      <c r="Q315" s="44">
        <v>1.03</v>
      </c>
      <c r="R315" s="44">
        <v>0.96</v>
      </c>
      <c r="S315" s="46">
        <f t="shared" si="131"/>
        <v>394928.11050000007</v>
      </c>
      <c r="T315" s="46">
        <f t="shared" si="132"/>
        <v>359978.7072</v>
      </c>
      <c r="U315" s="46">
        <f t="shared" si="141"/>
        <v>370778.06841599999</v>
      </c>
      <c r="V315" s="46">
        <f t="shared" si="142"/>
        <v>382853.08945800003</v>
      </c>
      <c r="W315" s="47">
        <f>IF(F315=F316,(V315+V316)/2,IF(F315=F314,(V315+V314)/2,IF(F315&lt;&gt;F314,V315)))</f>
        <v>382853.08945800003</v>
      </c>
      <c r="X315" s="47"/>
      <c r="Y315" s="48">
        <f t="shared" si="143"/>
        <v>299503.39286000002</v>
      </c>
      <c r="Z315" s="48">
        <f t="shared" si="144"/>
        <v>331705.56248200004</v>
      </c>
      <c r="AA315" s="48">
        <f t="shared" si="148"/>
        <v>382853.08945800003</v>
      </c>
      <c r="AB315" s="48">
        <f t="shared" si="149"/>
        <v>413176.96369600005</v>
      </c>
      <c r="AC315" s="48">
        <f t="shared" si="150"/>
        <v>445520.308464</v>
      </c>
      <c r="AD315" s="1"/>
      <c r="AE315" s="1"/>
      <c r="AF315" s="1"/>
      <c r="AI315" s="9"/>
      <c r="AJ315" s="1"/>
      <c r="AK315" s="1"/>
      <c r="AL315" s="1"/>
      <c r="AM315" s="1"/>
      <c r="AN315" s="1"/>
      <c r="AO315" s="1"/>
      <c r="AP315" s="9"/>
      <c r="AQ315" s="3"/>
      <c r="AR315" s="4"/>
      <c r="AS315" s="1"/>
      <c r="AT315" s="1"/>
      <c r="AU315" s="1"/>
      <c r="AV315" s="1"/>
      <c r="AW315" s="1"/>
      <c r="AX315" s="3"/>
      <c r="AY315" s="3"/>
      <c r="AZ315" s="5"/>
      <c r="BA315" s="5"/>
      <c r="BB315" s="5"/>
      <c r="BC315" s="5"/>
      <c r="BD315" s="6"/>
      <c r="BE315" s="6"/>
      <c r="BF315" s="12"/>
      <c r="BG315" s="12"/>
      <c r="BH315" s="12"/>
      <c r="BI315" s="12"/>
      <c r="BJ315" s="12"/>
    </row>
    <row r="316" spans="2:62" x14ac:dyDescent="0.25">
      <c r="B316" s="1" t="s">
        <v>1045</v>
      </c>
      <c r="C316" s="1" t="s">
        <v>1056</v>
      </c>
      <c r="D316" s="1" t="s">
        <v>1190</v>
      </c>
      <c r="E316" s="1" t="s">
        <v>1057</v>
      </c>
      <c r="F316" s="1" t="s">
        <v>1058</v>
      </c>
      <c r="G316" s="1" t="s">
        <v>1190</v>
      </c>
      <c r="H316" s="1" t="s">
        <v>1190</v>
      </c>
      <c r="I316" s="7" t="s">
        <v>1917</v>
      </c>
      <c r="J316" s="44">
        <v>1</v>
      </c>
      <c r="K316" s="45">
        <v>2</v>
      </c>
      <c r="L316" s="1" t="s">
        <v>1055</v>
      </c>
      <c r="M316" s="84" t="s">
        <v>2682</v>
      </c>
      <c r="N316" s="1" t="s">
        <v>1139</v>
      </c>
      <c r="O316" s="1" t="s">
        <v>1920</v>
      </c>
      <c r="P316" s="1" t="s">
        <v>1190</v>
      </c>
      <c r="Q316" s="44">
        <v>1.03</v>
      </c>
      <c r="R316" s="44">
        <v>0.96</v>
      </c>
      <c r="S316" s="46">
        <f t="shared" si="131"/>
        <v>394928.11050000007</v>
      </c>
      <c r="T316" s="46">
        <f t="shared" si="132"/>
        <v>359978.7072</v>
      </c>
      <c r="U316" s="46">
        <f t="shared" si="141"/>
        <v>370778.06841599999</v>
      </c>
      <c r="V316" s="46">
        <f t="shared" si="142"/>
        <v>382853.08945800003</v>
      </c>
      <c r="W316" s="47">
        <f>IF(F316=F317,(V316+V317)/2,IF(F316=F315,(V316+V315)/2,IF(F316&lt;&gt;F315,V316)))</f>
        <v>382853.08945800003</v>
      </c>
      <c r="X316" s="47"/>
      <c r="Y316" s="48">
        <f t="shared" si="143"/>
        <v>299503.39286000002</v>
      </c>
      <c r="Z316" s="48">
        <f t="shared" si="144"/>
        <v>331705.56248200004</v>
      </c>
      <c r="AA316" s="48">
        <f t="shared" si="148"/>
        <v>382853.08945800003</v>
      </c>
      <c r="AB316" s="48">
        <f t="shared" si="149"/>
        <v>413176.96369600005</v>
      </c>
      <c r="AC316" s="48">
        <f t="shared" si="150"/>
        <v>445520.308464</v>
      </c>
      <c r="AD316" s="1"/>
      <c r="AE316" s="1"/>
      <c r="AF316" s="1"/>
      <c r="AI316" s="9"/>
      <c r="AJ316" s="1"/>
      <c r="AK316" s="1"/>
      <c r="AL316" s="1"/>
      <c r="AM316" s="1"/>
      <c r="AN316" s="1"/>
      <c r="AO316" s="1"/>
      <c r="AP316" s="9"/>
      <c r="AQ316" s="3"/>
      <c r="AR316" s="4"/>
      <c r="AS316" s="1"/>
      <c r="AT316" s="1"/>
      <c r="AU316" s="1"/>
      <c r="AV316" s="1"/>
      <c r="AW316" s="1"/>
      <c r="AX316" s="3"/>
      <c r="AY316" s="3"/>
      <c r="AZ316" s="5"/>
      <c r="BA316" s="5"/>
      <c r="BB316" s="5"/>
      <c r="BC316" s="5"/>
      <c r="BD316" s="6"/>
      <c r="BE316" s="6"/>
      <c r="BF316" s="12"/>
      <c r="BG316" s="12"/>
      <c r="BH316" s="12"/>
      <c r="BI316" s="12"/>
      <c r="BJ316" s="12"/>
    </row>
    <row r="317" spans="2:62" x14ac:dyDescent="0.25">
      <c r="B317" s="1" t="s">
        <v>1045</v>
      </c>
      <c r="C317" s="1" t="s">
        <v>1059</v>
      </c>
      <c r="D317" s="1" t="s">
        <v>1190</v>
      </c>
      <c r="E317" s="1" t="s">
        <v>1190</v>
      </c>
      <c r="F317" s="1" t="s">
        <v>1060</v>
      </c>
      <c r="G317" s="1" t="s">
        <v>1190</v>
      </c>
      <c r="H317" s="1" t="s">
        <v>1190</v>
      </c>
      <c r="I317" s="7" t="s">
        <v>1917</v>
      </c>
      <c r="J317" s="44">
        <v>1</v>
      </c>
      <c r="K317" s="45">
        <v>2</v>
      </c>
      <c r="L317" s="1" t="s">
        <v>1048</v>
      </c>
      <c r="M317" s="84" t="s">
        <v>2681</v>
      </c>
      <c r="N317" s="1" t="s">
        <v>1139</v>
      </c>
      <c r="O317" s="1" t="s">
        <v>1920</v>
      </c>
      <c r="P317" s="1" t="s">
        <v>1190</v>
      </c>
      <c r="Q317" s="44">
        <v>1.03</v>
      </c>
      <c r="R317" s="44">
        <v>0.96</v>
      </c>
      <c r="S317" s="46">
        <f t="shared" si="131"/>
        <v>394928.11050000007</v>
      </c>
      <c r="T317" s="46">
        <f t="shared" si="132"/>
        <v>359978.7072</v>
      </c>
      <c r="U317" s="46">
        <f t="shared" si="141"/>
        <v>370778.06841599999</v>
      </c>
      <c r="V317" s="46">
        <f t="shared" si="142"/>
        <v>382853.08945800003</v>
      </c>
      <c r="W317" s="47">
        <f>IF(F317=F318,(V317+V318)/2,IF(F317=F316,(V317+V316)/2,IF(F317&lt;&gt;F316,V317)))</f>
        <v>382853.08945800003</v>
      </c>
      <c r="X317" s="47"/>
      <c r="Y317" s="48">
        <f t="shared" si="143"/>
        <v>299503.39286000002</v>
      </c>
      <c r="Z317" s="48">
        <f t="shared" si="144"/>
        <v>331705.56248200004</v>
      </c>
      <c r="AA317" s="48">
        <f t="shared" si="148"/>
        <v>382853.08945800003</v>
      </c>
      <c r="AB317" s="48">
        <f t="shared" si="149"/>
        <v>413176.96369600005</v>
      </c>
      <c r="AC317" s="48">
        <f t="shared" si="150"/>
        <v>445520.308464</v>
      </c>
      <c r="AD317" s="1"/>
      <c r="AE317" s="1"/>
      <c r="AF317" s="1"/>
      <c r="AI317" s="9"/>
      <c r="AJ317" s="1"/>
      <c r="AK317" s="1"/>
      <c r="AL317" s="1"/>
      <c r="AM317" s="1"/>
      <c r="AN317" s="1"/>
      <c r="AO317" s="1"/>
      <c r="AP317" s="9"/>
      <c r="AQ317" s="3"/>
      <c r="AR317" s="4"/>
      <c r="AS317" s="1"/>
      <c r="AT317" s="1"/>
      <c r="AU317" s="1"/>
      <c r="AV317" s="1"/>
      <c r="AW317" s="1"/>
      <c r="AX317" s="3"/>
      <c r="AY317" s="3"/>
      <c r="AZ317" s="5"/>
      <c r="BA317" s="5"/>
      <c r="BB317" s="5"/>
      <c r="BC317" s="5"/>
      <c r="BD317" s="6"/>
      <c r="BE317" s="6"/>
      <c r="BF317" s="12"/>
      <c r="BG317" s="12"/>
      <c r="BH317" s="12"/>
      <c r="BI317" s="12"/>
      <c r="BJ317" s="12"/>
    </row>
    <row r="318" spans="2:62" x14ac:dyDescent="0.25">
      <c r="B318" s="1" t="s">
        <v>2227</v>
      </c>
      <c r="C318" s="1" t="s">
        <v>2228</v>
      </c>
      <c r="D318" s="1" t="s">
        <v>1190</v>
      </c>
      <c r="E318" s="1" t="s">
        <v>2229</v>
      </c>
      <c r="F318" s="1" t="s">
        <v>2230</v>
      </c>
      <c r="G318" s="1" t="s">
        <v>2231</v>
      </c>
      <c r="H318" s="1" t="s">
        <v>2232</v>
      </c>
      <c r="I318" s="7" t="s">
        <v>1917</v>
      </c>
      <c r="J318" s="44">
        <v>1</v>
      </c>
      <c r="K318" s="45">
        <v>1</v>
      </c>
      <c r="L318" s="1" t="s">
        <v>2233</v>
      </c>
      <c r="M318" s="1" t="s">
        <v>2234</v>
      </c>
      <c r="N318" s="1" t="s">
        <v>1140</v>
      </c>
      <c r="O318" s="1" t="s">
        <v>1959</v>
      </c>
      <c r="P318" s="1" t="s">
        <v>1190</v>
      </c>
      <c r="Q318" s="44">
        <f>IF(L318="548",Multipliers!C394,"oops")</f>
        <v>0.96</v>
      </c>
      <c r="R318" s="44">
        <f>IF(M318="Superior",Multipliers!C163, "GOOF")</f>
        <v>1.05</v>
      </c>
      <c r="S318" s="46">
        <f t="shared" si="131"/>
        <v>389828.94720000005</v>
      </c>
      <c r="T318" s="46">
        <f t="shared" si="132"/>
        <v>410523.29850000003</v>
      </c>
      <c r="U318" s="46">
        <f t="shared" si="141"/>
        <v>398207.599545</v>
      </c>
      <c r="V318" s="46">
        <f t="shared" si="142"/>
        <v>394018.27337250003</v>
      </c>
      <c r="W318" s="47">
        <f>IF(F318=F319,(V318+V319)/2,IF(F318=F310,(V318+V310)/2,IF(F318&lt;&gt;F310,V318)))</f>
        <v>394018.27337250003</v>
      </c>
      <c r="X318" s="47"/>
      <c r="Y318" s="48">
        <f t="shared" si="143"/>
        <v>317737.01767500001</v>
      </c>
      <c r="Z318" s="48">
        <f t="shared" si="144"/>
        <v>351166.85383499996</v>
      </c>
      <c r="AA318" s="48">
        <f t="shared" si="145"/>
        <v>394018.27337250003</v>
      </c>
      <c r="AB318" s="48">
        <f t="shared" si="146"/>
        <v>426817.12909499998</v>
      </c>
      <c r="AC318" s="48">
        <f t="shared" si="147"/>
        <v>460124.81035499997</v>
      </c>
      <c r="AD318" s="1"/>
      <c r="AE318" s="1"/>
      <c r="AF318" s="1"/>
      <c r="AI318" s="9"/>
      <c r="AJ318" s="1"/>
      <c r="AK318" s="1"/>
      <c r="AL318" s="1"/>
      <c r="AM318" s="1"/>
      <c r="AN318" s="1"/>
      <c r="AO318" s="1"/>
      <c r="AP318" s="9"/>
      <c r="AQ318" s="3"/>
      <c r="AR318" s="4"/>
      <c r="AS318" s="1"/>
      <c r="AT318" s="1"/>
      <c r="AU318" s="1"/>
      <c r="AV318" s="1"/>
      <c r="AW318" s="1"/>
      <c r="AX318" s="3"/>
      <c r="AY318" s="3"/>
      <c r="AZ318" s="5"/>
      <c r="BA318" s="5"/>
      <c r="BB318" s="5"/>
      <c r="BC318" s="5"/>
      <c r="BD318" s="6"/>
      <c r="BE318" s="6"/>
      <c r="BF318" s="12"/>
      <c r="BG318" s="12"/>
      <c r="BH318" s="12"/>
      <c r="BI318" s="12"/>
      <c r="BJ318" s="12"/>
    </row>
    <row r="319" spans="2:62" x14ac:dyDescent="0.25">
      <c r="B319" s="1" t="s">
        <v>2227</v>
      </c>
      <c r="C319" s="1" t="s">
        <v>2235</v>
      </c>
      <c r="D319" s="1" t="s">
        <v>1190</v>
      </c>
      <c r="E319" s="1" t="s">
        <v>2236</v>
      </c>
      <c r="F319" s="1" t="s">
        <v>2237</v>
      </c>
      <c r="G319" s="1" t="s">
        <v>2238</v>
      </c>
      <c r="H319" s="1" t="s">
        <v>2239</v>
      </c>
      <c r="I319" s="7" t="s">
        <v>1917</v>
      </c>
      <c r="J319" s="44">
        <v>1</v>
      </c>
      <c r="K319" s="45">
        <v>1</v>
      </c>
      <c r="L319" s="1" t="s">
        <v>2240</v>
      </c>
      <c r="M319" s="1" t="s">
        <v>2241</v>
      </c>
      <c r="N319" s="1" t="s">
        <v>1140</v>
      </c>
      <c r="O319" s="1" t="s">
        <v>1959</v>
      </c>
      <c r="P319" s="1" t="s">
        <v>1190</v>
      </c>
      <c r="Q319" s="44">
        <f>IF(L319="545",Multipliers!C393,"oops")</f>
        <v>0.95</v>
      </c>
      <c r="R319" s="44">
        <f>IF(M319="Wausau",Multipliers!C164, "GOOF")</f>
        <v>1.05</v>
      </c>
      <c r="S319" s="46">
        <f t="shared" si="131"/>
        <v>385768.22900000005</v>
      </c>
      <c r="T319" s="46">
        <f t="shared" si="132"/>
        <v>410523.29850000003</v>
      </c>
      <c r="U319" s="46">
        <f t="shared" si="141"/>
        <v>398207.599545</v>
      </c>
      <c r="V319" s="46">
        <f t="shared" si="142"/>
        <v>391987.91427250003</v>
      </c>
      <c r="W319" s="47">
        <f>IF(F319=F320,(V319+V320)/2,IF(F319=F318,(V319+V318)/2,IF(F319&lt;&gt;F318,V319)))</f>
        <v>391987.91427250003</v>
      </c>
      <c r="X319" s="47"/>
      <c r="Y319" s="48">
        <f t="shared" si="143"/>
        <v>316061.05492499995</v>
      </c>
      <c r="Z319" s="48">
        <f t="shared" si="144"/>
        <v>349341.11803499999</v>
      </c>
      <c r="AA319" s="48">
        <f t="shared" si="145"/>
        <v>391987.91427250003</v>
      </c>
      <c r="AB319" s="48">
        <f t="shared" si="146"/>
        <v>424639.10114499996</v>
      </c>
      <c r="AC319" s="48">
        <f t="shared" si="147"/>
        <v>457780.55130500003</v>
      </c>
      <c r="AD319" s="1"/>
      <c r="AE319" s="1"/>
      <c r="AF319" s="1"/>
      <c r="AI319" s="9"/>
      <c r="AJ319" s="1"/>
      <c r="AK319" s="1"/>
      <c r="AL319" s="1"/>
      <c r="AM319" s="1"/>
      <c r="AN319" s="1"/>
      <c r="AO319" s="1"/>
      <c r="AP319" s="9"/>
      <c r="AQ319" s="3"/>
      <c r="AR319" s="4"/>
      <c r="AS319" s="1"/>
      <c r="AT319" s="1"/>
      <c r="AU319" s="1"/>
      <c r="AV319" s="1"/>
      <c r="AW319" s="1"/>
      <c r="AX319" s="3"/>
      <c r="AY319" s="3"/>
      <c r="AZ319" s="5"/>
      <c r="BA319" s="5"/>
      <c r="BB319" s="5"/>
      <c r="BC319" s="5"/>
      <c r="BD319" s="6"/>
      <c r="BE319" s="6"/>
      <c r="BF319" s="12"/>
      <c r="BG319" s="12"/>
      <c r="BH319" s="12"/>
      <c r="BI319" s="12"/>
      <c r="BJ319" s="12"/>
    </row>
    <row r="320" spans="2:62" x14ac:dyDescent="0.25">
      <c r="B320" s="1" t="s">
        <v>2227</v>
      </c>
      <c r="C320" s="1" t="s">
        <v>2242</v>
      </c>
      <c r="D320" s="1" t="s">
        <v>1190</v>
      </c>
      <c r="E320" s="1" t="s">
        <v>2243</v>
      </c>
      <c r="F320" s="1" t="s">
        <v>2244</v>
      </c>
      <c r="G320" s="1" t="s">
        <v>2245</v>
      </c>
      <c r="H320" s="1" t="s">
        <v>2246</v>
      </c>
      <c r="I320" s="7" t="s">
        <v>1917</v>
      </c>
      <c r="J320" s="44">
        <v>1</v>
      </c>
      <c r="K320" s="45">
        <v>1</v>
      </c>
      <c r="L320" s="1" t="s">
        <v>2240</v>
      </c>
      <c r="M320" s="1" t="s">
        <v>2247</v>
      </c>
      <c r="N320" s="1" t="s">
        <v>1140</v>
      </c>
      <c r="O320" s="1" t="s">
        <v>1959</v>
      </c>
      <c r="P320" s="1" t="s">
        <v>1190</v>
      </c>
      <c r="Q320" s="44">
        <f>IF(L320="545",Multipliers!C393,"oops")</f>
        <v>0.95</v>
      </c>
      <c r="R320" s="44">
        <f>IF(M320="La Crosse",Multipliers!C162, "GOOF")</f>
        <v>1.06</v>
      </c>
      <c r="S320" s="46">
        <f t="shared" si="131"/>
        <v>385768.22900000005</v>
      </c>
      <c r="T320" s="46">
        <f t="shared" si="132"/>
        <v>414433.04420000006</v>
      </c>
      <c r="U320" s="46">
        <f t="shared" si="141"/>
        <v>402000.05287400004</v>
      </c>
      <c r="V320" s="46">
        <f t="shared" si="142"/>
        <v>393884.14093700005</v>
      </c>
      <c r="W320" s="47">
        <f>IF(F320=F321,(V320+V321)/2,IF(F320=F319,(V320+V319)/2,IF(F320&lt;&gt;F319,V320)))</f>
        <v>393884.14093700005</v>
      </c>
      <c r="X320" s="47"/>
      <c r="Y320" s="48">
        <f t="shared" si="143"/>
        <v>317554.81296000001</v>
      </c>
      <c r="Z320" s="48">
        <f t="shared" si="144"/>
        <v>351016.32010199997</v>
      </c>
      <c r="AA320" s="48">
        <f t="shared" si="145"/>
        <v>393884.14093700005</v>
      </c>
      <c r="AB320" s="48">
        <f t="shared" si="146"/>
        <v>426712.68634399999</v>
      </c>
      <c r="AC320" s="48">
        <f t="shared" si="147"/>
        <v>460019.36979600007</v>
      </c>
      <c r="AD320" s="1"/>
      <c r="AE320" s="1"/>
      <c r="AF320" s="1"/>
      <c r="AI320" s="9"/>
      <c r="AJ320" s="1"/>
      <c r="AK320" s="1"/>
      <c r="AL320" s="1"/>
      <c r="AM320" s="1"/>
      <c r="AN320" s="1"/>
      <c r="AO320" s="1"/>
      <c r="AP320" s="9"/>
      <c r="AQ320" s="3"/>
      <c r="AR320" s="4"/>
      <c r="AS320" s="1"/>
      <c r="AT320" s="1"/>
      <c r="AU320" s="1"/>
      <c r="AV320" s="1"/>
      <c r="AW320" s="1"/>
      <c r="AX320" s="3"/>
      <c r="AY320" s="3"/>
      <c r="AZ320" s="5"/>
      <c r="BA320" s="5"/>
      <c r="BB320" s="5"/>
      <c r="BC320" s="5"/>
      <c r="BD320" s="6"/>
      <c r="BE320" s="6"/>
      <c r="BF320" s="12"/>
      <c r="BG320" s="12"/>
      <c r="BH320" s="12"/>
      <c r="BI320" s="12"/>
      <c r="BJ320" s="12"/>
    </row>
    <row r="321" spans="2:62" x14ac:dyDescent="0.25">
      <c r="B321" s="1" t="s">
        <v>2227</v>
      </c>
      <c r="C321" s="1" t="s">
        <v>2248</v>
      </c>
      <c r="D321" s="1" t="s">
        <v>1190</v>
      </c>
      <c r="E321" s="1" t="s">
        <v>2249</v>
      </c>
      <c r="F321" s="1" t="s">
        <v>2250</v>
      </c>
      <c r="G321" s="1" t="s">
        <v>2251</v>
      </c>
      <c r="H321" s="1" t="s">
        <v>2252</v>
      </c>
      <c r="I321" s="7" t="s">
        <v>1917</v>
      </c>
      <c r="J321" s="44">
        <v>1</v>
      </c>
      <c r="K321" s="45">
        <v>1</v>
      </c>
      <c r="L321" s="1" t="s">
        <v>2233</v>
      </c>
      <c r="M321" s="1" t="s">
        <v>2234</v>
      </c>
      <c r="N321" s="1" t="s">
        <v>1140</v>
      </c>
      <c r="O321" s="1" t="s">
        <v>1959</v>
      </c>
      <c r="P321" s="1" t="s">
        <v>1190</v>
      </c>
      <c r="Q321" s="44">
        <f>IF(L321="548",Multipliers!C394,"oops")</f>
        <v>0.96</v>
      </c>
      <c r="R321" s="44">
        <f>IF(M321="Superior",Multipliers!C163, "GOOF")</f>
        <v>1.05</v>
      </c>
      <c r="S321" s="46">
        <f t="shared" si="131"/>
        <v>389828.94720000005</v>
      </c>
      <c r="T321" s="46">
        <f t="shared" si="132"/>
        <v>410523.29850000003</v>
      </c>
      <c r="U321" s="46">
        <f t="shared" si="141"/>
        <v>398207.599545</v>
      </c>
      <c r="V321" s="46">
        <f t="shared" si="142"/>
        <v>394018.27337250003</v>
      </c>
      <c r="W321" s="47">
        <f>IF(F321=F322,(V321+V322)/2,IF(F321=F320,(V321+V320)/2,IF(F321&lt;&gt;F320,V321)))</f>
        <v>394018.27337250003</v>
      </c>
      <c r="X321" s="47"/>
      <c r="Y321" s="48">
        <f t="shared" si="143"/>
        <v>317737.01767500001</v>
      </c>
      <c r="Z321" s="48">
        <f t="shared" si="144"/>
        <v>351166.85383499996</v>
      </c>
      <c r="AA321" s="48">
        <f t="shared" si="145"/>
        <v>394018.27337250003</v>
      </c>
      <c r="AB321" s="48">
        <f t="shared" si="146"/>
        <v>426817.12909499998</v>
      </c>
      <c r="AC321" s="48">
        <f t="shared" si="147"/>
        <v>460124.81035499997</v>
      </c>
      <c r="AD321" s="1"/>
      <c r="AE321" s="1"/>
      <c r="AF321" s="1"/>
      <c r="AI321" s="9"/>
      <c r="AJ321" s="1"/>
      <c r="AK321" s="1"/>
      <c r="AL321" s="1"/>
      <c r="AM321" s="1"/>
      <c r="AN321" s="1"/>
      <c r="AO321" s="1"/>
      <c r="AP321" s="9"/>
      <c r="AQ321" s="3"/>
      <c r="AR321" s="4"/>
      <c r="AS321" s="1"/>
      <c r="AT321" s="1"/>
      <c r="AU321" s="1"/>
      <c r="AV321" s="1"/>
      <c r="AW321" s="1"/>
      <c r="AX321" s="3"/>
      <c r="AY321" s="3"/>
      <c r="AZ321" s="5"/>
      <c r="BA321" s="5"/>
      <c r="BB321" s="5"/>
      <c r="BC321" s="5"/>
      <c r="BD321" s="6"/>
      <c r="BE321" s="6"/>
      <c r="BF321" s="12"/>
      <c r="BG321" s="12"/>
      <c r="BH321" s="12"/>
      <c r="BI321" s="12"/>
      <c r="BJ321" s="12"/>
    </row>
    <row r="322" spans="2:62" x14ac:dyDescent="0.25">
      <c r="B322" s="1" t="s">
        <v>2227</v>
      </c>
      <c r="C322" s="1" t="s">
        <v>2253</v>
      </c>
      <c r="D322" s="1" t="s">
        <v>1190</v>
      </c>
      <c r="E322" s="1" t="s">
        <v>2254</v>
      </c>
      <c r="F322" s="1" t="s">
        <v>2255</v>
      </c>
      <c r="G322" s="1" t="s">
        <v>2256</v>
      </c>
      <c r="H322" s="1" t="s">
        <v>2257</v>
      </c>
      <c r="I322" s="7" t="s">
        <v>1917</v>
      </c>
      <c r="J322" s="44">
        <v>1</v>
      </c>
      <c r="K322" s="45">
        <v>1</v>
      </c>
      <c r="L322" s="1" t="s">
        <v>2240</v>
      </c>
      <c r="M322" s="1" t="s">
        <v>2241</v>
      </c>
      <c r="N322" s="1" t="s">
        <v>1140</v>
      </c>
      <c r="O322" s="1" t="s">
        <v>1959</v>
      </c>
      <c r="P322" s="1" t="s">
        <v>1190</v>
      </c>
      <c r="Q322" s="44">
        <f>IF(L322="545",Multipliers!C393,"oops")</f>
        <v>0.95</v>
      </c>
      <c r="R322" s="44">
        <f>IF(M322="Wausau",Multipliers!C164, "GOOF")</f>
        <v>1.05</v>
      </c>
      <c r="S322" s="46">
        <f t="shared" si="131"/>
        <v>385768.22900000005</v>
      </c>
      <c r="T322" s="46">
        <f t="shared" si="132"/>
        <v>410523.29850000003</v>
      </c>
      <c r="U322" s="46">
        <f t="shared" si="141"/>
        <v>398207.599545</v>
      </c>
      <c r="V322" s="46">
        <f t="shared" si="142"/>
        <v>391987.91427250003</v>
      </c>
      <c r="W322" s="47">
        <f>IF(F322=F323,(V322+V323)/2,IF(F322=F321,(V322+V321)/2,IF(F322&lt;&gt;F321,V322)))</f>
        <v>391987.91427250003</v>
      </c>
      <c r="X322" s="47"/>
      <c r="Y322" s="48">
        <f t="shared" si="143"/>
        <v>316061.05492499995</v>
      </c>
      <c r="Z322" s="48">
        <f t="shared" si="144"/>
        <v>349341.11803499999</v>
      </c>
      <c r="AA322" s="48">
        <f t="shared" si="145"/>
        <v>391987.91427250003</v>
      </c>
      <c r="AB322" s="48">
        <f t="shared" si="146"/>
        <v>424639.10114499996</v>
      </c>
      <c r="AC322" s="48">
        <f t="shared" si="147"/>
        <v>457780.55130500003</v>
      </c>
      <c r="AD322" s="1"/>
      <c r="AE322" s="1"/>
      <c r="AF322" s="1"/>
      <c r="AI322" s="9"/>
      <c r="AJ322" s="1"/>
      <c r="AK322" s="1"/>
      <c r="AL322" s="1"/>
      <c r="AM322" s="1"/>
      <c r="AN322" s="1"/>
      <c r="AO322" s="1"/>
      <c r="AP322" s="9"/>
      <c r="AQ322" s="3"/>
      <c r="AR322" s="4"/>
      <c r="AS322" s="1"/>
      <c r="AT322" s="1"/>
      <c r="AU322" s="1"/>
      <c r="AV322" s="1"/>
      <c r="AW322" s="1"/>
      <c r="AX322" s="3"/>
      <c r="AY322" s="3"/>
      <c r="AZ322" s="5"/>
      <c r="BA322" s="5"/>
      <c r="BB322" s="5"/>
      <c r="BC322" s="5"/>
      <c r="BD322" s="6"/>
      <c r="BE322" s="6"/>
      <c r="BF322" s="12"/>
      <c r="BG322" s="12"/>
      <c r="BH322" s="12"/>
      <c r="BI322" s="12"/>
      <c r="BJ322" s="12"/>
    </row>
    <row r="323" spans="2:62" x14ac:dyDescent="0.25">
      <c r="B323" s="1" t="s">
        <v>2227</v>
      </c>
      <c r="C323" s="1" t="s">
        <v>2258</v>
      </c>
      <c r="D323" s="1" t="s">
        <v>1190</v>
      </c>
      <c r="E323" s="1" t="s">
        <v>2259</v>
      </c>
      <c r="F323" s="1" t="s">
        <v>2260</v>
      </c>
      <c r="G323" s="1" t="s">
        <v>2261</v>
      </c>
      <c r="H323" s="1" t="s">
        <v>2262</v>
      </c>
      <c r="I323" s="7" t="s">
        <v>1917</v>
      </c>
      <c r="J323" s="44">
        <v>1</v>
      </c>
      <c r="K323" s="45">
        <v>1</v>
      </c>
      <c r="L323" s="1" t="s">
        <v>2263</v>
      </c>
      <c r="M323" s="1" t="s">
        <v>2241</v>
      </c>
      <c r="N323" s="1" t="s">
        <v>1140</v>
      </c>
      <c r="O323" s="1" t="s">
        <v>1959</v>
      </c>
      <c r="P323" s="1" t="s">
        <v>1190</v>
      </c>
      <c r="Q323" s="44">
        <f>IF(L323="541",Multipliers!C390,"oops")</f>
        <v>1.02</v>
      </c>
      <c r="R323" s="44">
        <f>IF(M323="Wausau",Multipliers!C164, "GOOF")</f>
        <v>1.05</v>
      </c>
      <c r="S323" s="46">
        <f t="shared" si="131"/>
        <v>414193.25640000007</v>
      </c>
      <c r="T323" s="46">
        <f t="shared" si="132"/>
        <v>410523.29850000003</v>
      </c>
      <c r="U323" s="46">
        <f t="shared" si="141"/>
        <v>398207.599545</v>
      </c>
      <c r="V323" s="46">
        <f t="shared" si="142"/>
        <v>406200.42797250004</v>
      </c>
      <c r="W323" s="47">
        <f t="shared" ref="W323:W330" si="151">IF(F323=F324,(V323+V324)/2,IF(F323=F322,(V323+V322)/2,IF(F323&lt;&gt;F322,V323)))</f>
        <v>406200.42797250004</v>
      </c>
      <c r="X323" s="47"/>
      <c r="Y323" s="48">
        <f t="shared" si="143"/>
        <v>327792.79417500005</v>
      </c>
      <c r="Z323" s="48">
        <f t="shared" si="144"/>
        <v>362121.26863499999</v>
      </c>
      <c r="AA323" s="48">
        <f t="shared" si="145"/>
        <v>406200.4279725001</v>
      </c>
      <c r="AB323" s="48">
        <f t="shared" si="146"/>
        <v>439885.29679499997</v>
      </c>
      <c r="AC323" s="48">
        <f t="shared" si="147"/>
        <v>474190.36465500004</v>
      </c>
      <c r="AD323" s="1"/>
      <c r="AE323" s="1"/>
      <c r="AF323" s="1"/>
      <c r="AI323" s="9"/>
      <c r="AJ323" s="1"/>
      <c r="AK323" s="1"/>
      <c r="AL323" s="1"/>
      <c r="AM323" s="7"/>
      <c r="AN323" s="1"/>
      <c r="AO323" s="1"/>
      <c r="AP323" s="9"/>
      <c r="AQ323" s="3"/>
      <c r="AR323" s="4"/>
      <c r="AS323" s="1"/>
      <c r="AT323" s="1"/>
      <c r="AU323" s="1"/>
      <c r="AV323" s="1"/>
      <c r="AW323" s="1"/>
      <c r="AX323" s="3"/>
      <c r="AY323" s="3"/>
      <c r="AZ323" s="5"/>
      <c r="BA323" s="5"/>
      <c r="BB323" s="5"/>
      <c r="BC323" s="5"/>
      <c r="BD323" s="6"/>
      <c r="BE323" s="6"/>
      <c r="BF323" s="12"/>
      <c r="BG323" s="12"/>
      <c r="BH323" s="12"/>
      <c r="BI323" s="12"/>
      <c r="BJ323" s="12"/>
    </row>
    <row r="324" spans="2:62" x14ac:dyDescent="0.25">
      <c r="B324" s="1" t="s">
        <v>2227</v>
      </c>
      <c r="C324" s="1" t="s">
        <v>2264</v>
      </c>
      <c r="D324" s="1" t="s">
        <v>1190</v>
      </c>
      <c r="E324" s="1" t="s">
        <v>2265</v>
      </c>
      <c r="F324" s="1" t="s">
        <v>2266</v>
      </c>
      <c r="G324" s="1" t="s">
        <v>2267</v>
      </c>
      <c r="H324" s="1" t="s">
        <v>2268</v>
      </c>
      <c r="I324" s="7" t="s">
        <v>1917</v>
      </c>
      <c r="J324" s="44">
        <v>1</v>
      </c>
      <c r="K324" s="45">
        <v>1</v>
      </c>
      <c r="L324" s="1" t="s">
        <v>2269</v>
      </c>
      <c r="M324" s="1" t="s">
        <v>2270</v>
      </c>
      <c r="N324" s="1" t="s">
        <v>1140</v>
      </c>
      <c r="O324" s="1" t="s">
        <v>1959</v>
      </c>
      <c r="P324" s="1" t="s">
        <v>1190</v>
      </c>
      <c r="Q324" s="44">
        <f>IF(L324="543",Multipliers!C391,"oops")</f>
        <v>1.02</v>
      </c>
      <c r="R324" s="44">
        <f>IF(M324="Green Bay",Multipliers!C161, "GOOF")</f>
        <v>1.05</v>
      </c>
      <c r="S324" s="46">
        <f t="shared" ref="S324:S330" si="152">IF(N324="Standard",$O$5*Q324*$O$7,IF(N324="Severe",$O$4*Q324*$O$7,IF(N324="Hostile",$O$3*Q324*$O$7)))</f>
        <v>414193.25640000007</v>
      </c>
      <c r="T324" s="46">
        <f t="shared" ref="T324:T330" si="153">IF(N324="Standard",$P$5*R324*$O$7,IF(N324="Severe",$P$4*R324*$O$7,IF(N324="Hostile",$P$3*R324*$O$7)))</f>
        <v>410523.29850000003</v>
      </c>
      <c r="U324" s="46">
        <f t="shared" si="141"/>
        <v>398207.599545</v>
      </c>
      <c r="V324" s="46">
        <f t="shared" si="142"/>
        <v>406200.42797250004</v>
      </c>
      <c r="W324" s="47">
        <f t="shared" si="151"/>
        <v>406200.42797250004</v>
      </c>
      <c r="X324" s="47"/>
      <c r="Y324" s="48">
        <f t="shared" si="143"/>
        <v>327792.79417500005</v>
      </c>
      <c r="Z324" s="48">
        <f t="shared" si="144"/>
        <v>362121.26863499999</v>
      </c>
      <c r="AA324" s="48">
        <f t="shared" si="145"/>
        <v>406200.4279725001</v>
      </c>
      <c r="AB324" s="48">
        <f t="shared" si="146"/>
        <v>439885.29679499997</v>
      </c>
      <c r="AC324" s="48">
        <f t="shared" si="147"/>
        <v>474190.36465500004</v>
      </c>
      <c r="AD324" s="1"/>
      <c r="AE324" s="1"/>
      <c r="AF324" s="1"/>
      <c r="AI324" s="9"/>
      <c r="AJ324" s="1"/>
      <c r="AK324" s="1"/>
      <c r="AL324" s="1"/>
      <c r="AM324" s="1"/>
      <c r="AN324" s="1"/>
      <c r="AO324" s="1"/>
      <c r="AP324" s="9"/>
      <c r="AQ324" s="3"/>
      <c r="AR324" s="4"/>
      <c r="AS324" s="1"/>
      <c r="AT324" s="1"/>
      <c r="AU324" s="1"/>
      <c r="AV324" s="1"/>
      <c r="AW324" s="1"/>
      <c r="AX324" s="3"/>
      <c r="AY324" s="3"/>
      <c r="AZ324" s="5"/>
      <c r="BA324" s="5"/>
      <c r="BB324" s="5"/>
      <c r="BC324" s="5"/>
      <c r="BD324" s="6"/>
      <c r="BE324" s="6"/>
      <c r="BF324" s="12"/>
      <c r="BG324" s="12"/>
      <c r="BH324" s="12"/>
      <c r="BI324" s="12"/>
      <c r="BJ324" s="12"/>
    </row>
    <row r="325" spans="2:62" x14ac:dyDescent="0.25">
      <c r="B325" s="1" t="s">
        <v>2227</v>
      </c>
      <c r="C325" s="1" t="s">
        <v>2271</v>
      </c>
      <c r="D325" s="1" t="s">
        <v>1190</v>
      </c>
      <c r="E325" s="1" t="s">
        <v>2272</v>
      </c>
      <c r="F325" s="7" t="s">
        <v>2273</v>
      </c>
      <c r="G325" s="1" t="s">
        <v>2274</v>
      </c>
      <c r="H325" s="1" t="s">
        <v>2275</v>
      </c>
      <c r="I325" s="7" t="s">
        <v>1917</v>
      </c>
      <c r="J325" s="44">
        <v>1</v>
      </c>
      <c r="K325" s="45">
        <v>1</v>
      </c>
      <c r="L325" s="1" t="s">
        <v>2233</v>
      </c>
      <c r="M325" s="1" t="s">
        <v>2234</v>
      </c>
      <c r="N325" s="1" t="s">
        <v>1140</v>
      </c>
      <c r="O325" s="1" t="s">
        <v>1959</v>
      </c>
      <c r="P325" s="1" t="s">
        <v>1190</v>
      </c>
      <c r="Q325" s="44">
        <f>IF(L325="548",Multipliers!C394,"oops")</f>
        <v>0.96</v>
      </c>
      <c r="R325" s="44">
        <f>IF(M325="Superior",Multipliers!C163, "GOOF")</f>
        <v>1.05</v>
      </c>
      <c r="S325" s="46">
        <f t="shared" si="152"/>
        <v>389828.94720000005</v>
      </c>
      <c r="T325" s="46">
        <f t="shared" si="153"/>
        <v>410523.29850000003</v>
      </c>
      <c r="U325" s="46">
        <f t="shared" ref="U325:U332" si="154">IF(O325="E",$T$3*T325,IF(O325="C",$T$4*T325,IF(O325="W",$T$5*T325,1)))</f>
        <v>398207.599545</v>
      </c>
      <c r="V325" s="46">
        <f t="shared" ref="V325:V332" si="155">(S325+U325)/2</f>
        <v>394018.27337250003</v>
      </c>
      <c r="W325" s="47">
        <f t="shared" si="151"/>
        <v>394018.27337250003</v>
      </c>
      <c r="X325" s="47"/>
      <c r="Y325" s="48">
        <f t="shared" si="143"/>
        <v>317737.01767500001</v>
      </c>
      <c r="Z325" s="48">
        <f t="shared" si="144"/>
        <v>351166.85383499996</v>
      </c>
      <c r="AA325" s="48">
        <f t="shared" si="145"/>
        <v>394018.27337250003</v>
      </c>
      <c r="AB325" s="48">
        <f t="shared" si="146"/>
        <v>426817.12909499998</v>
      </c>
      <c r="AC325" s="48">
        <f t="shared" si="147"/>
        <v>460124.81035499997</v>
      </c>
      <c r="AD325" s="1"/>
      <c r="AE325" s="1"/>
      <c r="AF325" s="1"/>
      <c r="AI325" s="9"/>
      <c r="AJ325" s="1"/>
      <c r="AK325" s="1"/>
      <c r="AL325" s="1"/>
      <c r="AM325" s="1"/>
      <c r="AN325" s="1"/>
      <c r="AO325" s="1"/>
      <c r="AP325" s="9"/>
      <c r="AQ325" s="3"/>
      <c r="AR325" s="4"/>
      <c r="AS325" s="1"/>
      <c r="AT325" s="1"/>
      <c r="AU325" s="1"/>
      <c r="AV325" s="1"/>
      <c r="AW325" s="1"/>
      <c r="AX325" s="3"/>
      <c r="AY325" s="3"/>
      <c r="AZ325" s="5"/>
      <c r="BA325" s="5"/>
      <c r="BB325" s="5"/>
      <c r="BC325" s="5"/>
      <c r="BD325" s="6"/>
      <c r="BE325" s="6"/>
      <c r="BF325" s="12"/>
      <c r="BG325" s="12"/>
      <c r="BH325" s="12"/>
      <c r="BI325" s="12"/>
      <c r="BJ325" s="12"/>
    </row>
    <row r="326" spans="2:62" x14ac:dyDescent="0.25">
      <c r="B326" s="1" t="s">
        <v>2227</v>
      </c>
      <c r="C326" s="1" t="s">
        <v>2276</v>
      </c>
      <c r="D326" s="1" t="s">
        <v>1190</v>
      </c>
      <c r="E326" s="1" t="s">
        <v>2277</v>
      </c>
      <c r="F326" s="1" t="s">
        <v>2278</v>
      </c>
      <c r="G326" s="1" t="s">
        <v>2279</v>
      </c>
      <c r="H326" s="1" t="s">
        <v>2280</v>
      </c>
      <c r="I326" s="7" t="s">
        <v>1917</v>
      </c>
      <c r="J326" s="44">
        <v>1</v>
      </c>
      <c r="K326" s="45">
        <v>1</v>
      </c>
      <c r="L326" s="1" t="s">
        <v>2233</v>
      </c>
      <c r="M326" s="1" t="s">
        <v>2234</v>
      </c>
      <c r="N326" s="1" t="s">
        <v>1140</v>
      </c>
      <c r="O326" s="1" t="s">
        <v>1959</v>
      </c>
      <c r="P326" s="1" t="s">
        <v>1190</v>
      </c>
      <c r="Q326" s="44">
        <f>IF(L326="548",Multipliers!C394,"oops")</f>
        <v>0.96</v>
      </c>
      <c r="R326" s="44">
        <f>IF(M326="Superior",Multipliers!C163, "GOOF")</f>
        <v>1.05</v>
      </c>
      <c r="S326" s="46">
        <f t="shared" si="152"/>
        <v>389828.94720000005</v>
      </c>
      <c r="T326" s="46">
        <f t="shared" si="153"/>
        <v>410523.29850000003</v>
      </c>
      <c r="U326" s="46">
        <f t="shared" si="154"/>
        <v>398207.599545</v>
      </c>
      <c r="V326" s="46">
        <f t="shared" si="155"/>
        <v>394018.27337250003</v>
      </c>
      <c r="W326" s="47">
        <f t="shared" si="151"/>
        <v>394018.27337250003</v>
      </c>
      <c r="X326" s="47"/>
      <c r="Y326" s="48">
        <f t="shared" si="143"/>
        <v>317737.01767500001</v>
      </c>
      <c r="Z326" s="48">
        <f t="shared" si="144"/>
        <v>351166.85383499996</v>
      </c>
      <c r="AA326" s="48">
        <f t="shared" si="145"/>
        <v>394018.27337250003</v>
      </c>
      <c r="AB326" s="48">
        <f t="shared" si="146"/>
        <v>426817.12909499998</v>
      </c>
      <c r="AC326" s="48">
        <f t="shared" si="147"/>
        <v>460124.81035499997</v>
      </c>
      <c r="AD326" s="1"/>
      <c r="AE326" s="1"/>
      <c r="AF326" s="1"/>
      <c r="AI326" s="9"/>
      <c r="AJ326" s="1"/>
      <c r="AK326" s="1"/>
      <c r="AL326" s="1"/>
      <c r="AM326" s="1"/>
      <c r="AN326" s="1"/>
      <c r="AO326" s="1"/>
      <c r="AP326" s="9"/>
      <c r="AQ326" s="3"/>
      <c r="AR326" s="4"/>
      <c r="AS326" s="1"/>
      <c r="AT326" s="1"/>
      <c r="AU326" s="1"/>
      <c r="AV326" s="1"/>
      <c r="AW326" s="1"/>
      <c r="AX326" s="3"/>
      <c r="AY326" s="3"/>
      <c r="AZ326" s="5"/>
      <c r="BA326" s="5"/>
      <c r="BB326" s="5"/>
      <c r="BC326" s="5"/>
      <c r="BD326" s="6"/>
      <c r="BE326" s="6"/>
      <c r="BF326" s="12"/>
      <c r="BG326" s="12"/>
      <c r="BH326" s="12"/>
      <c r="BI326" s="12"/>
      <c r="BJ326" s="12"/>
    </row>
    <row r="327" spans="2:62" x14ac:dyDescent="0.25">
      <c r="B327" s="1" t="s">
        <v>2227</v>
      </c>
      <c r="C327" s="1" t="s">
        <v>2281</v>
      </c>
      <c r="D327" s="1" t="s">
        <v>1190</v>
      </c>
      <c r="E327" s="1" t="s">
        <v>2282</v>
      </c>
      <c r="F327" s="1" t="s">
        <v>2283</v>
      </c>
      <c r="G327" s="1" t="s">
        <v>2284</v>
      </c>
      <c r="H327" s="1" t="s">
        <v>2285</v>
      </c>
      <c r="I327" s="7" t="s">
        <v>1917</v>
      </c>
      <c r="J327" s="44">
        <v>1</v>
      </c>
      <c r="K327" s="45">
        <v>1</v>
      </c>
      <c r="L327" s="1" t="s">
        <v>2240</v>
      </c>
      <c r="M327" s="1" t="s">
        <v>2241</v>
      </c>
      <c r="N327" s="1" t="s">
        <v>1140</v>
      </c>
      <c r="O327" s="1" t="s">
        <v>1959</v>
      </c>
      <c r="P327" s="1" t="s">
        <v>1190</v>
      </c>
      <c r="Q327" s="44">
        <f>IF(L327="545",Multipliers!C393,"oops")</f>
        <v>0.95</v>
      </c>
      <c r="R327" s="44">
        <f>IF(M327="Wausau",Multipliers!C164, "GOOF")</f>
        <v>1.05</v>
      </c>
      <c r="S327" s="46">
        <f t="shared" si="152"/>
        <v>385768.22900000005</v>
      </c>
      <c r="T327" s="46">
        <f t="shared" si="153"/>
        <v>410523.29850000003</v>
      </c>
      <c r="U327" s="46">
        <f t="shared" si="154"/>
        <v>398207.599545</v>
      </c>
      <c r="V327" s="46">
        <f t="shared" si="155"/>
        <v>391987.91427250003</v>
      </c>
      <c r="W327" s="47">
        <f t="shared" si="151"/>
        <v>391987.91427250003</v>
      </c>
      <c r="X327" s="47"/>
      <c r="Y327" s="48">
        <f t="shared" si="143"/>
        <v>316061.05492499995</v>
      </c>
      <c r="Z327" s="48">
        <f t="shared" si="144"/>
        <v>349341.11803499999</v>
      </c>
      <c r="AA327" s="48">
        <f t="shared" si="145"/>
        <v>391987.91427250003</v>
      </c>
      <c r="AB327" s="48">
        <f t="shared" si="146"/>
        <v>424639.10114499996</v>
      </c>
      <c r="AC327" s="48">
        <f t="shared" si="147"/>
        <v>457780.55130500003</v>
      </c>
      <c r="AD327" s="1"/>
      <c r="AE327" s="1"/>
      <c r="AF327" s="1"/>
      <c r="AI327" s="9"/>
      <c r="AJ327" s="1"/>
      <c r="AK327" s="1"/>
      <c r="AL327" s="1"/>
      <c r="AM327" s="1"/>
      <c r="AN327" s="1"/>
      <c r="AO327" s="1"/>
      <c r="AP327" s="9"/>
      <c r="AQ327" s="3"/>
      <c r="AR327" s="4"/>
      <c r="AS327" s="1"/>
      <c r="AT327" s="1"/>
      <c r="AU327" s="1"/>
      <c r="AV327" s="1"/>
      <c r="AW327" s="1"/>
      <c r="AX327" s="3"/>
      <c r="AY327" s="3"/>
      <c r="AZ327" s="5"/>
      <c r="BA327" s="5"/>
      <c r="BB327" s="5"/>
      <c r="BC327" s="5"/>
      <c r="BD327" s="6"/>
      <c r="BE327" s="6"/>
      <c r="BF327" s="12"/>
      <c r="BG327" s="12"/>
      <c r="BH327" s="12"/>
      <c r="BI327" s="12"/>
      <c r="BJ327" s="12"/>
    </row>
    <row r="328" spans="2:62" x14ac:dyDescent="0.25">
      <c r="B328" s="1" t="s">
        <v>2227</v>
      </c>
      <c r="C328" s="1" t="s">
        <v>2286</v>
      </c>
      <c r="D328" s="1" t="s">
        <v>1190</v>
      </c>
      <c r="E328" s="1" t="s">
        <v>2287</v>
      </c>
      <c r="F328" s="1" t="s">
        <v>2288</v>
      </c>
      <c r="G328" s="1" t="s">
        <v>2289</v>
      </c>
      <c r="H328" s="1" t="s">
        <v>2290</v>
      </c>
      <c r="I328" s="7" t="s">
        <v>1917</v>
      </c>
      <c r="J328" s="44">
        <v>1</v>
      </c>
      <c r="K328" s="45">
        <v>1</v>
      </c>
      <c r="L328" s="1" t="s">
        <v>2291</v>
      </c>
      <c r="M328" s="1" t="s">
        <v>2241</v>
      </c>
      <c r="N328" s="1" t="s">
        <v>1140</v>
      </c>
      <c r="O328" s="1" t="s">
        <v>1959</v>
      </c>
      <c r="P328" s="1" t="s">
        <v>1190</v>
      </c>
      <c r="Q328" s="44">
        <f>IF(L328="544",Multipliers!C392,"oops")</f>
        <v>0.97</v>
      </c>
      <c r="R328" s="44">
        <f>IF(M328="Wausau",Multipliers!C164, "GOOF")</f>
        <v>1.05</v>
      </c>
      <c r="S328" s="46">
        <f t="shared" si="152"/>
        <v>393889.66540000006</v>
      </c>
      <c r="T328" s="46">
        <f t="shared" si="153"/>
        <v>410523.29850000003</v>
      </c>
      <c r="U328" s="46">
        <f t="shared" si="154"/>
        <v>398207.599545</v>
      </c>
      <c r="V328" s="46">
        <f t="shared" si="155"/>
        <v>396048.63247250003</v>
      </c>
      <c r="W328" s="47">
        <f t="shared" si="151"/>
        <v>396048.63247250003</v>
      </c>
      <c r="X328" s="47"/>
      <c r="Y328" s="48">
        <f t="shared" si="143"/>
        <v>319412.98042500002</v>
      </c>
      <c r="Z328" s="48">
        <f t="shared" si="144"/>
        <v>352992.58963499998</v>
      </c>
      <c r="AA328" s="48">
        <f t="shared" ref="AA328:AA336" si="156">IF(N328="Standard",((($Z$5*Q328)+($AD$5*R328*$T$5))/2)*$O$7,IF(N328="Severe",((($AA$5*Q328)+($AE$5*R328*$T$5))/2)*$O$7,IF(N328="Hostile",((($AB$5*Q328)+($AF$5*R328*$T$5))/2)*$O$7)))</f>
        <v>400153.8654575001</v>
      </c>
      <c r="AB328" s="48">
        <f t="shared" ref="AB328:AB336" si="157">IF(N328="Standard",((($Z$6*Q328)+($AD$6*R328*$T$5))/2)*$O$7,IF(N328="Severe",((($AA$6*Q328)+($AE$6*R328*$T$5))/2)*$O$7,IF(N328="Hostile",((($AB$6*Q328)+($AF$6*R328*$T$5))/2)*$O$7)))</f>
        <v>433484.36211500003</v>
      </c>
      <c r="AC328" s="48">
        <f t="shared" ref="AC328:AC336" si="158">IF(N328="Standard",((($Z$7*Q328)+($AD$7*R328*$T$5))/2)*$O$7,IF(N328="Severe",((($AA$7*Q328)+($AE$7*R328*$T$5))/2)*$O$7,IF(N328="Hostile",((($AB$7*Q328)+($AF$7*R328*$T$5))/2)*$O$7)))</f>
        <v>467315.99603499996</v>
      </c>
      <c r="AD328" s="1"/>
      <c r="AE328" s="1"/>
      <c r="AF328" s="1"/>
      <c r="AI328" s="9"/>
      <c r="AJ328" s="1"/>
      <c r="AK328" s="1"/>
      <c r="AL328" s="1"/>
      <c r="AM328" s="1"/>
      <c r="AN328" s="1"/>
      <c r="AO328" s="1"/>
      <c r="AP328" s="9"/>
      <c r="AQ328" s="3"/>
      <c r="AR328" s="4"/>
      <c r="AS328" s="1"/>
      <c r="AT328" s="1"/>
      <c r="AU328" s="1"/>
      <c r="AV328" s="1"/>
      <c r="AW328" s="1"/>
      <c r="AX328" s="3"/>
      <c r="AY328" s="3"/>
      <c r="AZ328" s="5"/>
      <c r="BA328" s="5"/>
      <c r="BB328" s="5"/>
      <c r="BC328" s="5"/>
      <c r="BD328" s="6"/>
      <c r="BE328" s="6"/>
      <c r="BF328" s="12"/>
      <c r="BG328" s="12"/>
      <c r="BH328" s="12"/>
      <c r="BI328" s="12"/>
      <c r="BJ328" s="12"/>
    </row>
    <row r="329" spans="2:62" x14ac:dyDescent="0.25">
      <c r="B329" s="1" t="s">
        <v>2292</v>
      </c>
      <c r="C329" s="1" t="s">
        <v>2293</v>
      </c>
      <c r="D329" s="1" t="s">
        <v>1190</v>
      </c>
      <c r="E329" s="1" t="s">
        <v>2294</v>
      </c>
      <c r="F329" s="1" t="s">
        <v>2295</v>
      </c>
      <c r="G329" s="1" t="s">
        <v>2296</v>
      </c>
      <c r="H329" s="1" t="s">
        <v>2297</v>
      </c>
      <c r="I329" s="7" t="s">
        <v>2298</v>
      </c>
      <c r="J329" s="44">
        <v>1</v>
      </c>
      <c r="K329" s="45">
        <v>1</v>
      </c>
      <c r="L329" s="1" t="s">
        <v>2299</v>
      </c>
      <c r="M329" s="1" t="s">
        <v>2300</v>
      </c>
      <c r="N329" s="1" t="s">
        <v>1140</v>
      </c>
      <c r="O329" s="1" t="s">
        <v>1189</v>
      </c>
      <c r="P329" s="1" t="s">
        <v>1190</v>
      </c>
      <c r="Q329" s="44">
        <f>IF(L329="811",Multipliers!C210,"oops")</f>
        <v>0.84</v>
      </c>
      <c r="R329" s="44">
        <f>IF(M329="Durango",Multipliers!C27, "GOOF")</f>
        <v>0.9</v>
      </c>
      <c r="S329" s="46">
        <f t="shared" si="152"/>
        <v>341100.32880000002</v>
      </c>
      <c r="T329" s="46">
        <f t="shared" si="153"/>
        <v>351877.11300000001</v>
      </c>
      <c r="U329" s="46">
        <f t="shared" si="154"/>
        <v>348358.34187</v>
      </c>
      <c r="V329" s="46">
        <f t="shared" si="155"/>
        <v>344729.33533500001</v>
      </c>
      <c r="W329" s="47">
        <f t="shared" si="151"/>
        <v>344729.33533500001</v>
      </c>
      <c r="X329" s="47"/>
      <c r="Y329" s="48">
        <f t="shared" si="143"/>
        <v>275219.09415000002</v>
      </c>
      <c r="Z329" s="48">
        <f t="shared" si="144"/>
        <v>304129.99323000002</v>
      </c>
      <c r="AA329" s="48">
        <f t="shared" si="156"/>
        <v>344729.33533500001</v>
      </c>
      <c r="AB329" s="48">
        <f t="shared" si="157"/>
        <v>373424.90577000001</v>
      </c>
      <c r="AC329" s="48">
        <f t="shared" si="158"/>
        <v>402565.93293000001</v>
      </c>
      <c r="AD329" s="1"/>
      <c r="AE329" s="1"/>
      <c r="AF329" s="1"/>
      <c r="AI329" s="9"/>
      <c r="AJ329" s="1"/>
      <c r="AK329" s="1"/>
      <c r="AL329" s="1"/>
      <c r="AM329" s="1"/>
      <c r="AN329" s="1"/>
      <c r="AO329" s="1"/>
      <c r="AP329" s="9"/>
      <c r="AQ329" s="3"/>
      <c r="AR329" s="4"/>
      <c r="AS329" s="1"/>
      <c r="AT329" s="1"/>
      <c r="AU329" s="1"/>
      <c r="AV329" s="1"/>
      <c r="AW329" s="1"/>
      <c r="AX329" s="3"/>
      <c r="AY329" s="3"/>
      <c r="AZ329" s="5"/>
      <c r="BA329" s="5"/>
      <c r="BB329" s="5"/>
      <c r="BC329" s="5"/>
      <c r="BD329" s="6"/>
      <c r="BE329" s="6"/>
      <c r="BF329" s="12"/>
      <c r="BG329" s="12"/>
      <c r="BH329" s="12"/>
      <c r="BI329" s="12"/>
      <c r="BJ329" s="12"/>
    </row>
    <row r="330" spans="2:62" x14ac:dyDescent="0.25">
      <c r="B330" s="1" t="s">
        <v>2292</v>
      </c>
      <c r="C330" s="1" t="s">
        <v>2301</v>
      </c>
      <c r="D330" s="1" t="s">
        <v>1190</v>
      </c>
      <c r="E330" s="1" t="s">
        <v>2302</v>
      </c>
      <c r="F330" s="1" t="s">
        <v>2303</v>
      </c>
      <c r="G330" s="1" t="s">
        <v>2304</v>
      </c>
      <c r="H330" s="1" t="s">
        <v>2305</v>
      </c>
      <c r="I330" s="7" t="s">
        <v>2298</v>
      </c>
      <c r="J330" s="44">
        <v>1</v>
      </c>
      <c r="K330" s="45">
        <v>1</v>
      </c>
      <c r="L330" s="1" t="s">
        <v>2306</v>
      </c>
      <c r="M330" s="1" t="s">
        <v>2300</v>
      </c>
      <c r="N330" s="1" t="s">
        <v>1140</v>
      </c>
      <c r="O330" s="1" t="s">
        <v>1189</v>
      </c>
      <c r="P330" s="1" t="s">
        <v>1190</v>
      </c>
      <c r="Q330" s="44">
        <f>IF(L330="813",Multipliers!C211,"oops")</f>
        <v>0.87</v>
      </c>
      <c r="R330" s="44">
        <f>IF(M330="Durango",Multipliers!C27, "GOOF")</f>
        <v>0.9</v>
      </c>
      <c r="S330" s="46">
        <f t="shared" si="152"/>
        <v>353282.48340000008</v>
      </c>
      <c r="T330" s="46">
        <f t="shared" si="153"/>
        <v>351877.11300000001</v>
      </c>
      <c r="U330" s="46">
        <f t="shared" si="154"/>
        <v>348358.34187</v>
      </c>
      <c r="V330" s="46">
        <f t="shared" si="155"/>
        <v>350820.41263500007</v>
      </c>
      <c r="W330" s="47">
        <f t="shared" si="151"/>
        <v>350820.41263500007</v>
      </c>
      <c r="X330" s="47"/>
      <c r="Y330" s="48">
        <f t="shared" si="143"/>
        <v>280246.98240000004</v>
      </c>
      <c r="Z330" s="48">
        <f t="shared" si="144"/>
        <v>309607.20062999998</v>
      </c>
      <c r="AA330" s="48">
        <f t="shared" si="156"/>
        <v>350820.41263500002</v>
      </c>
      <c r="AB330" s="48">
        <f t="shared" si="157"/>
        <v>379958.98962000001</v>
      </c>
      <c r="AC330" s="48">
        <f t="shared" si="158"/>
        <v>409598.71007999999</v>
      </c>
      <c r="AD330" s="1"/>
      <c r="AE330" s="1"/>
      <c r="AF330" s="1"/>
      <c r="AI330" s="9"/>
      <c r="AJ330" s="1"/>
      <c r="AK330" s="1"/>
      <c r="AL330" s="1"/>
      <c r="AM330" s="1"/>
      <c r="AN330" s="1"/>
      <c r="AO330" s="1"/>
      <c r="AP330" s="9"/>
      <c r="AQ330" s="3"/>
      <c r="AR330" s="4"/>
      <c r="AS330" s="1"/>
      <c r="AT330" s="1"/>
      <c r="AU330" s="1"/>
      <c r="AV330" s="1"/>
      <c r="AW330" s="1"/>
      <c r="AX330" s="3"/>
      <c r="AY330" s="3"/>
      <c r="AZ330" s="5"/>
      <c r="BA330" s="5"/>
      <c r="BB330" s="5"/>
      <c r="BC330" s="5"/>
      <c r="BD330" s="6"/>
      <c r="BE330" s="6"/>
      <c r="BF330" s="12"/>
      <c r="BG330" s="12"/>
      <c r="BH330" s="12"/>
      <c r="BI330" s="12"/>
      <c r="BJ330" s="12"/>
    </row>
    <row r="331" spans="2:62" x14ac:dyDescent="0.25">
      <c r="B331" s="1" t="s">
        <v>2307</v>
      </c>
      <c r="C331" s="1" t="s">
        <v>2308</v>
      </c>
      <c r="D331" s="1" t="s">
        <v>1190</v>
      </c>
      <c r="E331" s="1" t="s">
        <v>2309</v>
      </c>
      <c r="F331" s="1" t="s">
        <v>2310</v>
      </c>
      <c r="G331" s="1" t="s">
        <v>2311</v>
      </c>
      <c r="H331" s="1" t="s">
        <v>2312</v>
      </c>
      <c r="I331" s="7" t="s">
        <v>2298</v>
      </c>
      <c r="J331" s="44">
        <v>1</v>
      </c>
      <c r="K331" s="45">
        <v>1</v>
      </c>
      <c r="L331" s="1" t="s">
        <v>2313</v>
      </c>
      <c r="M331" s="1" t="s">
        <v>2314</v>
      </c>
      <c r="N331" s="1" t="s">
        <v>1140</v>
      </c>
      <c r="O331" s="1" t="s">
        <v>1189</v>
      </c>
      <c r="P331" s="1" t="s">
        <v>1190</v>
      </c>
      <c r="Q331" s="44">
        <f>IF(L331="594",Multipliers!C283,"oops")</f>
        <v>0.88</v>
      </c>
      <c r="R331" s="44">
        <f>IF(M331="Great Falls",Multipliers!C86, "GOOF")</f>
        <v>0.92</v>
      </c>
      <c r="S331" s="46">
        <f t="shared" ref="S331:S337" si="159">IF(N331="Standard",$O$5*Q331*$O$7,IF(N331="Severe",$O$4*Q331*$O$7,IF(N331="Hostile",$O$3*Q331*$O$7)))</f>
        <v>357343.20160000003</v>
      </c>
      <c r="T331" s="46">
        <f t="shared" ref="T331:T337" si="160">IF(N331="Standard",$P$5*R331*$O$7,IF(N331="Severe",$P$4*R331*$O$7,IF(N331="Hostile",$P$3*R331*$O$7)))</f>
        <v>359696.60440000001</v>
      </c>
      <c r="U331" s="46">
        <f t="shared" si="154"/>
        <v>356099.63835600001</v>
      </c>
      <c r="V331" s="46">
        <f t="shared" si="155"/>
        <v>356721.41997799999</v>
      </c>
      <c r="W331" s="47">
        <f t="shared" ref="W331:W338" si="161">IF(F331=F332,(V331+V332)/2,IF(F331=F330,(V331+V330)/2,IF(F331&lt;&gt;F330,V331)))</f>
        <v>356721.41997799999</v>
      </c>
      <c r="X331" s="47"/>
      <c r="Y331" s="48">
        <f t="shared" si="143"/>
        <v>284910.46122</v>
      </c>
      <c r="Z331" s="48">
        <f t="shared" si="144"/>
        <v>314783.34056399995</v>
      </c>
      <c r="AA331" s="48">
        <f t="shared" si="156"/>
        <v>356721.41997799999</v>
      </c>
      <c r="AB331" s="48">
        <f t="shared" si="157"/>
        <v>386369.69663600001</v>
      </c>
      <c r="AC331" s="48">
        <f t="shared" si="158"/>
        <v>416512.92852399999</v>
      </c>
      <c r="AD331" s="1"/>
      <c r="AE331" s="1"/>
      <c r="AF331" s="1"/>
      <c r="AI331" s="9"/>
      <c r="AJ331" s="1"/>
      <c r="AK331" s="1"/>
      <c r="AL331" s="1"/>
      <c r="AM331" s="1"/>
      <c r="AN331" s="1"/>
      <c r="AO331" s="1"/>
      <c r="AP331" s="9"/>
      <c r="AQ331" s="3"/>
      <c r="AR331" s="4"/>
      <c r="AS331" s="1"/>
      <c r="AT331" s="1"/>
      <c r="AU331" s="1"/>
      <c r="AV331" s="1"/>
      <c r="AW331" s="1"/>
      <c r="AX331" s="3"/>
      <c r="AY331" s="3"/>
      <c r="AZ331" s="5"/>
      <c r="BA331" s="5"/>
      <c r="BB331" s="5"/>
      <c r="BC331" s="5"/>
      <c r="BD331" s="6"/>
      <c r="BE331" s="6"/>
      <c r="BF331" s="12"/>
      <c r="BG331" s="12"/>
      <c r="BH331" s="12"/>
      <c r="BI331" s="12"/>
      <c r="BJ331" s="12"/>
    </row>
    <row r="332" spans="2:62" x14ac:dyDescent="0.25">
      <c r="B332" s="1" t="s">
        <v>2307</v>
      </c>
      <c r="C332" s="1" t="s">
        <v>2315</v>
      </c>
      <c r="D332" s="1" t="s">
        <v>1190</v>
      </c>
      <c r="E332" s="1" t="s">
        <v>2316</v>
      </c>
      <c r="F332" s="1" t="s">
        <v>2317</v>
      </c>
      <c r="G332" s="1" t="s">
        <v>2318</v>
      </c>
      <c r="H332" s="1" t="s">
        <v>2319</v>
      </c>
      <c r="I332" s="7" t="s">
        <v>2298</v>
      </c>
      <c r="J332" s="44">
        <v>1</v>
      </c>
      <c r="K332" s="45">
        <v>1</v>
      </c>
      <c r="L332" s="1" t="s">
        <v>2320</v>
      </c>
      <c r="M332" s="1" t="s">
        <v>2321</v>
      </c>
      <c r="N332" s="1" t="s">
        <v>1140</v>
      </c>
      <c r="O332" s="1" t="s">
        <v>1189</v>
      </c>
      <c r="P332" s="1" t="s">
        <v>1190</v>
      </c>
      <c r="Q332" s="44">
        <f>IF(L332="590",Multipliers!C281,"oops")</f>
        <v>0.88</v>
      </c>
      <c r="R332" s="44">
        <f>IF(M332="Billings",Multipliers!C85, "GOOF")</f>
        <v>0.97</v>
      </c>
      <c r="S332" s="46">
        <f t="shared" si="159"/>
        <v>357343.20160000003</v>
      </c>
      <c r="T332" s="46">
        <f t="shared" si="160"/>
        <v>379245.33289999998</v>
      </c>
      <c r="U332" s="46">
        <f t="shared" si="154"/>
        <v>375452.879571</v>
      </c>
      <c r="V332" s="46">
        <f t="shared" si="155"/>
        <v>366398.04058550001</v>
      </c>
      <c r="W332" s="47">
        <f t="shared" si="161"/>
        <v>366398.04058550001</v>
      </c>
      <c r="X332" s="47"/>
      <c r="Y332" s="48">
        <f t="shared" si="143"/>
        <v>292379.25139500003</v>
      </c>
      <c r="Z332" s="48">
        <f t="shared" si="144"/>
        <v>323159.35089900001</v>
      </c>
      <c r="AA332" s="48">
        <f t="shared" si="156"/>
        <v>366398.04058549996</v>
      </c>
      <c r="AB332" s="48">
        <f t="shared" si="157"/>
        <v>396951.39430099999</v>
      </c>
      <c r="AC332" s="48">
        <f t="shared" si="158"/>
        <v>427937.82700899994</v>
      </c>
      <c r="AD332" s="1"/>
      <c r="AE332" s="1"/>
      <c r="AF332" s="1"/>
      <c r="AI332" s="9"/>
      <c r="AJ332" s="1"/>
      <c r="AK332" s="1"/>
      <c r="AL332" s="1"/>
      <c r="AM332" s="1"/>
      <c r="AN332" s="1"/>
      <c r="AO332" s="1"/>
      <c r="AP332" s="9"/>
      <c r="AQ332" s="3"/>
      <c r="AR332" s="4"/>
      <c r="AS332" s="1"/>
      <c r="AT332" s="1"/>
      <c r="AU332" s="1"/>
      <c r="AV332" s="1"/>
      <c r="AW332" s="1"/>
      <c r="AX332" s="3"/>
      <c r="AY332" s="3"/>
      <c r="AZ332" s="5"/>
      <c r="BA332" s="5"/>
      <c r="BB332" s="5"/>
      <c r="BC332" s="5"/>
      <c r="BD332" s="6"/>
      <c r="BE332" s="6"/>
      <c r="BF332" s="12"/>
      <c r="BG332" s="12"/>
      <c r="BH332" s="12"/>
      <c r="BI332" s="12"/>
      <c r="BJ332" s="12"/>
    </row>
    <row r="333" spans="2:62" x14ac:dyDescent="0.25">
      <c r="B333" s="1" t="s">
        <v>2307</v>
      </c>
      <c r="C333" s="1" t="s">
        <v>2322</v>
      </c>
      <c r="D333" s="1" t="s">
        <v>1190</v>
      </c>
      <c r="E333" s="1" t="s">
        <v>2323</v>
      </c>
      <c r="F333" s="1" t="s">
        <v>2324</v>
      </c>
      <c r="G333" s="1" t="s">
        <v>2325</v>
      </c>
      <c r="H333" s="1" t="s">
        <v>2326</v>
      </c>
      <c r="I333" s="7" t="s">
        <v>2298</v>
      </c>
      <c r="J333" s="44">
        <v>1</v>
      </c>
      <c r="K333" s="45">
        <v>1</v>
      </c>
      <c r="L333" s="1" t="s">
        <v>2327</v>
      </c>
      <c r="M333" s="1" t="s">
        <v>2314</v>
      </c>
      <c r="N333" s="1" t="s">
        <v>1140</v>
      </c>
      <c r="O333" s="1" t="s">
        <v>1189</v>
      </c>
      <c r="P333" s="1" t="s">
        <v>1190</v>
      </c>
      <c r="Q333" s="44">
        <f>IF(L333="595",Multipliers!C284,"oops")</f>
        <v>0.84</v>
      </c>
      <c r="R333" s="44">
        <f>IF(M333="Great Falls",Multipliers!C86, "GOOF")</f>
        <v>0.92</v>
      </c>
      <c r="S333" s="46">
        <f t="shared" ref="S333:S341" si="162">IF(N333="Standard",$O$5*Q333*$O$7,IF(N333="Severe",$O$4*Q333*$O$7,IF(N333="Hostile",$O$3*Q333*$O$7)))</f>
        <v>341100.32880000002</v>
      </c>
      <c r="T333" s="46">
        <f t="shared" ref="T333:T341" si="163">IF(N333="Standard",$P$5*R333*$O$7,IF(N333="Severe",$P$4*R333*$O$7,IF(N333="Hostile",$P$3*R333*$O$7)))</f>
        <v>359696.60440000001</v>
      </c>
      <c r="U333" s="46">
        <f t="shared" ref="U333:U348" si="164">IF(O333="E",$T$3*T333,IF(O333="C",$T$4*T333,IF(O333="W",$T$5*T333,1)))</f>
        <v>356099.63835600001</v>
      </c>
      <c r="V333" s="46">
        <f t="shared" ref="V333:V348" si="165">(S333+U333)/2</f>
        <v>348599.98357799998</v>
      </c>
      <c r="W333" s="47">
        <f t="shared" ref="W333:W341" si="166">IF(F333=F334,(V333+V334)/2,IF(F333=F332,(V333+V332)/2,IF(F333&lt;&gt;F332,V333)))</f>
        <v>348599.98357799998</v>
      </c>
      <c r="X333" s="47"/>
      <c r="Y333" s="48">
        <f t="shared" ref="Y333:Y348" si="167">IF(N333="Standard",(((($Z$3*Q333)+($AD$3*R333*$T$5))/2)*$O$7),IF(N333="Severe",(((($AA$3*Q333)+($AE$3*R333*$T$5))/2)*$O$7),IF(N333="Hostile",(((($AB$3*Q333)+($AF$3*R333*$T$5))/2)*$O$7))))</f>
        <v>278206.61022000003</v>
      </c>
      <c r="Z333" s="48">
        <f t="shared" ref="Z333:Z348" si="168">IF(N333="Standard",(((($Z$4*Q333)+($AD$4*R333*$T$5))/2)*$O$7),IF(N333="Severe",(((($AA$4*Q333)+($AE$4*R333*$T$5))/2)*$O$7),IF(N333="Hostile",(((($AB$4*Q333)+($AF$4*R333*$T$5))/2)*$O$7))))</f>
        <v>307480.39736399997</v>
      </c>
      <c r="AA333" s="48">
        <f t="shared" si="156"/>
        <v>348599.98357800004</v>
      </c>
      <c r="AB333" s="48">
        <f t="shared" si="157"/>
        <v>377657.58483599999</v>
      </c>
      <c r="AC333" s="48">
        <f t="shared" si="158"/>
        <v>407135.89232400001</v>
      </c>
      <c r="AD333" s="1"/>
      <c r="AE333" s="1"/>
      <c r="AF333" s="1"/>
      <c r="AI333" s="9"/>
      <c r="AJ333" s="1"/>
      <c r="AK333" s="1"/>
      <c r="AL333" s="1"/>
      <c r="AM333" s="1"/>
      <c r="AN333" s="1"/>
      <c r="AO333" s="1"/>
      <c r="AP333" s="9"/>
      <c r="AQ333" s="3"/>
      <c r="AR333" s="4"/>
      <c r="AS333" s="1"/>
      <c r="AT333" s="1"/>
      <c r="AU333" s="1"/>
      <c r="AV333" s="1"/>
      <c r="AW333" s="1"/>
      <c r="AX333" s="3"/>
      <c r="AY333" s="3"/>
      <c r="AZ333" s="5"/>
      <c r="BA333" s="5"/>
      <c r="BB333" s="5"/>
      <c r="BC333" s="5"/>
      <c r="BD333" s="6"/>
      <c r="BE333" s="6"/>
      <c r="BF333" s="12"/>
      <c r="BG333" s="12"/>
      <c r="BH333" s="12"/>
      <c r="BI333" s="12"/>
      <c r="BJ333" s="12"/>
    </row>
    <row r="334" spans="2:62" x14ac:dyDescent="0.25">
      <c r="B334" s="1" t="s">
        <v>2307</v>
      </c>
      <c r="C334" s="1" t="s">
        <v>2328</v>
      </c>
      <c r="D334" s="1" t="s">
        <v>1190</v>
      </c>
      <c r="E334" s="1" t="s">
        <v>2329</v>
      </c>
      <c r="F334" s="1" t="s">
        <v>2330</v>
      </c>
      <c r="G334" s="1" t="s">
        <v>2331</v>
      </c>
      <c r="H334" s="1" t="s">
        <v>2332</v>
      </c>
      <c r="I334" s="7" t="s">
        <v>2298</v>
      </c>
      <c r="J334" s="44">
        <v>1</v>
      </c>
      <c r="K334" s="45">
        <v>1</v>
      </c>
      <c r="L334" s="1" t="s">
        <v>2333</v>
      </c>
      <c r="M334" s="1" t="s">
        <v>2321</v>
      </c>
      <c r="N334" s="1" t="s">
        <v>1140</v>
      </c>
      <c r="O334" s="1" t="s">
        <v>1189</v>
      </c>
      <c r="P334" s="1" t="s">
        <v>1190</v>
      </c>
      <c r="Q334" s="44">
        <f>IF(L334="592",Multipliers!C282,"oops")</f>
        <v>0.87</v>
      </c>
      <c r="R334" s="44">
        <f>IF(M334="Billings",Multipliers!C85, "GOOF")</f>
        <v>0.97</v>
      </c>
      <c r="S334" s="46">
        <f t="shared" si="159"/>
        <v>353282.48340000008</v>
      </c>
      <c r="T334" s="46">
        <f t="shared" si="160"/>
        <v>379245.33289999998</v>
      </c>
      <c r="U334" s="46">
        <f t="shared" si="164"/>
        <v>375452.879571</v>
      </c>
      <c r="V334" s="46">
        <f t="shared" si="165"/>
        <v>364367.68148550007</v>
      </c>
      <c r="W334" s="47">
        <f t="shared" si="161"/>
        <v>364367.68148550007</v>
      </c>
      <c r="X334" s="47"/>
      <c r="Y334" s="48">
        <f t="shared" si="167"/>
        <v>290703.28864499996</v>
      </c>
      <c r="Z334" s="48">
        <f t="shared" si="168"/>
        <v>321333.61509899999</v>
      </c>
      <c r="AA334" s="48">
        <f t="shared" si="156"/>
        <v>364367.68148550007</v>
      </c>
      <c r="AB334" s="48">
        <f t="shared" si="157"/>
        <v>394773.36635099998</v>
      </c>
      <c r="AC334" s="48">
        <f t="shared" si="158"/>
        <v>425593.56795900001</v>
      </c>
      <c r="AD334" s="1"/>
      <c r="AE334" s="1"/>
      <c r="AF334" s="1"/>
      <c r="AI334" s="9"/>
      <c r="AJ334" s="1"/>
      <c r="AK334" s="1"/>
      <c r="AL334" s="1"/>
      <c r="AM334" s="1"/>
      <c r="AN334" s="1"/>
      <c r="AO334" s="1"/>
      <c r="AP334" s="9"/>
      <c r="AQ334" s="3"/>
      <c r="AR334" s="4"/>
      <c r="AS334" s="1"/>
      <c r="AT334" s="1"/>
      <c r="AU334" s="1"/>
      <c r="AV334" s="1"/>
      <c r="AW334" s="1"/>
      <c r="AX334" s="3"/>
      <c r="AY334" s="3"/>
      <c r="AZ334" s="5"/>
      <c r="BA334" s="5"/>
      <c r="BB334" s="5"/>
      <c r="BC334" s="5"/>
      <c r="BD334" s="6"/>
      <c r="BE334" s="6"/>
      <c r="BF334" s="12"/>
      <c r="BG334" s="12"/>
      <c r="BH334" s="12"/>
      <c r="BI334" s="12"/>
      <c r="BJ334" s="12"/>
    </row>
    <row r="335" spans="2:62" x14ac:dyDescent="0.25">
      <c r="B335" s="1" t="s">
        <v>2307</v>
      </c>
      <c r="C335" s="1" t="s">
        <v>2334</v>
      </c>
      <c r="D335" s="1" t="s">
        <v>1772</v>
      </c>
      <c r="E335" s="1" t="s">
        <v>2335</v>
      </c>
      <c r="F335" s="1" t="s">
        <v>2336</v>
      </c>
      <c r="G335" s="1" t="s">
        <v>2337</v>
      </c>
      <c r="H335" s="1" t="s">
        <v>2338</v>
      </c>
      <c r="I335" s="7" t="s">
        <v>2298</v>
      </c>
      <c r="J335" s="44">
        <v>1</v>
      </c>
      <c r="K335" s="45">
        <v>1</v>
      </c>
      <c r="L335" s="1" t="s">
        <v>2320</v>
      </c>
      <c r="M335" s="1" t="s">
        <v>2321</v>
      </c>
      <c r="N335" s="1" t="s">
        <v>1140</v>
      </c>
      <c r="O335" s="1" t="s">
        <v>1189</v>
      </c>
      <c r="P335" s="1" t="s">
        <v>1190</v>
      </c>
      <c r="Q335" s="44">
        <f>IF(L335="590",Multipliers!C281,"oops")</f>
        <v>0.88</v>
      </c>
      <c r="R335" s="44">
        <f>IF(M335="Billings",Multipliers!C85, "GOOF")</f>
        <v>0.97</v>
      </c>
      <c r="S335" s="46">
        <f t="shared" si="159"/>
        <v>357343.20160000003</v>
      </c>
      <c r="T335" s="46">
        <f t="shared" si="160"/>
        <v>379245.33289999998</v>
      </c>
      <c r="U335" s="46">
        <f t="shared" si="164"/>
        <v>375452.879571</v>
      </c>
      <c r="V335" s="46">
        <f t="shared" si="165"/>
        <v>366398.04058550001</v>
      </c>
      <c r="W335" s="47">
        <f t="shared" si="161"/>
        <v>366398.04058550001</v>
      </c>
      <c r="X335" s="47"/>
      <c r="Y335" s="48">
        <f t="shared" si="167"/>
        <v>292379.25139500003</v>
      </c>
      <c r="Z335" s="48">
        <f t="shared" si="168"/>
        <v>323159.35089900001</v>
      </c>
      <c r="AA335" s="48">
        <f t="shared" si="156"/>
        <v>366398.04058549996</v>
      </c>
      <c r="AB335" s="48">
        <f t="shared" si="157"/>
        <v>396951.39430099999</v>
      </c>
      <c r="AC335" s="48">
        <f t="shared" si="158"/>
        <v>427937.82700899994</v>
      </c>
      <c r="AD335" s="1"/>
      <c r="AE335" s="1"/>
      <c r="AF335" s="1"/>
      <c r="AI335" s="9"/>
      <c r="AJ335" s="1"/>
      <c r="AK335" s="1"/>
      <c r="AL335" s="1"/>
      <c r="AM335" s="1"/>
      <c r="AN335" s="1"/>
      <c r="AO335" s="1"/>
      <c r="AP335" s="9"/>
      <c r="AQ335" s="3"/>
      <c r="AR335" s="4"/>
      <c r="AS335" s="1"/>
      <c r="AT335" s="1"/>
      <c r="AU335" s="1"/>
      <c r="AV335" s="1"/>
      <c r="AW335" s="1"/>
      <c r="AX335" s="3"/>
      <c r="AY335" s="3"/>
      <c r="AZ335" s="5"/>
      <c r="BA335" s="5"/>
      <c r="BB335" s="5"/>
      <c r="BC335" s="5"/>
      <c r="BD335" s="6"/>
      <c r="BE335" s="6"/>
      <c r="BF335" s="12"/>
      <c r="BG335" s="12"/>
      <c r="BH335" s="12"/>
      <c r="BI335" s="12"/>
      <c r="BJ335" s="12"/>
    </row>
    <row r="336" spans="2:62" x14ac:dyDescent="0.25">
      <c r="B336" s="1" t="s">
        <v>2307</v>
      </c>
      <c r="C336" s="1" t="s">
        <v>2339</v>
      </c>
      <c r="D336" s="1" t="s">
        <v>1190</v>
      </c>
      <c r="E336" s="1" t="s">
        <v>2340</v>
      </c>
      <c r="F336" s="1" t="s">
        <v>2341</v>
      </c>
      <c r="G336" s="1" t="s">
        <v>2342</v>
      </c>
      <c r="H336" s="1" t="s">
        <v>2343</v>
      </c>
      <c r="I336" s="7" t="s">
        <v>2298</v>
      </c>
      <c r="J336" s="44">
        <v>1</v>
      </c>
      <c r="K336" s="45">
        <v>1</v>
      </c>
      <c r="L336" s="1" t="s">
        <v>2327</v>
      </c>
      <c r="M336" s="1" t="s">
        <v>2314</v>
      </c>
      <c r="N336" s="1" t="s">
        <v>1140</v>
      </c>
      <c r="O336" s="1" t="s">
        <v>1189</v>
      </c>
      <c r="P336" s="1" t="s">
        <v>1190</v>
      </c>
      <c r="Q336" s="44">
        <f>IF(L336="595",Multipliers!C284,"oops")</f>
        <v>0.84</v>
      </c>
      <c r="R336" s="44">
        <f>IF(M336="Great Falls",Multipliers!C86, "GOOF")</f>
        <v>0.92</v>
      </c>
      <c r="S336" s="46">
        <f t="shared" si="159"/>
        <v>341100.32880000002</v>
      </c>
      <c r="T336" s="46">
        <f t="shared" si="160"/>
        <v>359696.60440000001</v>
      </c>
      <c r="U336" s="46">
        <f t="shared" si="164"/>
        <v>356099.63835600001</v>
      </c>
      <c r="V336" s="46">
        <f t="shared" si="165"/>
        <v>348599.98357799998</v>
      </c>
      <c r="W336" s="47">
        <f t="shared" si="161"/>
        <v>348599.98357799998</v>
      </c>
      <c r="X336" s="47"/>
      <c r="Y336" s="48">
        <f t="shared" si="167"/>
        <v>278206.61022000003</v>
      </c>
      <c r="Z336" s="48">
        <f t="shared" si="168"/>
        <v>307480.39736399997</v>
      </c>
      <c r="AA336" s="48">
        <f t="shared" si="156"/>
        <v>348599.98357800004</v>
      </c>
      <c r="AB336" s="48">
        <f t="shared" si="157"/>
        <v>377657.58483599999</v>
      </c>
      <c r="AC336" s="48">
        <f t="shared" si="158"/>
        <v>407135.89232400001</v>
      </c>
      <c r="AD336" s="1"/>
      <c r="AE336" s="1"/>
      <c r="AF336" s="1"/>
      <c r="AI336" s="9"/>
      <c r="AJ336" s="1"/>
      <c r="AK336" s="1"/>
      <c r="AL336" s="1"/>
      <c r="AM336" s="1"/>
      <c r="AN336" s="1"/>
      <c r="AO336" s="1"/>
      <c r="AP336" s="9"/>
      <c r="AQ336" s="3"/>
      <c r="AR336" s="4"/>
      <c r="AS336" s="1"/>
      <c r="AT336" s="1"/>
      <c r="AU336" s="1"/>
      <c r="AV336" s="1"/>
      <c r="AW336" s="1"/>
      <c r="AX336" s="3"/>
      <c r="AY336" s="3"/>
      <c r="AZ336" s="5"/>
      <c r="BA336" s="5"/>
      <c r="BB336" s="5"/>
      <c r="BC336" s="5"/>
      <c r="BD336" s="6"/>
      <c r="BE336" s="6"/>
      <c r="BF336" s="12"/>
      <c r="BG336" s="12"/>
      <c r="BH336" s="12"/>
      <c r="BI336" s="12"/>
      <c r="BJ336" s="12"/>
    </row>
    <row r="337" spans="2:62" x14ac:dyDescent="0.25">
      <c r="B337" s="1" t="s">
        <v>2307</v>
      </c>
      <c r="C337" s="1" t="s">
        <v>2344</v>
      </c>
      <c r="D337" s="1" t="s">
        <v>1190</v>
      </c>
      <c r="E337" s="1" t="s">
        <v>2345</v>
      </c>
      <c r="F337" s="1" t="s">
        <v>2346</v>
      </c>
      <c r="G337" s="1" t="s">
        <v>2347</v>
      </c>
      <c r="H337" s="1" t="s">
        <v>2348</v>
      </c>
      <c r="I337" s="7" t="s">
        <v>2298</v>
      </c>
      <c r="J337" s="44">
        <v>1</v>
      </c>
      <c r="K337" s="45">
        <v>1</v>
      </c>
      <c r="L337" s="1" t="s">
        <v>2349</v>
      </c>
      <c r="M337" s="1" t="s">
        <v>2314</v>
      </c>
      <c r="N337" s="1" t="s">
        <v>1140</v>
      </c>
      <c r="O337" s="1" t="s">
        <v>1189</v>
      </c>
      <c r="P337" s="1" t="s">
        <v>1190</v>
      </c>
      <c r="Q337" s="44">
        <f>IF(L337="598",Multipliers!C285,"oops")</f>
        <v>0.85</v>
      </c>
      <c r="R337" s="44">
        <f>IF(M337="Great Falls",Multipliers!C86, "GOOF")</f>
        <v>0.92</v>
      </c>
      <c r="S337" s="46">
        <f t="shared" si="159"/>
        <v>345161.04700000002</v>
      </c>
      <c r="T337" s="46">
        <f t="shared" si="160"/>
        <v>359696.60440000001</v>
      </c>
      <c r="U337" s="46">
        <f t="shared" si="164"/>
        <v>356099.63835600001</v>
      </c>
      <c r="V337" s="46">
        <f t="shared" si="165"/>
        <v>350630.34267799999</v>
      </c>
      <c r="W337" s="47">
        <f t="shared" si="161"/>
        <v>350630.34267799999</v>
      </c>
      <c r="X337" s="47"/>
      <c r="Y337" s="48">
        <f t="shared" si="167"/>
        <v>279882.57296999998</v>
      </c>
      <c r="Z337" s="48">
        <f t="shared" si="168"/>
        <v>309306.133164</v>
      </c>
      <c r="AA337" s="48">
        <f t="shared" ref="AA337:AA353" si="169">IF(N337="Standard",((($Z$5*Q337)+($AD$5*R337*$T$4))/2)*$O$7,IF(N337="Severe",((($AA$5*Q337)+($AE$5*R337*$T$4))/2)*$O$7,IF(N337="Hostile",((($AB$5*Q337)+($AF$5*R337*$T$4))/2)*$O$7)))</f>
        <v>347033.37663399999</v>
      </c>
      <c r="AB337" s="48">
        <f t="shared" ref="AB337:AB353" si="170">IF(N337="Standard",((($Z$6*Q337)+($AD$6*R337*$T$4))/2)*$O$7,IF(N337="Severe",((($AA$6*Q337)+($AE$6*R337*$T$4))/2)*$O$7,IF(N337="Hostile",((($AB$6*Q337)+($AF$6*R337*$T$4))/2)*$O$7)))</f>
        <v>375902.21405800001</v>
      </c>
      <c r="AC337" s="48">
        <f t="shared" ref="AC337:AC353" si="171">IF(N337="Standard",((($Z$7*Q337)+($AD$7*R337*$T$4))/2)*$O$7,IF(N337="Severe",((($AA$7*Q337)+($AE$7*R337*$T$4))/2)*$O$7,IF(N337="Hostile",((($AB$7*Q337)+($AF$7*R337*$T$4))/2)*$O$7)))</f>
        <v>405233.32042200002</v>
      </c>
      <c r="AD337" s="1"/>
      <c r="AE337" s="1"/>
      <c r="AF337" s="1"/>
      <c r="AI337" s="9"/>
      <c r="AJ337" s="1"/>
      <c r="AK337" s="1"/>
      <c r="AL337" s="1"/>
      <c r="AM337" s="1"/>
      <c r="AN337" s="1"/>
      <c r="AO337" s="1"/>
      <c r="AP337" s="9"/>
      <c r="AQ337" s="3"/>
      <c r="AR337" s="4"/>
      <c r="AS337" s="1"/>
      <c r="AT337" s="1"/>
      <c r="AU337" s="1"/>
      <c r="AV337" s="1"/>
      <c r="AW337" s="1"/>
      <c r="AX337" s="3"/>
      <c r="AY337" s="3"/>
      <c r="AZ337" s="5"/>
      <c r="BA337" s="5"/>
      <c r="BB337" s="5"/>
      <c r="BC337" s="5"/>
      <c r="BD337" s="6"/>
      <c r="BE337" s="6"/>
      <c r="BF337" s="12"/>
      <c r="BG337" s="12"/>
      <c r="BH337" s="12"/>
      <c r="BI337" s="12"/>
      <c r="BJ337" s="12"/>
    </row>
    <row r="338" spans="2:62" x14ac:dyDescent="0.25">
      <c r="B338" s="1" t="s">
        <v>2350</v>
      </c>
      <c r="C338" s="1" t="s">
        <v>2351</v>
      </c>
      <c r="D338" s="1" t="s">
        <v>1190</v>
      </c>
      <c r="E338" s="1" t="s">
        <v>2352</v>
      </c>
      <c r="F338" s="1" t="s">
        <v>2353</v>
      </c>
      <c r="G338" s="1" t="s">
        <v>2354</v>
      </c>
      <c r="H338" s="1" t="s">
        <v>2355</v>
      </c>
      <c r="I338" s="7" t="s">
        <v>2298</v>
      </c>
      <c r="J338" s="44">
        <v>1</v>
      </c>
      <c r="K338" s="45">
        <v>1</v>
      </c>
      <c r="L338" s="1" t="s">
        <v>2356</v>
      </c>
      <c r="M338" s="1" t="s">
        <v>2357</v>
      </c>
      <c r="N338" s="1" t="s">
        <v>1140</v>
      </c>
      <c r="O338" s="1" t="s">
        <v>1959</v>
      </c>
      <c r="P338" s="1" t="s">
        <v>1190</v>
      </c>
      <c r="Q338" s="44">
        <f>IF(L338="583",Multipliers!C326,"oops")</f>
        <v>0.89</v>
      </c>
      <c r="R338" s="44">
        <f>IF(M338="Grand Forks",Multipliers!C113, "GOOF")</f>
        <v>0.99</v>
      </c>
      <c r="S338" s="46">
        <f t="shared" si="162"/>
        <v>361403.91980000003</v>
      </c>
      <c r="T338" s="46">
        <f t="shared" si="163"/>
        <v>387064.82429999998</v>
      </c>
      <c r="U338" s="46">
        <f t="shared" si="164"/>
        <v>375452.879571</v>
      </c>
      <c r="V338" s="46">
        <f t="shared" si="165"/>
        <v>368428.39968550002</v>
      </c>
      <c r="W338" s="47">
        <f t="shared" si="161"/>
        <v>368428.39968550002</v>
      </c>
      <c r="X338" s="47"/>
      <c r="Y338" s="48">
        <f t="shared" si="167"/>
        <v>297042.73021499999</v>
      </c>
      <c r="Z338" s="48">
        <f t="shared" si="168"/>
        <v>328335.49083299999</v>
      </c>
      <c r="AA338" s="48">
        <f t="shared" si="169"/>
        <v>368428.39968550002</v>
      </c>
      <c r="AB338" s="48">
        <f t="shared" si="170"/>
        <v>399129.42225100001</v>
      </c>
      <c r="AC338" s="48">
        <f t="shared" si="171"/>
        <v>430282.08605899999</v>
      </c>
      <c r="AD338" s="1"/>
      <c r="AE338" s="1"/>
      <c r="AF338" s="1"/>
      <c r="AI338" s="9"/>
      <c r="AJ338" s="1"/>
      <c r="AK338" s="1"/>
      <c r="AL338" s="1"/>
      <c r="AM338" s="1"/>
      <c r="AN338" s="1"/>
      <c r="AO338" s="1"/>
      <c r="AP338" s="9"/>
      <c r="AQ338" s="3"/>
      <c r="AR338" s="4"/>
      <c r="AS338" s="1"/>
      <c r="AT338" s="1"/>
      <c r="AU338" s="1"/>
      <c r="AV338" s="1"/>
      <c r="AW338" s="1"/>
      <c r="AX338" s="3"/>
      <c r="AY338" s="3"/>
      <c r="AZ338" s="5"/>
      <c r="BA338" s="5"/>
      <c r="BB338" s="5"/>
      <c r="BC338" s="5"/>
      <c r="BD338" s="6"/>
      <c r="BE338" s="6"/>
      <c r="BF338" s="12"/>
      <c r="BG338" s="12"/>
      <c r="BH338" s="12"/>
      <c r="BI338" s="12"/>
      <c r="BJ338" s="12"/>
    </row>
    <row r="339" spans="2:62" x14ac:dyDescent="0.25">
      <c r="B339" s="1" t="s">
        <v>2350</v>
      </c>
      <c r="C339" s="1" t="s">
        <v>2358</v>
      </c>
      <c r="D339" s="1" t="s">
        <v>1190</v>
      </c>
      <c r="E339" s="1" t="s">
        <v>2359</v>
      </c>
      <c r="F339" s="1" t="s">
        <v>2360</v>
      </c>
      <c r="G339" s="1" t="s">
        <v>2361</v>
      </c>
      <c r="H339" s="1" t="s">
        <v>2362</v>
      </c>
      <c r="I339" s="7" t="s">
        <v>2298</v>
      </c>
      <c r="J339" s="44">
        <v>1</v>
      </c>
      <c r="K339" s="45">
        <v>1</v>
      </c>
      <c r="L339" s="1" t="s">
        <v>2363</v>
      </c>
      <c r="M339" s="1" t="s">
        <v>2364</v>
      </c>
      <c r="N339" s="1" t="s">
        <v>1140</v>
      </c>
      <c r="O339" s="1" t="s">
        <v>1959</v>
      </c>
      <c r="P339" s="1" t="s">
        <v>1190</v>
      </c>
      <c r="Q339" s="44">
        <f>IF(L339="587",Multipliers!C328,"oops")</f>
        <v>0.87</v>
      </c>
      <c r="R339" s="44">
        <f>IF(M339="Minot",Multipliers!C114, "GOOF")</f>
        <v>1</v>
      </c>
      <c r="S339" s="46">
        <f t="shared" si="162"/>
        <v>353282.48340000008</v>
      </c>
      <c r="T339" s="46">
        <f t="shared" si="163"/>
        <v>390974.57</v>
      </c>
      <c r="U339" s="46">
        <f t="shared" si="164"/>
        <v>379245.33289999998</v>
      </c>
      <c r="V339" s="46">
        <f t="shared" si="165"/>
        <v>366263.90815000003</v>
      </c>
      <c r="W339" s="47">
        <f t="shared" si="166"/>
        <v>366263.90815000003</v>
      </c>
      <c r="X339" s="47"/>
      <c r="Y339" s="48">
        <f t="shared" si="167"/>
        <v>295184.56274999998</v>
      </c>
      <c r="Z339" s="48">
        <f t="shared" si="168"/>
        <v>326359.22129999998</v>
      </c>
      <c r="AA339" s="48">
        <f t="shared" si="169"/>
        <v>366263.90815000003</v>
      </c>
      <c r="AB339" s="48">
        <f t="shared" si="170"/>
        <v>396846.95155</v>
      </c>
      <c r="AC339" s="48">
        <f t="shared" si="171"/>
        <v>427832.38644999999</v>
      </c>
      <c r="AD339" s="1"/>
      <c r="AE339" s="1"/>
      <c r="AF339" s="1"/>
      <c r="AI339" s="9"/>
      <c r="AJ339" s="1"/>
      <c r="AK339" s="1"/>
      <c r="AL339" s="1"/>
      <c r="AM339" s="1"/>
      <c r="AN339" s="1"/>
      <c r="AO339" s="1"/>
      <c r="AP339" s="9"/>
      <c r="AQ339" s="3"/>
      <c r="AR339" s="4"/>
      <c r="AS339" s="7"/>
      <c r="AT339" s="1"/>
      <c r="AU339" s="1"/>
      <c r="AV339" s="1"/>
      <c r="AW339" s="1"/>
      <c r="AX339" s="3"/>
      <c r="AY339" s="3"/>
      <c r="AZ339" s="5"/>
      <c r="BA339" s="5"/>
      <c r="BB339" s="5"/>
      <c r="BC339" s="5"/>
      <c r="BD339" s="6"/>
      <c r="BE339" s="6"/>
      <c r="BF339" s="12"/>
      <c r="BG339" s="12"/>
      <c r="BH339" s="12"/>
      <c r="BI339" s="12"/>
      <c r="BJ339" s="12"/>
    </row>
    <row r="340" spans="2:62" x14ac:dyDescent="0.25">
      <c r="B340" s="1" t="s">
        <v>2350</v>
      </c>
      <c r="C340" s="1" t="s">
        <v>2365</v>
      </c>
      <c r="D340" s="1" t="s">
        <v>1190</v>
      </c>
      <c r="E340" s="1" t="s">
        <v>2366</v>
      </c>
      <c r="F340" s="1" t="s">
        <v>2367</v>
      </c>
      <c r="G340" s="1" t="s">
        <v>2368</v>
      </c>
      <c r="H340" s="1" t="s">
        <v>2369</v>
      </c>
      <c r="I340" s="7" t="s">
        <v>2298</v>
      </c>
      <c r="J340" s="44">
        <v>1</v>
      </c>
      <c r="K340" s="45">
        <v>1</v>
      </c>
      <c r="L340" s="1" t="s">
        <v>2370</v>
      </c>
      <c r="M340" s="1" t="s">
        <v>2371</v>
      </c>
      <c r="N340" s="1" t="s">
        <v>1140</v>
      </c>
      <c r="O340" s="1" t="s">
        <v>1959</v>
      </c>
      <c r="P340" s="1" t="s">
        <v>1190</v>
      </c>
      <c r="Q340" s="44">
        <f>IF(L340="585",Multipliers!C327,"oops")</f>
        <v>0.89</v>
      </c>
      <c r="R340" s="44">
        <f>IF(M340="Bismarck",Multipliers!C112, "GOOF")</f>
        <v>1</v>
      </c>
      <c r="S340" s="46">
        <f t="shared" si="162"/>
        <v>361403.91980000003</v>
      </c>
      <c r="T340" s="46">
        <f t="shared" si="163"/>
        <v>390974.57</v>
      </c>
      <c r="U340" s="46">
        <f t="shared" si="164"/>
        <v>379245.33289999998</v>
      </c>
      <c r="V340" s="46">
        <f t="shared" si="165"/>
        <v>370324.62635000004</v>
      </c>
      <c r="W340" s="47">
        <f t="shared" si="166"/>
        <v>370324.62635000004</v>
      </c>
      <c r="X340" s="47"/>
      <c r="Y340" s="48">
        <f t="shared" si="167"/>
        <v>298536.48824999999</v>
      </c>
      <c r="Z340" s="48">
        <f t="shared" si="168"/>
        <v>330010.69289999997</v>
      </c>
      <c r="AA340" s="48">
        <f t="shared" si="169"/>
        <v>370324.62634999998</v>
      </c>
      <c r="AB340" s="48">
        <f t="shared" si="170"/>
        <v>401203.00744999998</v>
      </c>
      <c r="AC340" s="48">
        <f t="shared" si="171"/>
        <v>432520.90454999998</v>
      </c>
      <c r="AD340" s="1"/>
      <c r="AE340" s="1"/>
      <c r="AF340" s="1"/>
      <c r="AI340" s="9"/>
      <c r="AJ340" s="1"/>
      <c r="AK340" s="1"/>
      <c r="AL340" s="1"/>
      <c r="AM340" s="1"/>
      <c r="AN340" s="1"/>
      <c r="AO340" s="1"/>
      <c r="AP340" s="9"/>
      <c r="AQ340" s="3"/>
      <c r="AR340" s="4"/>
      <c r="AS340" s="1"/>
      <c r="AT340" s="1"/>
      <c r="AU340" s="1"/>
      <c r="AV340" s="1"/>
      <c r="AW340" s="1"/>
      <c r="AX340" s="3"/>
      <c r="AY340" s="3"/>
      <c r="AZ340" s="5"/>
      <c r="BA340" s="5"/>
      <c r="BB340" s="5"/>
      <c r="BC340" s="5"/>
      <c r="BD340" s="6"/>
      <c r="BE340" s="6"/>
      <c r="BF340" s="12"/>
      <c r="BG340" s="12"/>
      <c r="BH340" s="12"/>
      <c r="BI340" s="12"/>
      <c r="BJ340" s="12"/>
    </row>
    <row r="341" spans="2:62" x14ac:dyDescent="0.25">
      <c r="B341" s="1" t="s">
        <v>2350</v>
      </c>
      <c r="C341" s="1" t="s">
        <v>2372</v>
      </c>
      <c r="D341" s="1" t="s">
        <v>1766</v>
      </c>
      <c r="E341" s="1" t="s">
        <v>2373</v>
      </c>
      <c r="F341" s="1" t="s">
        <v>2374</v>
      </c>
      <c r="G341" s="1" t="s">
        <v>2375</v>
      </c>
      <c r="H341" s="1" t="s">
        <v>2376</v>
      </c>
      <c r="I341" s="7" t="s">
        <v>2298</v>
      </c>
      <c r="J341" s="44">
        <v>1</v>
      </c>
      <c r="K341" s="45">
        <v>1</v>
      </c>
      <c r="L341" s="7" t="s">
        <v>2377</v>
      </c>
      <c r="M341" s="1" t="s">
        <v>2378</v>
      </c>
      <c r="N341" s="1" t="s">
        <v>1140</v>
      </c>
      <c r="O341" s="1" t="s">
        <v>1959</v>
      </c>
      <c r="P341" s="1" t="s">
        <v>1190</v>
      </c>
      <c r="Q341" s="44">
        <f>IF(L341="588",Multipliers!C329,"oops")</f>
        <v>0.88</v>
      </c>
      <c r="R341" s="44">
        <f>IF(M341="Williston",Multipliers!C115, "GOOF")</f>
        <v>1</v>
      </c>
      <c r="S341" s="46">
        <f t="shared" si="162"/>
        <v>357343.20160000003</v>
      </c>
      <c r="T341" s="46">
        <f t="shared" si="163"/>
        <v>390974.57</v>
      </c>
      <c r="U341" s="46">
        <f t="shared" si="164"/>
        <v>379245.33289999998</v>
      </c>
      <c r="V341" s="46">
        <f t="shared" si="165"/>
        <v>368294.26725000003</v>
      </c>
      <c r="W341" s="47">
        <f t="shared" si="166"/>
        <v>368294.26725000003</v>
      </c>
      <c r="X341" s="47"/>
      <c r="Y341" s="48">
        <f t="shared" si="167"/>
        <v>296860.52549999999</v>
      </c>
      <c r="Z341" s="48">
        <f t="shared" si="168"/>
        <v>328184.9571</v>
      </c>
      <c r="AA341" s="48">
        <f t="shared" si="169"/>
        <v>368294.26725000003</v>
      </c>
      <c r="AB341" s="48">
        <f t="shared" si="170"/>
        <v>399024.97950000002</v>
      </c>
      <c r="AC341" s="48">
        <f t="shared" si="171"/>
        <v>430176.64549999998</v>
      </c>
      <c r="AD341" s="1"/>
      <c r="AE341" s="1"/>
      <c r="AF341" s="1"/>
      <c r="AI341" s="9"/>
      <c r="AJ341" s="1"/>
      <c r="AK341" s="1"/>
      <c r="AL341" s="1"/>
      <c r="AM341" s="7"/>
      <c r="AN341" s="1"/>
      <c r="AO341" s="1"/>
      <c r="AP341" s="9"/>
      <c r="AQ341" s="3"/>
      <c r="AR341" s="4"/>
      <c r="AS341" s="1"/>
      <c r="AT341" s="7"/>
      <c r="AU341" s="1"/>
      <c r="AV341" s="1"/>
      <c r="AW341" s="1"/>
      <c r="AX341" s="3"/>
      <c r="AY341" s="3"/>
      <c r="AZ341" s="5"/>
      <c r="BA341" s="5"/>
      <c r="BB341" s="5"/>
      <c r="BC341" s="5"/>
      <c r="BD341" s="6"/>
      <c r="BE341" s="6"/>
      <c r="BF341" s="12"/>
      <c r="BG341" s="12"/>
      <c r="BH341" s="12"/>
      <c r="BI341" s="12"/>
      <c r="BJ341" s="12"/>
    </row>
    <row r="342" spans="2:62" x14ac:dyDescent="0.25">
      <c r="B342" s="1" t="s">
        <v>2350</v>
      </c>
      <c r="C342" s="1" t="s">
        <v>2372</v>
      </c>
      <c r="D342" s="1" t="s">
        <v>1772</v>
      </c>
      <c r="E342" s="1" t="s">
        <v>2379</v>
      </c>
      <c r="F342" s="1" t="s">
        <v>2380</v>
      </c>
      <c r="G342" s="1" t="s">
        <v>2381</v>
      </c>
      <c r="H342" s="1" t="s">
        <v>2382</v>
      </c>
      <c r="I342" s="7" t="s">
        <v>2298</v>
      </c>
      <c r="J342" s="44">
        <v>1</v>
      </c>
      <c r="K342" s="45">
        <v>1</v>
      </c>
      <c r="L342" s="1" t="s">
        <v>2356</v>
      </c>
      <c r="M342" s="1" t="s">
        <v>2364</v>
      </c>
      <c r="N342" s="1" t="s">
        <v>1140</v>
      </c>
      <c r="O342" s="1" t="s">
        <v>1959</v>
      </c>
      <c r="P342" s="1" t="s">
        <v>1190</v>
      </c>
      <c r="Q342" s="44">
        <f>IF(L342="583",Multipliers!C326,"oops")</f>
        <v>0.89</v>
      </c>
      <c r="R342" s="44">
        <f>IF(M342="Minot",Multipliers!C114, "GOOF")</f>
        <v>1</v>
      </c>
      <c r="S342" s="46">
        <f t="shared" ref="S342:S355" si="172">IF(N342="Standard",$O$5*Q342*$O$7,IF(N342="Severe",$O$4*Q342*$O$7,IF(N342="Hostile",$O$3*Q342*$O$7)))</f>
        <v>361403.91980000003</v>
      </c>
      <c r="T342" s="46">
        <f t="shared" ref="T342:T355" si="173">IF(N342="Standard",$P$5*R342*$O$7,IF(N342="Severe",$P$4*R342*$O$7,IF(N342="Hostile",$P$3*R342*$O$7)))</f>
        <v>390974.57</v>
      </c>
      <c r="U342" s="46">
        <f t="shared" si="164"/>
        <v>379245.33289999998</v>
      </c>
      <c r="V342" s="46">
        <f t="shared" si="165"/>
        <v>370324.62635000004</v>
      </c>
      <c r="W342" s="47">
        <f t="shared" ref="W342:W372" si="174">IF(F342=F343,(V342+V343)/2,IF(F342=F341,(V342+V341)/2,IF(F342&lt;&gt;F341,V342)))</f>
        <v>370324.62635000004</v>
      </c>
      <c r="X342" s="47"/>
      <c r="Y342" s="48">
        <f t="shared" si="167"/>
        <v>298536.48824999999</v>
      </c>
      <c r="Z342" s="48">
        <f t="shared" si="168"/>
        <v>330010.69289999997</v>
      </c>
      <c r="AA342" s="48">
        <f t="shared" si="169"/>
        <v>370324.62634999998</v>
      </c>
      <c r="AB342" s="48">
        <f t="shared" si="170"/>
        <v>401203.00744999998</v>
      </c>
      <c r="AC342" s="48">
        <f t="shared" si="171"/>
        <v>432520.90454999998</v>
      </c>
      <c r="AD342" s="1"/>
      <c r="AE342" s="1"/>
      <c r="AF342" s="1"/>
      <c r="AI342" s="9"/>
      <c r="AJ342" s="1"/>
      <c r="AK342" s="1"/>
      <c r="AL342" s="1"/>
      <c r="AM342" s="1"/>
      <c r="AN342" s="1"/>
      <c r="AO342" s="1"/>
      <c r="AP342" s="9"/>
      <c r="AQ342" s="3"/>
      <c r="AR342" s="4"/>
      <c r="AS342" s="1"/>
      <c r="AT342" s="7"/>
      <c r="AU342" s="1"/>
      <c r="AV342" s="1"/>
      <c r="AW342" s="1"/>
      <c r="AX342" s="3"/>
      <c r="AY342" s="3"/>
      <c r="AZ342" s="5"/>
      <c r="BA342" s="5"/>
      <c r="BB342" s="5"/>
      <c r="BC342" s="5"/>
      <c r="BD342" s="6"/>
      <c r="BE342" s="6"/>
      <c r="BF342" s="12"/>
      <c r="BG342" s="12"/>
      <c r="BH342" s="12"/>
      <c r="BI342" s="12"/>
      <c r="BJ342" s="12"/>
    </row>
    <row r="343" spans="2:62" x14ac:dyDescent="0.25">
      <c r="B343" s="1" t="s">
        <v>2383</v>
      </c>
      <c r="C343" s="1" t="s">
        <v>2384</v>
      </c>
      <c r="D343" s="1" t="s">
        <v>1190</v>
      </c>
      <c r="E343" s="1" t="s">
        <v>2385</v>
      </c>
      <c r="F343" s="7" t="s">
        <v>2386</v>
      </c>
      <c r="G343" s="1" t="s">
        <v>2387</v>
      </c>
      <c r="H343" s="1" t="s">
        <v>2388</v>
      </c>
      <c r="I343" s="7" t="s">
        <v>2298</v>
      </c>
      <c r="J343" s="44">
        <v>1</v>
      </c>
      <c r="K343" s="45">
        <v>1</v>
      </c>
      <c r="L343" s="1" t="s">
        <v>2389</v>
      </c>
      <c r="M343" s="7" t="s">
        <v>2390</v>
      </c>
      <c r="N343" s="1" t="s">
        <v>1140</v>
      </c>
      <c r="O343" s="1" t="s">
        <v>1959</v>
      </c>
      <c r="P343" s="1" t="s">
        <v>1190</v>
      </c>
      <c r="Q343" s="44">
        <f>IF(L343="681",Multipliers!C289,"oops")</f>
        <v>0.9</v>
      </c>
      <c r="R343" s="44">
        <f>IF(M343="Sioux City, IA",Multipliers!C50, "GOOF")</f>
        <v>0.92</v>
      </c>
      <c r="S343" s="46">
        <f t="shared" si="172"/>
        <v>365464.63800000009</v>
      </c>
      <c r="T343" s="46">
        <f t="shared" si="173"/>
        <v>359696.60440000001</v>
      </c>
      <c r="U343" s="46">
        <f t="shared" si="164"/>
        <v>348905.70626800001</v>
      </c>
      <c r="V343" s="46">
        <f t="shared" si="165"/>
        <v>357185.17213400005</v>
      </c>
      <c r="W343" s="47">
        <f t="shared" si="174"/>
        <v>357185.17213400005</v>
      </c>
      <c r="X343" s="47"/>
      <c r="Y343" s="48">
        <f t="shared" si="167"/>
        <v>288262.38672000001</v>
      </c>
      <c r="Z343" s="48">
        <f t="shared" si="168"/>
        <v>318434.812164</v>
      </c>
      <c r="AA343" s="48">
        <f t="shared" si="169"/>
        <v>357185.17213400005</v>
      </c>
      <c r="AB343" s="48">
        <f t="shared" si="170"/>
        <v>386792.35380800004</v>
      </c>
      <c r="AC343" s="48">
        <f t="shared" si="171"/>
        <v>416954.61567200004</v>
      </c>
      <c r="AD343" s="1"/>
      <c r="AE343" s="1"/>
      <c r="AF343" s="1"/>
      <c r="AI343" s="9"/>
      <c r="AJ343" s="1"/>
      <c r="AK343" s="1"/>
      <c r="AL343" s="1"/>
      <c r="AM343" s="1"/>
      <c r="AN343" s="1"/>
      <c r="AO343" s="1"/>
      <c r="AP343" s="9"/>
      <c r="AQ343" s="3"/>
      <c r="AR343" s="4"/>
      <c r="AS343" s="1"/>
      <c r="AT343" s="7"/>
      <c r="AU343" s="1"/>
      <c r="AV343" s="1"/>
      <c r="AW343" s="1"/>
      <c r="AX343" s="3"/>
      <c r="AY343" s="3"/>
      <c r="AZ343" s="5"/>
      <c r="BA343" s="5"/>
      <c r="BB343" s="5"/>
      <c r="BC343" s="5"/>
      <c r="BD343" s="6"/>
      <c r="BE343" s="6"/>
      <c r="BF343" s="12"/>
      <c r="BG343" s="12"/>
      <c r="BH343" s="12"/>
      <c r="BI343" s="12"/>
      <c r="BJ343" s="12"/>
    </row>
    <row r="344" spans="2:62" x14ac:dyDescent="0.25">
      <c r="B344" s="1" t="s">
        <v>2383</v>
      </c>
      <c r="C344" s="1" t="s">
        <v>2391</v>
      </c>
      <c r="D344" s="1" t="s">
        <v>1190</v>
      </c>
      <c r="E344" s="1" t="s">
        <v>2392</v>
      </c>
      <c r="F344" s="1" t="s">
        <v>2393</v>
      </c>
      <c r="G344" s="1" t="s">
        <v>2394</v>
      </c>
      <c r="H344" s="1" t="s">
        <v>2395</v>
      </c>
      <c r="I344" s="7" t="s">
        <v>2298</v>
      </c>
      <c r="J344" s="44">
        <v>1</v>
      </c>
      <c r="K344" s="45">
        <v>1</v>
      </c>
      <c r="L344" s="1" t="s">
        <v>2396</v>
      </c>
      <c r="M344" s="7" t="s">
        <v>2390</v>
      </c>
      <c r="N344" s="1" t="s">
        <v>1140</v>
      </c>
      <c r="O344" s="1" t="s">
        <v>1959</v>
      </c>
      <c r="P344" s="1" t="s">
        <v>1190</v>
      </c>
      <c r="Q344" s="44">
        <f>IF(L344="680",Multipliers!C288,"oops")</f>
        <v>0.9</v>
      </c>
      <c r="R344" s="44">
        <f>IF(M344="Sioux City, IA",Multipliers!C50, "GOOF")</f>
        <v>0.92</v>
      </c>
      <c r="S344" s="46">
        <f t="shared" si="172"/>
        <v>365464.63800000009</v>
      </c>
      <c r="T344" s="46">
        <f t="shared" si="173"/>
        <v>359696.60440000001</v>
      </c>
      <c r="U344" s="46">
        <f t="shared" si="164"/>
        <v>348905.70626800001</v>
      </c>
      <c r="V344" s="46">
        <f t="shared" si="165"/>
        <v>357185.17213400005</v>
      </c>
      <c r="W344" s="47">
        <f t="shared" si="174"/>
        <v>357185.17213400005</v>
      </c>
      <c r="X344" s="47"/>
      <c r="Y344" s="48">
        <f t="shared" si="167"/>
        <v>288262.38672000001</v>
      </c>
      <c r="Z344" s="48">
        <f t="shared" si="168"/>
        <v>318434.812164</v>
      </c>
      <c r="AA344" s="48">
        <f t="shared" si="169"/>
        <v>357185.17213400005</v>
      </c>
      <c r="AB344" s="48">
        <f t="shared" si="170"/>
        <v>386792.35380800004</v>
      </c>
      <c r="AC344" s="48">
        <f t="shared" si="171"/>
        <v>416954.61567200004</v>
      </c>
      <c r="AD344" s="1"/>
      <c r="AE344" s="1"/>
      <c r="AF344" s="1"/>
      <c r="AI344" s="9"/>
      <c r="AJ344" s="1"/>
      <c r="AK344" s="1"/>
      <c r="AL344" s="1"/>
      <c r="AM344" s="1"/>
      <c r="AN344" s="1"/>
      <c r="AO344" s="1"/>
      <c r="AP344" s="9"/>
      <c r="AQ344" s="3"/>
      <c r="AR344" s="4"/>
      <c r="AS344" s="1"/>
      <c r="AT344" s="7"/>
      <c r="AU344" s="1"/>
      <c r="AV344" s="1"/>
      <c r="AW344" s="1"/>
      <c r="AX344" s="3"/>
      <c r="AY344" s="3"/>
      <c r="AZ344" s="5"/>
      <c r="BA344" s="5"/>
      <c r="BB344" s="5"/>
      <c r="BC344" s="5"/>
      <c r="BD344" s="6"/>
      <c r="BE344" s="6"/>
      <c r="BF344" s="12"/>
      <c r="BG344" s="12"/>
      <c r="BH344" s="12"/>
      <c r="BI344" s="12"/>
      <c r="BJ344" s="12"/>
    </row>
    <row r="345" spans="2:62" x14ac:dyDescent="0.25">
      <c r="B345" s="1" t="s">
        <v>2383</v>
      </c>
      <c r="C345" s="1" t="s">
        <v>2397</v>
      </c>
      <c r="D345" s="1" t="s">
        <v>1190</v>
      </c>
      <c r="E345" s="1" t="s">
        <v>2398</v>
      </c>
      <c r="F345" s="1" t="s">
        <v>2399</v>
      </c>
      <c r="G345" s="1" t="s">
        <v>2400</v>
      </c>
      <c r="H345" s="1" t="s">
        <v>2401</v>
      </c>
      <c r="I345" s="7" t="s">
        <v>2298</v>
      </c>
      <c r="J345" s="44">
        <v>1</v>
      </c>
      <c r="K345" s="45">
        <v>1</v>
      </c>
      <c r="L345" s="1" t="s">
        <v>2402</v>
      </c>
      <c r="M345" s="7" t="s">
        <v>2403</v>
      </c>
      <c r="N345" s="1" t="s">
        <v>1140</v>
      </c>
      <c r="O345" s="1" t="s">
        <v>1959</v>
      </c>
      <c r="P345" s="1" t="s">
        <v>1190</v>
      </c>
      <c r="Q345" s="44">
        <f>IF(L345="687",Multipliers!C290,"oops")</f>
        <v>0.89</v>
      </c>
      <c r="R345" s="44">
        <f>IF(M345="Pierre, SD",Multipliers!C136, "GOOF")</f>
        <v>0.91</v>
      </c>
      <c r="S345" s="46">
        <f t="shared" si="172"/>
        <v>361403.91980000003</v>
      </c>
      <c r="T345" s="46">
        <f t="shared" si="173"/>
        <v>355786.85869999998</v>
      </c>
      <c r="U345" s="46">
        <f t="shared" si="164"/>
        <v>345113.25293899997</v>
      </c>
      <c r="V345" s="46">
        <f t="shared" si="165"/>
        <v>353258.58636950003</v>
      </c>
      <c r="W345" s="47">
        <f t="shared" si="174"/>
        <v>353258.58636950003</v>
      </c>
      <c r="X345" s="47"/>
      <c r="Y345" s="48">
        <f t="shared" si="167"/>
        <v>285092.66593500006</v>
      </c>
      <c r="Z345" s="48">
        <f t="shared" si="168"/>
        <v>314933.87429699994</v>
      </c>
      <c r="AA345" s="48">
        <f t="shared" si="169"/>
        <v>353258.58636950003</v>
      </c>
      <c r="AB345" s="48">
        <f t="shared" si="170"/>
        <v>382540.740659</v>
      </c>
      <c r="AC345" s="48">
        <f t="shared" si="171"/>
        <v>412371.53813100001</v>
      </c>
      <c r="AD345" s="1"/>
      <c r="AE345" s="1"/>
      <c r="AF345" s="1"/>
      <c r="AI345" s="9"/>
      <c r="AJ345" s="1"/>
      <c r="AK345" s="1"/>
      <c r="AL345" s="1"/>
      <c r="AM345" s="1"/>
      <c r="AN345" s="1"/>
      <c r="AO345" s="1"/>
      <c r="AP345" s="9"/>
      <c r="AQ345" s="3"/>
      <c r="AR345" s="4"/>
      <c r="AS345" s="1"/>
      <c r="AT345" s="1"/>
      <c r="AU345" s="1"/>
      <c r="AV345" s="1"/>
      <c r="AW345" s="1"/>
      <c r="AX345" s="3"/>
      <c r="AY345" s="3"/>
      <c r="AZ345" s="5"/>
      <c r="BA345" s="5"/>
      <c r="BB345" s="5"/>
      <c r="BC345" s="5"/>
      <c r="BD345" s="6"/>
      <c r="BE345" s="6"/>
      <c r="BF345" s="12"/>
      <c r="BG345" s="12"/>
      <c r="BH345" s="12"/>
      <c r="BI345" s="12"/>
      <c r="BJ345" s="12"/>
    </row>
    <row r="346" spans="2:62" x14ac:dyDescent="0.25">
      <c r="B346" s="1" t="s">
        <v>2383</v>
      </c>
      <c r="C346" s="1" t="s">
        <v>2404</v>
      </c>
      <c r="D346" s="1" t="s">
        <v>1190</v>
      </c>
      <c r="E346" s="1" t="s">
        <v>2405</v>
      </c>
      <c r="F346" s="1" t="s">
        <v>2406</v>
      </c>
      <c r="G346" s="1" t="s">
        <v>2407</v>
      </c>
      <c r="H346" s="1" t="s">
        <v>2408</v>
      </c>
      <c r="I346" s="7" t="s">
        <v>2298</v>
      </c>
      <c r="J346" s="44">
        <v>1</v>
      </c>
      <c r="K346" s="45">
        <v>1</v>
      </c>
      <c r="L346" s="1" t="s">
        <v>2396</v>
      </c>
      <c r="M346" s="7" t="s">
        <v>2390</v>
      </c>
      <c r="N346" s="1" t="s">
        <v>1140</v>
      </c>
      <c r="O346" s="1" t="s">
        <v>1959</v>
      </c>
      <c r="P346" s="1" t="s">
        <v>1190</v>
      </c>
      <c r="Q346" s="44">
        <f>IF(L346="680",Multipliers!C288,"oops")</f>
        <v>0.9</v>
      </c>
      <c r="R346" s="44">
        <f>IF(M346="Sioux City, IA",Multipliers!C50, "GOOF")</f>
        <v>0.92</v>
      </c>
      <c r="S346" s="46">
        <f t="shared" si="172"/>
        <v>365464.63800000009</v>
      </c>
      <c r="T346" s="46">
        <f t="shared" si="173"/>
        <v>359696.60440000001</v>
      </c>
      <c r="U346" s="46">
        <f t="shared" si="164"/>
        <v>348905.70626800001</v>
      </c>
      <c r="V346" s="46">
        <f t="shared" si="165"/>
        <v>357185.17213400005</v>
      </c>
      <c r="W346" s="47">
        <f t="shared" si="174"/>
        <v>357185.17213400005</v>
      </c>
      <c r="X346" s="47"/>
      <c r="Y346" s="48">
        <f t="shared" si="167"/>
        <v>288262.38672000001</v>
      </c>
      <c r="Z346" s="48">
        <f t="shared" si="168"/>
        <v>318434.812164</v>
      </c>
      <c r="AA346" s="48">
        <f t="shared" si="169"/>
        <v>357185.17213400005</v>
      </c>
      <c r="AB346" s="48">
        <f t="shared" si="170"/>
        <v>386792.35380800004</v>
      </c>
      <c r="AC346" s="48">
        <f t="shared" si="171"/>
        <v>416954.61567200004</v>
      </c>
      <c r="AD346" s="1"/>
      <c r="AE346" s="1"/>
      <c r="AF346" s="1"/>
      <c r="AI346" s="9"/>
      <c r="AJ346" s="1"/>
      <c r="AK346" s="1"/>
      <c r="AL346" s="1"/>
      <c r="AM346" s="1"/>
      <c r="AN346" s="1"/>
      <c r="AO346" s="1"/>
      <c r="AP346" s="9"/>
      <c r="AQ346" s="3"/>
      <c r="AR346" s="4"/>
      <c r="AS346" s="1"/>
      <c r="AT346" s="7"/>
      <c r="AU346" s="1"/>
      <c r="AV346" s="1"/>
      <c r="AW346" s="1"/>
      <c r="AX346" s="3"/>
      <c r="AY346" s="3"/>
      <c r="AZ346" s="5"/>
      <c r="BA346" s="5"/>
      <c r="BB346" s="5"/>
      <c r="BC346" s="5"/>
      <c r="BD346" s="6"/>
      <c r="BE346" s="6"/>
      <c r="BF346" s="12"/>
      <c r="BG346" s="12"/>
      <c r="BH346" s="12"/>
      <c r="BI346" s="12"/>
      <c r="BJ346" s="12"/>
    </row>
    <row r="347" spans="2:62" x14ac:dyDescent="0.25">
      <c r="B347" s="1" t="s">
        <v>2412</v>
      </c>
      <c r="C347" s="1" t="s">
        <v>2413</v>
      </c>
      <c r="D347" s="1" t="s">
        <v>1190</v>
      </c>
      <c r="E347" s="1" t="s">
        <v>2414</v>
      </c>
      <c r="F347" s="1" t="s">
        <v>2415</v>
      </c>
      <c r="G347" s="1" t="s">
        <v>2416</v>
      </c>
      <c r="H347" s="1" t="s">
        <v>2417</v>
      </c>
      <c r="I347" s="7" t="s">
        <v>2298</v>
      </c>
      <c r="J347" s="44">
        <v>1</v>
      </c>
      <c r="K347" s="45">
        <v>1</v>
      </c>
      <c r="L347" s="1" t="s">
        <v>2418</v>
      </c>
      <c r="M347" s="1" t="s">
        <v>2419</v>
      </c>
      <c r="N347" s="1" t="s">
        <v>1140</v>
      </c>
      <c r="O347" s="1" t="s">
        <v>1959</v>
      </c>
      <c r="P347" s="1" t="s">
        <v>1190</v>
      </c>
      <c r="Q347" s="44">
        <f>IF(L347="576",Multipliers!C360,"oops")</f>
        <v>0.78</v>
      </c>
      <c r="R347" s="44">
        <f>IF(M347="SOUTH DAKOTA",Multipliers!C134, "GOOF")</f>
        <v>0.92</v>
      </c>
      <c r="S347" s="46">
        <f t="shared" si="172"/>
        <v>316736.01960000006</v>
      </c>
      <c r="T347" s="46">
        <f t="shared" si="173"/>
        <v>359696.60440000001</v>
      </c>
      <c r="U347" s="46">
        <f t="shared" si="164"/>
        <v>348905.70626800001</v>
      </c>
      <c r="V347" s="46">
        <f t="shared" si="165"/>
        <v>332820.86293400003</v>
      </c>
      <c r="W347" s="47">
        <f t="shared" si="174"/>
        <v>332820.86293400003</v>
      </c>
      <c r="X347" s="47"/>
      <c r="Y347" s="48">
        <f t="shared" si="167"/>
        <v>268150.83372</v>
      </c>
      <c r="Z347" s="48">
        <f t="shared" si="168"/>
        <v>296525.98256399995</v>
      </c>
      <c r="AA347" s="48">
        <f t="shared" si="169"/>
        <v>332820.86293399998</v>
      </c>
      <c r="AB347" s="48">
        <f t="shared" si="170"/>
        <v>360656.018408</v>
      </c>
      <c r="AC347" s="48">
        <f t="shared" si="171"/>
        <v>388823.50707200007</v>
      </c>
      <c r="AD347" s="1"/>
      <c r="AE347" s="1"/>
      <c r="AF347" s="1"/>
      <c r="AI347" s="9"/>
      <c r="AJ347" s="1"/>
      <c r="AK347" s="1"/>
      <c r="AL347" s="1"/>
      <c r="AM347" s="1"/>
      <c r="AN347" s="1"/>
      <c r="AO347" s="1"/>
      <c r="AP347" s="9"/>
      <c r="AQ347" s="3"/>
      <c r="AR347" s="4"/>
      <c r="AS347" s="7"/>
      <c r="AT347" s="1"/>
      <c r="AU347" s="1"/>
      <c r="AV347" s="1"/>
      <c r="AW347" s="1"/>
      <c r="AX347" s="3"/>
      <c r="AY347" s="3"/>
      <c r="AZ347" s="5"/>
      <c r="BA347" s="5"/>
      <c r="BB347" s="5"/>
      <c r="BC347" s="5"/>
      <c r="BD347" s="6"/>
      <c r="BE347" s="6"/>
      <c r="BF347" s="12"/>
      <c r="BG347" s="12"/>
      <c r="BH347" s="12"/>
      <c r="BI347" s="12"/>
      <c r="BJ347" s="12"/>
    </row>
    <row r="348" spans="2:62" x14ac:dyDescent="0.25">
      <c r="B348" s="1" t="s">
        <v>2412</v>
      </c>
      <c r="C348" s="1" t="s">
        <v>2420</v>
      </c>
      <c r="D348" s="1" t="s">
        <v>1190</v>
      </c>
      <c r="E348" s="1" t="s">
        <v>2421</v>
      </c>
      <c r="F348" s="1" t="s">
        <v>2422</v>
      </c>
      <c r="G348" s="1" t="s">
        <v>2423</v>
      </c>
      <c r="H348" s="1" t="s">
        <v>2424</v>
      </c>
      <c r="I348" s="7" t="s">
        <v>2298</v>
      </c>
      <c r="J348" s="44">
        <v>1</v>
      </c>
      <c r="K348" s="45">
        <v>1</v>
      </c>
      <c r="L348" s="1" t="s">
        <v>2425</v>
      </c>
      <c r="M348" s="7" t="s">
        <v>2403</v>
      </c>
      <c r="N348" s="1" t="s">
        <v>1140</v>
      </c>
      <c r="O348" s="1" t="s">
        <v>1959</v>
      </c>
      <c r="P348" s="1" t="s">
        <v>1190</v>
      </c>
      <c r="Q348" s="44">
        <f>IF(L348="573",Multipliers!C358,"oops")</f>
        <v>0.79</v>
      </c>
      <c r="R348" s="44">
        <f>IF(M348="Pierre, SD",Multipliers!C136, "GOOF")</f>
        <v>0.91</v>
      </c>
      <c r="S348" s="46">
        <f t="shared" si="172"/>
        <v>320796.73780000006</v>
      </c>
      <c r="T348" s="46">
        <f t="shared" si="173"/>
        <v>355786.85869999998</v>
      </c>
      <c r="U348" s="46">
        <f t="shared" si="164"/>
        <v>345113.25293899997</v>
      </c>
      <c r="V348" s="46">
        <f t="shared" si="165"/>
        <v>332954.99536950001</v>
      </c>
      <c r="W348" s="47">
        <f t="shared" si="174"/>
        <v>332954.99536950001</v>
      </c>
      <c r="X348" s="47"/>
      <c r="Y348" s="48">
        <f t="shared" si="167"/>
        <v>268333.03843499999</v>
      </c>
      <c r="Z348" s="48">
        <f t="shared" si="168"/>
        <v>296676.51629699999</v>
      </c>
      <c r="AA348" s="48">
        <f t="shared" si="169"/>
        <v>332954.99536950001</v>
      </c>
      <c r="AB348" s="48">
        <f t="shared" si="170"/>
        <v>360760.46115900006</v>
      </c>
      <c r="AC348" s="48">
        <f t="shared" si="171"/>
        <v>388928.94763100002</v>
      </c>
      <c r="AD348" s="1"/>
      <c r="AE348" s="1"/>
      <c r="AF348" s="1"/>
      <c r="AI348" s="9"/>
      <c r="AJ348" s="1"/>
      <c r="AK348" s="1"/>
      <c r="AL348" s="1"/>
      <c r="AM348" s="1"/>
      <c r="AN348" s="1"/>
      <c r="AO348" s="1"/>
      <c r="AP348" s="9"/>
      <c r="AQ348" s="3"/>
      <c r="AR348" s="4"/>
      <c r="AS348" s="1"/>
      <c r="AT348" s="7"/>
      <c r="AU348" s="1"/>
      <c r="AV348" s="1"/>
      <c r="AW348" s="1"/>
      <c r="AX348" s="3"/>
      <c r="AY348" s="3"/>
      <c r="AZ348" s="5"/>
      <c r="BA348" s="5"/>
      <c r="BB348" s="5"/>
      <c r="BC348" s="5"/>
      <c r="BD348" s="6"/>
      <c r="BE348" s="6"/>
      <c r="BF348" s="12"/>
      <c r="BG348" s="12"/>
      <c r="BH348" s="12"/>
      <c r="BI348" s="12"/>
      <c r="BJ348" s="12"/>
    </row>
    <row r="349" spans="2:62" x14ac:dyDescent="0.25">
      <c r="B349" s="1" t="s">
        <v>2412</v>
      </c>
      <c r="C349" s="1" t="s">
        <v>2426</v>
      </c>
      <c r="D349" s="1" t="s">
        <v>1190</v>
      </c>
      <c r="E349" s="1" t="s">
        <v>2427</v>
      </c>
      <c r="F349" s="1" t="s">
        <v>2428</v>
      </c>
      <c r="G349" s="1" t="s">
        <v>2429</v>
      </c>
      <c r="H349" s="1" t="s">
        <v>2430</v>
      </c>
      <c r="I349" s="7" t="s">
        <v>2298</v>
      </c>
      <c r="J349" s="44">
        <v>1</v>
      </c>
      <c r="K349" s="45">
        <v>1</v>
      </c>
      <c r="L349" s="7" t="s">
        <v>2431</v>
      </c>
      <c r="M349" s="1" t="s">
        <v>2432</v>
      </c>
      <c r="N349" s="1" t="s">
        <v>1140</v>
      </c>
      <c r="O349" s="1" t="s">
        <v>1959</v>
      </c>
      <c r="P349" s="1" t="s">
        <v>1190</v>
      </c>
      <c r="Q349" s="44">
        <f>IF(L349="570",Multipliers!C356,"oops")</f>
        <v>0.9</v>
      </c>
      <c r="R349" s="44">
        <f>IF(M349="Sioux Falls",Multipliers!C138, "GOOF")</f>
        <v>0.93</v>
      </c>
      <c r="S349" s="46">
        <f t="shared" si="172"/>
        <v>365464.63800000009</v>
      </c>
      <c r="T349" s="46">
        <f t="shared" si="173"/>
        <v>363606.35010000004</v>
      </c>
      <c r="U349" s="46">
        <f t="shared" ref="U349:U364" si="175">IF(O349="E",$T$3*T349,IF(O349="C",$T$4*T349,IF(O349="W",$T$5*T349,1)))</f>
        <v>352698.15959700005</v>
      </c>
      <c r="V349" s="46">
        <f t="shared" ref="V349:V364" si="176">(S349+U349)/2</f>
        <v>359081.39879850007</v>
      </c>
      <c r="W349" s="47">
        <f t="shared" si="174"/>
        <v>359081.39879850007</v>
      </c>
      <c r="X349" s="47"/>
      <c r="Y349" s="48">
        <f t="shared" ref="Y349:Y364" si="177">IF(N349="Standard",(((($Z$3*Q349)+($AD$3*R349*$T$5))/2)*$O$7),IF(N349="Severe",(((($AA$3*Q349)+($AE$3*R349*$T$5))/2)*$O$7),IF(N349="Hostile",(((($AB$3*Q349)+($AF$3*R349*$T$5))/2)*$O$7))))</f>
        <v>289756.14475500002</v>
      </c>
      <c r="Z349" s="48">
        <f t="shared" ref="Z349:Z364" si="178">IF(N349="Standard",(((($Z$4*Q349)+($AD$4*R349*$T$5))/2)*$O$7),IF(N349="Severe",(((($AA$4*Q349)+($AE$4*R349*$T$5))/2)*$O$7),IF(N349="Hostile",(((($AB$4*Q349)+($AF$4*R349*$T$5))/2)*$O$7))))</f>
        <v>320110.01423099998</v>
      </c>
      <c r="AA349" s="48">
        <f t="shared" si="169"/>
        <v>359081.39879850007</v>
      </c>
      <c r="AB349" s="48">
        <f t="shared" si="170"/>
        <v>388865.93900700007</v>
      </c>
      <c r="AC349" s="48">
        <f t="shared" si="171"/>
        <v>419193.43416300009</v>
      </c>
      <c r="AD349" s="1"/>
      <c r="AE349" s="1"/>
      <c r="AF349" s="1"/>
      <c r="AI349" s="9"/>
      <c r="AJ349" s="1"/>
      <c r="AK349" s="1"/>
      <c r="AL349" s="1"/>
      <c r="AM349" s="1"/>
      <c r="AN349" s="1"/>
      <c r="AO349" s="1"/>
      <c r="AP349" s="9"/>
      <c r="AQ349" s="3"/>
      <c r="AR349" s="4"/>
      <c r="AS349" s="1"/>
      <c r="AT349" s="1"/>
      <c r="AU349" s="1"/>
      <c r="AV349" s="1"/>
      <c r="AW349" s="1"/>
      <c r="AX349" s="3"/>
      <c r="AY349" s="3"/>
      <c r="AZ349" s="5"/>
      <c r="BA349" s="5"/>
      <c r="BB349" s="5"/>
      <c r="BC349" s="5"/>
      <c r="BD349" s="6"/>
      <c r="BE349" s="6"/>
      <c r="BF349" s="12"/>
      <c r="BG349" s="12"/>
      <c r="BH349" s="12"/>
      <c r="BI349" s="12"/>
      <c r="BJ349" s="12"/>
    </row>
    <row r="350" spans="2:62" x14ac:dyDescent="0.25">
      <c r="B350" s="1" t="s">
        <v>2412</v>
      </c>
      <c r="C350" s="1" t="s">
        <v>2433</v>
      </c>
      <c r="D350" s="1" t="s">
        <v>1190</v>
      </c>
      <c r="E350" s="1" t="s">
        <v>2434</v>
      </c>
      <c r="F350" s="1" t="s">
        <v>2435</v>
      </c>
      <c r="G350" s="1" t="s">
        <v>2436</v>
      </c>
      <c r="H350" s="1" t="s">
        <v>2437</v>
      </c>
      <c r="I350" s="7" t="s">
        <v>2298</v>
      </c>
      <c r="J350" s="44">
        <v>1</v>
      </c>
      <c r="K350" s="45">
        <v>1</v>
      </c>
      <c r="L350" s="1" t="s">
        <v>2438</v>
      </c>
      <c r="M350" s="7" t="s">
        <v>2403</v>
      </c>
      <c r="N350" s="1" t="s">
        <v>1140</v>
      </c>
      <c r="O350" s="1" t="s">
        <v>1959</v>
      </c>
      <c r="P350" s="1" t="s">
        <v>1190</v>
      </c>
      <c r="Q350" s="44">
        <f>IF(L350="575",Multipliers!C359,"oops")</f>
        <v>0.84</v>
      </c>
      <c r="R350" s="44">
        <f>IF(M350="Pierre, SD",Multipliers!C136, "GOOF")</f>
        <v>0.91</v>
      </c>
      <c r="S350" s="46">
        <f t="shared" si="172"/>
        <v>341100.32880000002</v>
      </c>
      <c r="T350" s="46">
        <f t="shared" si="173"/>
        <v>355786.85869999998</v>
      </c>
      <c r="U350" s="46">
        <f t="shared" si="175"/>
        <v>345113.25293899997</v>
      </c>
      <c r="V350" s="46">
        <f t="shared" si="176"/>
        <v>343106.79086950002</v>
      </c>
      <c r="W350" s="47">
        <f t="shared" si="174"/>
        <v>343106.79086950002</v>
      </c>
      <c r="X350" s="47"/>
      <c r="Y350" s="48">
        <f t="shared" si="177"/>
        <v>276712.85218500008</v>
      </c>
      <c r="Z350" s="48">
        <f t="shared" si="178"/>
        <v>305805.195297</v>
      </c>
      <c r="AA350" s="48">
        <f t="shared" si="169"/>
        <v>343106.79086950002</v>
      </c>
      <c r="AB350" s="48">
        <f t="shared" si="170"/>
        <v>371650.60090900003</v>
      </c>
      <c r="AC350" s="48">
        <f t="shared" si="171"/>
        <v>400650.24288099998</v>
      </c>
      <c r="AD350" s="1"/>
      <c r="AE350" s="1"/>
      <c r="AF350" s="1"/>
      <c r="AI350" s="9"/>
      <c r="AJ350" s="1"/>
      <c r="AK350" s="1"/>
      <c r="AL350" s="1"/>
      <c r="AM350" s="1"/>
      <c r="AN350" s="1"/>
      <c r="AO350" s="1"/>
      <c r="AP350" s="9"/>
      <c r="AQ350" s="3"/>
      <c r="AR350" s="4"/>
      <c r="AS350" s="1"/>
      <c r="AT350" s="7"/>
      <c r="AU350" s="1"/>
      <c r="AV350" s="1"/>
      <c r="AW350" s="1"/>
      <c r="AX350" s="3"/>
      <c r="AY350" s="3"/>
      <c r="AZ350" s="5"/>
      <c r="BA350" s="5"/>
      <c r="BB350" s="5"/>
      <c r="BC350" s="5"/>
      <c r="BD350" s="6"/>
      <c r="BE350" s="6"/>
      <c r="BF350" s="12"/>
      <c r="BG350" s="12"/>
      <c r="BH350" s="12"/>
      <c r="BI350" s="12"/>
      <c r="BJ350" s="12"/>
    </row>
    <row r="351" spans="2:62" x14ac:dyDescent="0.25">
      <c r="B351" s="1" t="s">
        <v>2412</v>
      </c>
      <c r="C351" s="1" t="s">
        <v>2439</v>
      </c>
      <c r="D351" s="1" t="s">
        <v>1190</v>
      </c>
      <c r="E351" s="1" t="s">
        <v>2440</v>
      </c>
      <c r="F351" s="1" t="s">
        <v>2441</v>
      </c>
      <c r="G351" s="1" t="s">
        <v>2442</v>
      </c>
      <c r="H351" s="1" t="s">
        <v>2443</v>
      </c>
      <c r="I351" s="7" t="s">
        <v>2298</v>
      </c>
      <c r="J351" s="44">
        <v>1</v>
      </c>
      <c r="K351" s="45">
        <v>1</v>
      </c>
      <c r="L351" s="1" t="s">
        <v>2444</v>
      </c>
      <c r="M351" s="1" t="s">
        <v>2445</v>
      </c>
      <c r="N351" s="1" t="s">
        <v>1140</v>
      </c>
      <c r="O351" s="1" t="s">
        <v>1959</v>
      </c>
      <c r="P351" s="1" t="s">
        <v>1190</v>
      </c>
      <c r="Q351" s="44">
        <f>IF(L351="577",Multipliers!C361,"oops")</f>
        <v>0.87</v>
      </c>
      <c r="R351" s="44">
        <f>IF(M351="Rapid City",Multipliers!C137, "GOOF")</f>
        <v>0.93</v>
      </c>
      <c r="S351" s="46">
        <f t="shared" si="172"/>
        <v>353282.48340000008</v>
      </c>
      <c r="T351" s="46">
        <f t="shared" si="173"/>
        <v>363606.35010000004</v>
      </c>
      <c r="U351" s="46">
        <f t="shared" si="175"/>
        <v>352698.15959700005</v>
      </c>
      <c r="V351" s="46">
        <f t="shared" si="176"/>
        <v>352990.32149850007</v>
      </c>
      <c r="W351" s="47">
        <f t="shared" si="174"/>
        <v>352990.32149850007</v>
      </c>
      <c r="X351" s="47"/>
      <c r="Y351" s="48">
        <f t="shared" si="177"/>
        <v>284728.25650500006</v>
      </c>
      <c r="Z351" s="48">
        <f t="shared" si="178"/>
        <v>314632.80683099997</v>
      </c>
      <c r="AA351" s="48">
        <f t="shared" si="169"/>
        <v>352990.32149850007</v>
      </c>
      <c r="AB351" s="48">
        <f t="shared" si="170"/>
        <v>382331.85515700001</v>
      </c>
      <c r="AC351" s="48">
        <f t="shared" si="171"/>
        <v>412160.65701299999</v>
      </c>
      <c r="AD351" s="1"/>
      <c r="AE351" s="1"/>
      <c r="AF351" s="1"/>
      <c r="AI351" s="9"/>
      <c r="AJ351" s="1"/>
      <c r="AK351" s="1"/>
      <c r="AL351" s="1"/>
      <c r="AM351" s="1"/>
      <c r="AN351" s="1"/>
      <c r="AO351" s="1"/>
      <c r="AP351" s="9"/>
      <c r="AQ351" s="3"/>
      <c r="AR351" s="4"/>
      <c r="AS351" s="1"/>
      <c r="AT351" s="1"/>
      <c r="AU351" s="1"/>
      <c r="AV351" s="1"/>
      <c r="AW351" s="1"/>
      <c r="AX351" s="3"/>
      <c r="AY351" s="3"/>
      <c r="AZ351" s="5"/>
      <c r="BA351" s="5"/>
      <c r="BB351" s="5"/>
      <c r="BC351" s="5"/>
      <c r="BD351" s="6"/>
      <c r="BE351" s="6"/>
      <c r="BF351" s="12"/>
      <c r="BG351" s="12"/>
      <c r="BH351" s="12"/>
      <c r="BI351" s="12"/>
      <c r="BJ351" s="12"/>
    </row>
    <row r="352" spans="2:62" x14ac:dyDescent="0.25">
      <c r="B352" s="1" t="s">
        <v>2412</v>
      </c>
      <c r="C352" s="1" t="s">
        <v>2446</v>
      </c>
      <c r="D352" s="1" t="s">
        <v>1190</v>
      </c>
      <c r="E352" s="1" t="s">
        <v>2447</v>
      </c>
      <c r="F352" s="1" t="s">
        <v>2448</v>
      </c>
      <c r="G352" s="1" t="s">
        <v>2449</v>
      </c>
      <c r="H352" s="1" t="s">
        <v>2450</v>
      </c>
      <c r="I352" s="7" t="s">
        <v>2298</v>
      </c>
      <c r="J352" s="44">
        <v>1</v>
      </c>
      <c r="K352" s="45">
        <v>1</v>
      </c>
      <c r="L352" s="1" t="s">
        <v>2438</v>
      </c>
      <c r="M352" s="7" t="s">
        <v>2403</v>
      </c>
      <c r="N352" s="1" t="s">
        <v>1140</v>
      </c>
      <c r="O352" s="1" t="s">
        <v>1959</v>
      </c>
      <c r="P352" s="1" t="s">
        <v>1190</v>
      </c>
      <c r="Q352" s="44">
        <f>IF(L352="575",Multipliers!C359,"oops")</f>
        <v>0.84</v>
      </c>
      <c r="R352" s="44">
        <f>IF(M352="Pierre, SD",Multipliers!C136, "GOOF")</f>
        <v>0.91</v>
      </c>
      <c r="S352" s="46">
        <f t="shared" si="172"/>
        <v>341100.32880000002</v>
      </c>
      <c r="T352" s="46">
        <f t="shared" si="173"/>
        <v>355786.85869999998</v>
      </c>
      <c r="U352" s="46">
        <f t="shared" si="175"/>
        <v>345113.25293899997</v>
      </c>
      <c r="V352" s="46">
        <f t="shared" si="176"/>
        <v>343106.79086950002</v>
      </c>
      <c r="W352" s="47">
        <f t="shared" si="174"/>
        <v>343106.79086950002</v>
      </c>
      <c r="X352" s="47"/>
      <c r="Y352" s="48">
        <f t="shared" si="177"/>
        <v>276712.85218500008</v>
      </c>
      <c r="Z352" s="48">
        <f t="shared" si="178"/>
        <v>305805.195297</v>
      </c>
      <c r="AA352" s="48">
        <f t="shared" si="169"/>
        <v>343106.79086950002</v>
      </c>
      <c r="AB352" s="48">
        <f t="shared" si="170"/>
        <v>371650.60090900003</v>
      </c>
      <c r="AC352" s="48">
        <f t="shared" si="171"/>
        <v>400650.24288099998</v>
      </c>
      <c r="AD352" s="1"/>
      <c r="AE352" s="1"/>
      <c r="AF352" s="1"/>
      <c r="AI352" s="9"/>
      <c r="AJ352" s="1"/>
      <c r="AK352" s="1"/>
      <c r="AL352" s="1"/>
      <c r="AM352" s="1"/>
      <c r="AN352" s="1"/>
      <c r="AO352" s="1"/>
      <c r="AP352" s="9"/>
      <c r="AQ352" s="3"/>
      <c r="AR352" s="4"/>
      <c r="AS352" s="1"/>
      <c r="AT352" s="1"/>
      <c r="AU352" s="1"/>
      <c r="AV352" s="1"/>
      <c r="AW352" s="1"/>
      <c r="AX352" s="3"/>
      <c r="AY352" s="3"/>
      <c r="AZ352" s="5"/>
      <c r="BA352" s="5"/>
      <c r="BB352" s="5"/>
      <c r="BC352" s="5"/>
      <c r="BD352" s="6"/>
      <c r="BE352" s="6"/>
      <c r="BF352" s="12"/>
      <c r="BG352" s="12"/>
      <c r="BH352" s="12"/>
      <c r="BI352" s="12"/>
      <c r="BJ352" s="12"/>
    </row>
    <row r="353" spans="2:62" x14ac:dyDescent="0.25">
      <c r="B353" s="1" t="s">
        <v>2412</v>
      </c>
      <c r="C353" s="1" t="s">
        <v>2451</v>
      </c>
      <c r="D353" s="1" t="s">
        <v>1190</v>
      </c>
      <c r="E353" s="1" t="s">
        <v>2452</v>
      </c>
      <c r="F353" s="1" t="s">
        <v>2453</v>
      </c>
      <c r="G353" s="1" t="s">
        <v>2454</v>
      </c>
      <c r="H353" s="1" t="s">
        <v>2455</v>
      </c>
      <c r="I353" s="7" t="s">
        <v>2298</v>
      </c>
      <c r="J353" s="44">
        <v>1</v>
      </c>
      <c r="K353" s="45">
        <v>1</v>
      </c>
      <c r="L353" s="1" t="s">
        <v>2456</v>
      </c>
      <c r="M353" s="1" t="s">
        <v>2457</v>
      </c>
      <c r="N353" s="1" t="s">
        <v>1140</v>
      </c>
      <c r="O353" s="1" t="s">
        <v>1959</v>
      </c>
      <c r="P353" s="1" t="s">
        <v>1190</v>
      </c>
      <c r="Q353" s="44">
        <f>IF(L353="572",Multipliers!C357,"oops")</f>
        <v>0.85</v>
      </c>
      <c r="R353" s="44">
        <f>IF(M353="Huron",Multipliers!C135, "GOOF")</f>
        <v>0.92</v>
      </c>
      <c r="S353" s="46">
        <f t="shared" si="172"/>
        <v>345161.04700000002</v>
      </c>
      <c r="T353" s="46">
        <f t="shared" si="173"/>
        <v>359696.60440000001</v>
      </c>
      <c r="U353" s="46">
        <f t="shared" si="175"/>
        <v>348905.70626800001</v>
      </c>
      <c r="V353" s="46">
        <f t="shared" si="176"/>
        <v>347033.37663399999</v>
      </c>
      <c r="W353" s="47">
        <f t="shared" si="174"/>
        <v>347033.37663399999</v>
      </c>
      <c r="X353" s="47"/>
      <c r="Y353" s="48">
        <f t="shared" si="177"/>
        <v>279882.57296999998</v>
      </c>
      <c r="Z353" s="48">
        <f t="shared" si="178"/>
        <v>309306.133164</v>
      </c>
      <c r="AA353" s="48">
        <f t="shared" si="169"/>
        <v>347033.37663399999</v>
      </c>
      <c r="AB353" s="48">
        <f t="shared" si="170"/>
        <v>375902.21405800001</v>
      </c>
      <c r="AC353" s="48">
        <f t="shared" si="171"/>
        <v>405233.32042200002</v>
      </c>
      <c r="AD353" s="1"/>
      <c r="AE353" s="1"/>
      <c r="AF353" s="1"/>
      <c r="AI353" s="9"/>
      <c r="AJ353" s="1"/>
      <c r="AK353" s="1"/>
      <c r="AL353" s="1"/>
      <c r="AM353" s="7"/>
      <c r="AN353" s="1"/>
      <c r="AO353" s="1"/>
      <c r="AP353" s="9"/>
      <c r="AQ353" s="3"/>
      <c r="AR353" s="4"/>
      <c r="AS353" s="1"/>
      <c r="AT353" s="1"/>
      <c r="AU353" s="1"/>
      <c r="AV353" s="1"/>
      <c r="AW353" s="1"/>
      <c r="AX353" s="3"/>
      <c r="AY353" s="3"/>
      <c r="AZ353" s="5"/>
      <c r="BA353" s="5"/>
      <c r="BB353" s="5"/>
      <c r="BC353" s="5"/>
      <c r="BD353" s="6"/>
      <c r="BE353" s="6"/>
      <c r="BF353" s="12"/>
      <c r="BG353" s="12"/>
      <c r="BH353" s="12"/>
      <c r="BI353" s="12"/>
      <c r="BJ353" s="12"/>
    </row>
    <row r="354" spans="2:62" x14ac:dyDescent="0.25">
      <c r="B354" s="1" t="s">
        <v>2412</v>
      </c>
      <c r="C354" s="1" t="s">
        <v>2458</v>
      </c>
      <c r="D354" s="1" t="s">
        <v>1190</v>
      </c>
      <c r="E354" s="1" t="s">
        <v>2459</v>
      </c>
      <c r="F354" s="1" t="s">
        <v>2460</v>
      </c>
      <c r="G354" s="1" t="s">
        <v>2461</v>
      </c>
      <c r="H354" s="1" t="s">
        <v>2462</v>
      </c>
      <c r="I354" s="7" t="s">
        <v>2298</v>
      </c>
      <c r="J354" s="44">
        <v>1</v>
      </c>
      <c r="K354" s="45">
        <v>1</v>
      </c>
      <c r="L354" s="1" t="s">
        <v>2425</v>
      </c>
      <c r="M354" s="1" t="s">
        <v>2432</v>
      </c>
      <c r="N354" s="1" t="s">
        <v>1140</v>
      </c>
      <c r="O354" s="1" t="s">
        <v>1959</v>
      </c>
      <c r="P354" s="1" t="s">
        <v>1190</v>
      </c>
      <c r="Q354" s="44">
        <f>IF(L354="573",Multipliers!C358,"oops")</f>
        <v>0.79</v>
      </c>
      <c r="R354" s="44">
        <f>IF(M354="Sioux Falls",Multipliers!C138, "GOOF")</f>
        <v>0.93</v>
      </c>
      <c r="S354" s="46">
        <f t="shared" si="172"/>
        <v>320796.73780000006</v>
      </c>
      <c r="T354" s="46">
        <f t="shared" si="173"/>
        <v>363606.35010000004</v>
      </c>
      <c r="U354" s="46">
        <f t="shared" si="175"/>
        <v>352698.15959700005</v>
      </c>
      <c r="V354" s="46">
        <f t="shared" si="176"/>
        <v>336747.44869850005</v>
      </c>
      <c r="W354" s="47">
        <f t="shared" si="174"/>
        <v>336747.44869850005</v>
      </c>
      <c r="X354" s="47"/>
      <c r="Y354" s="48">
        <f t="shared" si="177"/>
        <v>271320.55450500001</v>
      </c>
      <c r="Z354" s="48">
        <f t="shared" si="178"/>
        <v>300026.92043100001</v>
      </c>
      <c r="AA354" s="48">
        <f t="shared" ref="AA354:AA359" si="179">IF(N354="Standard",((($Z$5*Q354)+($AD$5*R354*$T$5))/2)*$O$7,IF(N354="Severe",((($AA$5*Q354)+($AE$5*R354*$T$5))/2)*$O$7,IF(N354="Hostile",((($AB$5*Q354)+($AF$5*R354*$T$5))/2)*$O$7)))</f>
        <v>340383.51219950005</v>
      </c>
      <c r="AB354" s="48">
        <f t="shared" ref="AB354:AB359" si="180">IF(N354="Standard",((($Z$6*Q354)+($AD$6*R354*$T$5))/2)*$O$7,IF(N354="Severe",((($AA$6*Q354)+($AE$6*R354*$T$5))/2)*$O$7,IF(N354="Hostile",((($AB$6*Q354)+($AF$6*R354*$T$5))/2)*$O$7)))</f>
        <v>368883.78461900004</v>
      </c>
      <c r="AC354" s="48">
        <f t="shared" ref="AC354:AC359" si="181">IF(N354="Standard",((($Z$7*Q354)+($AD$7*R354*$T$5))/2)*$O$7,IF(N354="Severe",((($AA$7*Q354)+($AE$7*R354*$T$5))/2)*$O$7,IF(N354="Hostile",((($AB$7*Q354)+($AF$7*R354*$T$5))/2)*$O$7)))</f>
        <v>397699.57677100005</v>
      </c>
      <c r="AD354" s="1"/>
      <c r="AE354" s="1"/>
      <c r="AF354" s="1"/>
      <c r="AI354" s="9"/>
      <c r="AJ354" s="1"/>
      <c r="AK354" s="1"/>
      <c r="AL354" s="1"/>
      <c r="AM354" s="1"/>
      <c r="AN354" s="1"/>
      <c r="AO354" s="1"/>
      <c r="AP354" s="9"/>
      <c r="AQ354" s="3"/>
      <c r="AR354" s="4"/>
      <c r="AS354" s="1"/>
      <c r="AT354" s="1"/>
      <c r="AU354" s="1"/>
      <c r="AV354" s="1"/>
      <c r="AW354" s="1"/>
      <c r="AX354" s="3"/>
      <c r="AY354" s="3"/>
      <c r="AZ354" s="5"/>
      <c r="BA354" s="5"/>
      <c r="BB354" s="5"/>
      <c r="BC354" s="5"/>
      <c r="BD354" s="6"/>
      <c r="BE354" s="6"/>
      <c r="BF354" s="12"/>
      <c r="BG354" s="12"/>
      <c r="BH354" s="12"/>
      <c r="BI354" s="12"/>
      <c r="BJ354" s="12"/>
    </row>
    <row r="355" spans="2:62" x14ac:dyDescent="0.25">
      <c r="B355" s="1" t="s">
        <v>2463</v>
      </c>
      <c r="C355" s="1" t="s">
        <v>2464</v>
      </c>
      <c r="D355" s="1" t="s">
        <v>1190</v>
      </c>
      <c r="E355" s="1" t="s">
        <v>2465</v>
      </c>
      <c r="F355" s="7" t="s">
        <v>2466</v>
      </c>
      <c r="G355" s="1" t="s">
        <v>2467</v>
      </c>
      <c r="H355" s="1" t="s">
        <v>2468</v>
      </c>
      <c r="I355" s="7" t="s">
        <v>2298</v>
      </c>
      <c r="J355" s="44">
        <v>1</v>
      </c>
      <c r="K355" s="45">
        <v>1</v>
      </c>
      <c r="L355" s="1" t="s">
        <v>1513</v>
      </c>
      <c r="M355" s="1" t="s">
        <v>2469</v>
      </c>
      <c r="N355" s="1" t="s">
        <v>1140</v>
      </c>
      <c r="O355" s="1" t="s">
        <v>1189</v>
      </c>
      <c r="P355" s="1" t="s">
        <v>1190</v>
      </c>
      <c r="Q355" s="44">
        <f>IF(L355="843",Multipliers!C371,"oops")</f>
        <v>0.83</v>
      </c>
      <c r="R355" s="44">
        <f>IF(M355="Ogden",Multipliers!C145, "GOOF")</f>
        <v>1.02</v>
      </c>
      <c r="S355" s="46">
        <f t="shared" si="172"/>
        <v>337039.61060000007</v>
      </c>
      <c r="T355" s="46">
        <f t="shared" si="173"/>
        <v>398794.06140000001</v>
      </c>
      <c r="U355" s="46">
        <f t="shared" si="175"/>
        <v>394806.12078599998</v>
      </c>
      <c r="V355" s="46">
        <f t="shared" si="176"/>
        <v>365922.86569300003</v>
      </c>
      <c r="W355" s="47">
        <f t="shared" si="174"/>
        <v>365922.86569300003</v>
      </c>
      <c r="X355" s="47"/>
      <c r="Y355" s="48">
        <f t="shared" si="177"/>
        <v>291468.22782000003</v>
      </c>
      <c r="Z355" s="48">
        <f t="shared" si="178"/>
        <v>322406.68223400001</v>
      </c>
      <c r="AA355" s="48">
        <f t="shared" si="179"/>
        <v>365922.86569300003</v>
      </c>
      <c r="AB355" s="48">
        <f t="shared" si="180"/>
        <v>396642.95221600001</v>
      </c>
      <c r="AC355" s="48">
        <f t="shared" si="181"/>
        <v>427641.43024399999</v>
      </c>
      <c r="AD355" s="1"/>
      <c r="AE355" s="1"/>
      <c r="AF355" s="1"/>
      <c r="AI355" s="9"/>
      <c r="AJ355" s="1"/>
      <c r="AK355" s="1"/>
      <c r="AL355" s="1"/>
      <c r="AM355" s="1"/>
      <c r="AN355" s="1"/>
      <c r="AO355" s="1"/>
      <c r="AP355" s="9"/>
      <c r="AQ355" s="3"/>
      <c r="AR355" s="4"/>
      <c r="AS355" s="1"/>
      <c r="AT355" s="1"/>
      <c r="AU355" s="1"/>
      <c r="AV355" s="1"/>
      <c r="AW355" s="1"/>
      <c r="AX355" s="3"/>
      <c r="AY355" s="3"/>
      <c r="AZ355" s="5"/>
      <c r="BA355" s="5"/>
      <c r="BB355" s="5"/>
      <c r="BC355" s="5"/>
      <c r="BD355" s="6"/>
      <c r="BE355" s="6"/>
      <c r="BF355" s="12"/>
      <c r="BG355" s="12"/>
      <c r="BH355" s="12"/>
      <c r="BI355" s="12"/>
      <c r="BJ355" s="12"/>
    </row>
    <row r="356" spans="2:62" x14ac:dyDescent="0.25">
      <c r="B356" s="1" t="s">
        <v>2463</v>
      </c>
      <c r="C356" s="1" t="s">
        <v>2470</v>
      </c>
      <c r="D356" s="1" t="s">
        <v>1190</v>
      </c>
      <c r="E356" s="1" t="s">
        <v>2471</v>
      </c>
      <c r="F356" s="1" t="s">
        <v>2472</v>
      </c>
      <c r="G356" s="1" t="s">
        <v>2473</v>
      </c>
      <c r="H356" s="1" t="s">
        <v>2474</v>
      </c>
      <c r="I356" s="7" t="s">
        <v>2298</v>
      </c>
      <c r="J356" s="44">
        <v>1</v>
      </c>
      <c r="K356" s="45">
        <v>1</v>
      </c>
      <c r="L356" s="1" t="s">
        <v>2475</v>
      </c>
      <c r="M356" s="1" t="s">
        <v>2476</v>
      </c>
      <c r="N356" s="1" t="s">
        <v>1140</v>
      </c>
      <c r="O356" s="1" t="s">
        <v>1189</v>
      </c>
      <c r="P356" s="1" t="s">
        <v>1190</v>
      </c>
      <c r="Q356" s="44">
        <f>IF(L356="840",Multipliers!C370,"oops")</f>
        <v>0.85</v>
      </c>
      <c r="R356" s="44">
        <f>IF(M356="Salt Lake City",Multipliers!C146, "GOOF")</f>
        <v>0.98</v>
      </c>
      <c r="S356" s="46">
        <f t="shared" ref="S356:S362" si="182">IF(N356="Standard",$O$5*Q356*$O$7,IF(N356="Severe",$O$4*Q356*$O$7,IF(N356="Hostile",$O$3*Q356*$O$7)))</f>
        <v>345161.04700000002</v>
      </c>
      <c r="T356" s="46">
        <f t="shared" ref="T356:T362" si="183">IF(N356="Standard",$P$5*R356*$O$7,IF(N356="Severe",$P$4*R356*$O$7,IF(N356="Hostile",$P$3*R356*$O$7)))</f>
        <v>383155.07860000001</v>
      </c>
      <c r="U356" s="46">
        <f t="shared" si="175"/>
        <v>379323.52781400003</v>
      </c>
      <c r="V356" s="46">
        <f t="shared" si="176"/>
        <v>362242.28740700003</v>
      </c>
      <c r="W356" s="47">
        <f t="shared" si="174"/>
        <v>362242.28740700003</v>
      </c>
      <c r="X356" s="47"/>
      <c r="Y356" s="48">
        <f t="shared" si="177"/>
        <v>288845.12118000002</v>
      </c>
      <c r="Z356" s="48">
        <f t="shared" si="178"/>
        <v>319357.34556599997</v>
      </c>
      <c r="AA356" s="48">
        <f t="shared" si="179"/>
        <v>362242.28740700003</v>
      </c>
      <c r="AB356" s="48">
        <f t="shared" si="180"/>
        <v>392533.64998400002</v>
      </c>
      <c r="AC356" s="48">
        <f t="shared" si="181"/>
        <v>423190.02955599996</v>
      </c>
      <c r="AD356" s="1"/>
      <c r="AE356" s="1"/>
      <c r="AF356" s="1"/>
      <c r="AI356" s="9"/>
      <c r="AJ356" s="1"/>
      <c r="AK356" s="1"/>
      <c r="AL356" s="1"/>
      <c r="AM356" s="1"/>
      <c r="AN356" s="1"/>
      <c r="AO356" s="1"/>
      <c r="AP356" s="9"/>
      <c r="AQ356" s="3"/>
      <c r="AR356" s="4"/>
      <c r="AS356" s="1"/>
      <c r="AT356" s="1"/>
      <c r="AU356" s="1"/>
      <c r="AV356" s="1"/>
      <c r="AW356" s="1"/>
      <c r="AX356" s="3"/>
      <c r="AY356" s="3"/>
      <c r="AZ356" s="5"/>
      <c r="BA356" s="5"/>
      <c r="BB356" s="5"/>
      <c r="BC356" s="5"/>
      <c r="BD356" s="6"/>
      <c r="BE356" s="6"/>
      <c r="BF356" s="12"/>
      <c r="BG356" s="12"/>
      <c r="BH356" s="12"/>
      <c r="BI356" s="12"/>
      <c r="BJ356" s="12"/>
    </row>
    <row r="357" spans="2:62" x14ac:dyDescent="0.25">
      <c r="B357" s="1" t="s">
        <v>2463</v>
      </c>
      <c r="C357" s="1" t="s">
        <v>2477</v>
      </c>
      <c r="D357" s="1" t="s">
        <v>1190</v>
      </c>
      <c r="E357" s="1" t="s">
        <v>2478</v>
      </c>
      <c r="F357" s="1" t="s">
        <v>2479</v>
      </c>
      <c r="G357" s="1" t="s">
        <v>2480</v>
      </c>
      <c r="H357" s="1" t="s">
        <v>2481</v>
      </c>
      <c r="I357" s="7" t="s">
        <v>2298</v>
      </c>
      <c r="J357" s="44">
        <v>1</v>
      </c>
      <c r="K357" s="45">
        <v>1</v>
      </c>
      <c r="L357" s="1" t="s">
        <v>2475</v>
      </c>
      <c r="M357" s="1" t="s">
        <v>2476</v>
      </c>
      <c r="N357" s="1" t="s">
        <v>1140</v>
      </c>
      <c r="O357" s="1" t="s">
        <v>1189</v>
      </c>
      <c r="P357" s="1" t="s">
        <v>1190</v>
      </c>
      <c r="Q357" s="44">
        <f>IF(L357="840",Multipliers!C370,"oops")</f>
        <v>0.85</v>
      </c>
      <c r="R357" s="44">
        <f>IF(M357="Salt Lake City",Multipliers!C146, "GOOF")</f>
        <v>0.98</v>
      </c>
      <c r="S357" s="46">
        <f t="shared" si="182"/>
        <v>345161.04700000002</v>
      </c>
      <c r="T357" s="46">
        <f t="shared" si="183"/>
        <v>383155.07860000001</v>
      </c>
      <c r="U357" s="46">
        <f t="shared" si="175"/>
        <v>379323.52781400003</v>
      </c>
      <c r="V357" s="46">
        <f t="shared" si="176"/>
        <v>362242.28740700003</v>
      </c>
      <c r="W357" s="47">
        <f t="shared" si="174"/>
        <v>362242.28740700003</v>
      </c>
      <c r="X357" s="47"/>
      <c r="Y357" s="48">
        <f t="shared" si="177"/>
        <v>288845.12118000002</v>
      </c>
      <c r="Z357" s="48">
        <f t="shared" si="178"/>
        <v>319357.34556599997</v>
      </c>
      <c r="AA357" s="48">
        <f t="shared" si="179"/>
        <v>362242.28740700003</v>
      </c>
      <c r="AB357" s="48">
        <f t="shared" si="180"/>
        <v>392533.64998400002</v>
      </c>
      <c r="AC357" s="48">
        <f t="shared" si="181"/>
        <v>423190.02955599996</v>
      </c>
      <c r="AD357" s="1"/>
      <c r="AE357" s="1"/>
      <c r="AF357" s="1"/>
      <c r="AI357" s="9"/>
      <c r="AJ357" s="1"/>
      <c r="AK357" s="1"/>
      <c r="AL357" s="1"/>
      <c r="AM357" s="1"/>
      <c r="AN357" s="1"/>
      <c r="AO357" s="1"/>
      <c r="AP357" s="9"/>
      <c r="AQ357" s="3"/>
      <c r="AR357" s="4"/>
      <c r="AS357" s="1"/>
      <c r="AT357" s="1"/>
      <c r="AU357" s="1"/>
      <c r="AV357" s="1"/>
      <c r="AW357" s="1"/>
      <c r="AX357" s="3"/>
      <c r="AY357" s="3"/>
      <c r="AZ357" s="5"/>
      <c r="BA357" s="5"/>
      <c r="BB357" s="5"/>
      <c r="BC357" s="5"/>
      <c r="BD357" s="6"/>
      <c r="BE357" s="6"/>
      <c r="BF357" s="12"/>
      <c r="BG357" s="12"/>
      <c r="BH357" s="12"/>
      <c r="BI357" s="12"/>
      <c r="BJ357" s="12"/>
    </row>
    <row r="358" spans="2:62" x14ac:dyDescent="0.25">
      <c r="B358" s="1" t="s">
        <v>2463</v>
      </c>
      <c r="C358" s="1" t="s">
        <v>2482</v>
      </c>
      <c r="D358" s="1" t="s">
        <v>1190</v>
      </c>
      <c r="E358" s="1" t="s">
        <v>2483</v>
      </c>
      <c r="F358" s="1" t="s">
        <v>2484</v>
      </c>
      <c r="G358" s="1" t="s">
        <v>2485</v>
      </c>
      <c r="H358" s="1" t="s">
        <v>2486</v>
      </c>
      <c r="I358" s="7" t="s">
        <v>2298</v>
      </c>
      <c r="J358" s="44">
        <v>1</v>
      </c>
      <c r="K358" s="45">
        <v>1</v>
      </c>
      <c r="L358" s="1" t="s">
        <v>2487</v>
      </c>
      <c r="M358" s="1" t="s">
        <v>2488</v>
      </c>
      <c r="N358" s="1" t="s">
        <v>1140</v>
      </c>
      <c r="O358" s="1" t="s">
        <v>1189</v>
      </c>
      <c r="P358" s="1" t="s">
        <v>1190</v>
      </c>
      <c r="Q358" s="44">
        <f>IF(L358="846",Multipliers!C372,"oops")</f>
        <v>0.84</v>
      </c>
      <c r="R358" s="44">
        <f>IF(M358="St. George",Multipliers!C147, "GOOF")</f>
        <v>0.95</v>
      </c>
      <c r="S358" s="46">
        <f t="shared" si="182"/>
        <v>341100.32880000002</v>
      </c>
      <c r="T358" s="46">
        <f t="shared" si="183"/>
        <v>371425.84149999998</v>
      </c>
      <c r="U358" s="46">
        <f t="shared" si="175"/>
        <v>367711.58308499999</v>
      </c>
      <c r="V358" s="46">
        <f t="shared" si="176"/>
        <v>354405.95594250003</v>
      </c>
      <c r="W358" s="47">
        <f t="shared" si="174"/>
        <v>354405.95594250003</v>
      </c>
      <c r="X358" s="47"/>
      <c r="Y358" s="48">
        <f t="shared" si="177"/>
        <v>282687.88432499999</v>
      </c>
      <c r="Z358" s="48">
        <f t="shared" si="178"/>
        <v>312506.00356499996</v>
      </c>
      <c r="AA358" s="48">
        <f t="shared" si="179"/>
        <v>354405.95594250003</v>
      </c>
      <c r="AB358" s="48">
        <f t="shared" si="180"/>
        <v>384006.603435</v>
      </c>
      <c r="AC358" s="48">
        <f t="shared" si="181"/>
        <v>413990.83141500002</v>
      </c>
      <c r="AD358" s="1"/>
      <c r="AE358" s="1"/>
      <c r="AF358" s="1"/>
      <c r="AI358" s="9"/>
      <c r="AJ358" s="1"/>
      <c r="AK358" s="1"/>
      <c r="AL358" s="1"/>
      <c r="AM358" s="7"/>
      <c r="AN358" s="1"/>
      <c r="AO358" s="1"/>
      <c r="AP358" s="9"/>
      <c r="AQ358" s="3"/>
      <c r="AR358" s="4"/>
      <c r="AS358" s="1"/>
      <c r="AT358" s="1"/>
      <c r="AU358" s="1"/>
      <c r="AV358" s="1"/>
      <c r="AW358" s="1"/>
      <c r="AX358" s="3"/>
      <c r="AY358" s="3"/>
      <c r="AZ358" s="5"/>
      <c r="BA358" s="5"/>
      <c r="BB358" s="5"/>
      <c r="BC358" s="5"/>
      <c r="BD358" s="6"/>
      <c r="BE358" s="6"/>
      <c r="BF358" s="12"/>
      <c r="BG358" s="12"/>
      <c r="BH358" s="12"/>
      <c r="BI358" s="12"/>
      <c r="BJ358" s="12"/>
    </row>
    <row r="359" spans="2:62" x14ac:dyDescent="0.25">
      <c r="B359" s="1" t="s">
        <v>2489</v>
      </c>
      <c r="C359" s="1" t="s">
        <v>2490</v>
      </c>
      <c r="D359" s="1" t="s">
        <v>1766</v>
      </c>
      <c r="E359" s="1" t="s">
        <v>2491</v>
      </c>
      <c r="F359" s="1" t="s">
        <v>2492</v>
      </c>
      <c r="G359" s="1" t="s">
        <v>2493</v>
      </c>
      <c r="H359" s="1" t="s">
        <v>2494</v>
      </c>
      <c r="I359" s="7" t="s">
        <v>2298</v>
      </c>
      <c r="J359" s="44">
        <v>1</v>
      </c>
      <c r="K359" s="45">
        <v>1</v>
      </c>
      <c r="L359" s="1" t="s">
        <v>2495</v>
      </c>
      <c r="M359" s="1" t="s">
        <v>2496</v>
      </c>
      <c r="N359" s="1" t="s">
        <v>1140</v>
      </c>
      <c r="O359" s="1" t="s">
        <v>1189</v>
      </c>
      <c r="P359" s="1" t="s">
        <v>1190</v>
      </c>
      <c r="Q359" s="44">
        <f>IF(L359="825",Multipliers!C397,"oops")</f>
        <v>0.82</v>
      </c>
      <c r="R359" s="44">
        <f>IF(M359="Casper",Multipliers!C166, "GOOF")</f>
        <v>0.93</v>
      </c>
      <c r="S359" s="46">
        <f t="shared" si="182"/>
        <v>332978.89240000001</v>
      </c>
      <c r="T359" s="46">
        <f t="shared" si="183"/>
        <v>363606.35010000004</v>
      </c>
      <c r="U359" s="46">
        <f t="shared" si="175"/>
        <v>359970.28659900004</v>
      </c>
      <c r="V359" s="46">
        <f t="shared" si="176"/>
        <v>346474.5894995</v>
      </c>
      <c r="W359" s="47">
        <f t="shared" si="174"/>
        <v>346474.5894995</v>
      </c>
      <c r="X359" s="47"/>
      <c r="Y359" s="48">
        <f t="shared" si="177"/>
        <v>276348.44275499997</v>
      </c>
      <c r="Z359" s="48">
        <f t="shared" si="178"/>
        <v>305504.12783099996</v>
      </c>
      <c r="AA359" s="48">
        <f t="shared" si="179"/>
        <v>346474.5894995</v>
      </c>
      <c r="AB359" s="48">
        <f t="shared" si="180"/>
        <v>375417.86846899998</v>
      </c>
      <c r="AC359" s="48">
        <f t="shared" si="181"/>
        <v>404732.35392100003</v>
      </c>
      <c r="AD359" s="1"/>
      <c r="AE359" s="1"/>
      <c r="AF359" s="1"/>
      <c r="AI359" s="10"/>
      <c r="AJ359" s="1"/>
      <c r="AK359" s="1"/>
      <c r="AL359" s="1"/>
      <c r="AM359" s="1"/>
      <c r="AN359" s="1"/>
      <c r="AO359" s="1"/>
      <c r="AP359" s="9"/>
      <c r="AQ359" s="3"/>
      <c r="AR359" s="4"/>
      <c r="AS359" s="7"/>
      <c r="AT359" s="1"/>
      <c r="AU359" s="1"/>
      <c r="AV359" s="1"/>
      <c r="AW359" s="1"/>
      <c r="AX359" s="3"/>
      <c r="AY359" s="3"/>
      <c r="AZ359" s="5"/>
      <c r="BA359" s="5"/>
      <c r="BB359" s="5"/>
      <c r="BC359" s="5"/>
      <c r="BD359" s="6"/>
      <c r="BE359" s="6"/>
      <c r="BF359" s="12"/>
      <c r="BG359" s="12"/>
      <c r="BH359" s="12"/>
      <c r="BI359" s="12"/>
      <c r="BJ359" s="12"/>
    </row>
    <row r="360" spans="2:62" x14ac:dyDescent="0.25">
      <c r="B360" s="1" t="s">
        <v>2489</v>
      </c>
      <c r="C360" s="1" t="s">
        <v>2490</v>
      </c>
      <c r="D360" s="1" t="s">
        <v>1772</v>
      </c>
      <c r="E360" s="1" t="s">
        <v>2497</v>
      </c>
      <c r="F360" s="7" t="s">
        <v>2498</v>
      </c>
      <c r="G360" s="1" t="s">
        <v>2499</v>
      </c>
      <c r="H360" s="1" t="s">
        <v>2500</v>
      </c>
      <c r="I360" s="7" t="s">
        <v>2298</v>
      </c>
      <c r="J360" s="44">
        <v>1</v>
      </c>
      <c r="K360" s="45">
        <v>1</v>
      </c>
      <c r="L360" s="1" t="s">
        <v>2495</v>
      </c>
      <c r="M360" s="1" t="s">
        <v>2496</v>
      </c>
      <c r="N360" s="1" t="s">
        <v>1140</v>
      </c>
      <c r="O360" s="1" t="s">
        <v>1189</v>
      </c>
      <c r="P360" s="1" t="s">
        <v>1190</v>
      </c>
      <c r="Q360" s="44">
        <f>IF(L360="825",Multipliers!C397,"oops")</f>
        <v>0.82</v>
      </c>
      <c r="R360" s="44">
        <f>IF(M360="Casper",Multipliers!C166, "GOOF")</f>
        <v>0.93</v>
      </c>
      <c r="S360" s="46">
        <f t="shared" si="182"/>
        <v>332978.89240000001</v>
      </c>
      <c r="T360" s="46">
        <f t="shared" si="183"/>
        <v>363606.35010000004</v>
      </c>
      <c r="U360" s="46">
        <f t="shared" si="175"/>
        <v>359970.28659900004</v>
      </c>
      <c r="V360" s="46">
        <f t="shared" si="176"/>
        <v>346474.5894995</v>
      </c>
      <c r="W360" s="47">
        <f t="shared" si="174"/>
        <v>346474.5894995</v>
      </c>
      <c r="X360" s="47"/>
      <c r="Y360" s="48">
        <f t="shared" si="177"/>
        <v>276348.44275499997</v>
      </c>
      <c r="Z360" s="48">
        <f t="shared" si="178"/>
        <v>305504.12783099996</v>
      </c>
      <c r="AA360" s="48">
        <f>IF(N360="Standard",((($Z$5*Q360)+($AD$5*R360*$T$4))/2)*$O$7,IF(N360="Severe",((($AA$5*Q360)+($AE$5*R360*$T$4))/2)*$O$7,IF(N360="Hostile",((($AB$5*Q360)+($AF$5*R360*$T$4))/2)*$O$7)))</f>
        <v>342838.52599850006</v>
      </c>
      <c r="AB360" s="48">
        <f>IF(N360="Standard",((($Z$6*Q360)+($AD$6*R360*$T$4))/2)*$O$7,IF(N360="Severe",((($AA$6*Q360)+($AE$6*R360*$T$4))/2)*$O$7,IF(N360="Hostile",((($AB$6*Q360)+($AF$6*R360*$T$4))/2)*$O$7)))</f>
        <v>371441.71540700004</v>
      </c>
      <c r="AC360" s="48">
        <f>IF(N360="Standard",((($Z$7*Q360)+($AD$7*R360*$T$4))/2)*$O$7,IF(N360="Severe",((($AA$7*Q360)+($AE$7*R360*$T$4))/2)*$O$7,IF(N360="Hostile",((($AB$7*Q360)+($AF$7*R360*$T$4))/2)*$O$7)))</f>
        <v>400439.36176300002</v>
      </c>
      <c r="AD360" s="1"/>
      <c r="AE360" s="1"/>
      <c r="AF360" s="1"/>
      <c r="AI360" s="9"/>
      <c r="AJ360" s="1"/>
      <c r="AK360" s="1"/>
      <c r="AL360" s="1"/>
      <c r="AM360" s="1"/>
      <c r="AN360" s="1"/>
      <c r="AO360" s="1"/>
      <c r="AP360" s="9"/>
      <c r="AQ360" s="3"/>
      <c r="AR360" s="4"/>
      <c r="AS360" s="1"/>
      <c r="AT360" s="1"/>
      <c r="AU360" s="1"/>
      <c r="AV360" s="1"/>
      <c r="AW360" s="1"/>
      <c r="AX360" s="3"/>
      <c r="AY360" s="3"/>
      <c r="AZ360" s="5"/>
      <c r="BA360" s="5"/>
      <c r="BB360" s="5"/>
      <c r="BC360" s="5"/>
      <c r="BD360" s="6"/>
      <c r="BE360" s="6"/>
      <c r="BF360" s="12"/>
      <c r="BG360" s="12"/>
      <c r="BH360" s="12"/>
      <c r="BI360" s="12"/>
      <c r="BJ360" s="12"/>
    </row>
    <row r="361" spans="2:62" x14ac:dyDescent="0.25">
      <c r="B361" s="1" t="s">
        <v>2501</v>
      </c>
      <c r="C361" s="1" t="s">
        <v>2502</v>
      </c>
      <c r="D361" s="1" t="s">
        <v>1190</v>
      </c>
      <c r="E361" s="1" t="s">
        <v>2503</v>
      </c>
      <c r="F361" s="1" t="s">
        <v>2504</v>
      </c>
      <c r="G361" s="1" t="s">
        <v>2505</v>
      </c>
      <c r="H361" s="1" t="s">
        <v>2506</v>
      </c>
      <c r="I361" s="1" t="s">
        <v>2507</v>
      </c>
      <c r="J361" s="44">
        <v>1</v>
      </c>
      <c r="K361" s="45">
        <v>1</v>
      </c>
      <c r="L361" s="1" t="s">
        <v>2508</v>
      </c>
      <c r="M361" s="1" t="s">
        <v>2509</v>
      </c>
      <c r="N361" s="1" t="s">
        <v>1140</v>
      </c>
      <c r="O361" s="1" t="s">
        <v>1189</v>
      </c>
      <c r="P361" s="1" t="s">
        <v>1190</v>
      </c>
      <c r="Q361" s="44">
        <f>IF(L361="838",Multipliers!C231,"oops")</f>
        <v>0.99</v>
      </c>
      <c r="R361" s="44">
        <f>IF(M361="IDAHO",Multipliers!C44, "GOOF")</f>
        <v>0.98</v>
      </c>
      <c r="S361" s="46">
        <f t="shared" si="182"/>
        <v>402011.10180000006</v>
      </c>
      <c r="T361" s="46">
        <f t="shared" si="183"/>
        <v>383155.07860000001</v>
      </c>
      <c r="U361" s="46">
        <f t="shared" si="175"/>
        <v>379323.52781400003</v>
      </c>
      <c r="V361" s="46">
        <f t="shared" si="176"/>
        <v>390667.31480700005</v>
      </c>
      <c r="W361" s="47">
        <f t="shared" si="174"/>
        <v>390667.31480700005</v>
      </c>
      <c r="X361" s="47"/>
      <c r="Y361" s="48">
        <f t="shared" si="177"/>
        <v>312308.59968000004</v>
      </c>
      <c r="Z361" s="48">
        <f t="shared" si="178"/>
        <v>344917.64676600002</v>
      </c>
      <c r="AA361" s="48">
        <f t="shared" ref="AA361:AA401" si="184">IF(N361="Standard",((($Z$5*Q361)+($AD$5*R361*$T$5))/2)*$O$7,IF(N361="Severe",((($AA$5*Q361)+($AE$5*R361*$T$5))/2)*$O$7,IF(N361="Hostile",((($AB$5*Q361)+($AF$5*R361*$T$5))/2)*$O$7)))</f>
        <v>390667.31480700005</v>
      </c>
      <c r="AB361" s="48">
        <f t="shared" ref="AB361:AB401" si="185">IF(N361="Standard",((($Z$6*Q361)+($AD$6*R361*$T$5))/2)*$O$7,IF(N361="Severe",((($AA$6*Q361)+($AE$6*R361*$T$5))/2)*$O$7,IF(N361="Hostile",((($AB$6*Q361)+($AF$6*R361*$T$5))/2)*$O$7)))</f>
        <v>423026.04128400004</v>
      </c>
      <c r="AC361" s="48">
        <f t="shared" ref="AC361:AC401" si="186">IF(N361="Standard",((($Z$7*Q361)+($AD$7*R361*$T$5))/2)*$O$7,IF(N361="Severe",((($AA$7*Q361)+($AE$7*R361*$T$5))/2)*$O$7,IF(N361="Hostile",((($AB$7*Q361)+($AF$7*R361*$T$5))/2)*$O$7)))</f>
        <v>456009.65625599999</v>
      </c>
      <c r="AD361" s="1"/>
      <c r="AE361" s="1"/>
      <c r="AF361" s="1"/>
      <c r="AI361" s="9"/>
      <c r="AJ361" s="1"/>
      <c r="AK361" s="1"/>
      <c r="AL361" s="1"/>
      <c r="AM361" s="1"/>
      <c r="AN361" s="1"/>
      <c r="AO361" s="1"/>
      <c r="AP361" s="9"/>
      <c r="AQ361" s="3"/>
      <c r="AR361" s="4"/>
      <c r="AS361" s="7"/>
      <c r="AT361" s="1"/>
      <c r="AU361" s="1"/>
      <c r="AV361" s="1"/>
      <c r="AW361" s="1"/>
      <c r="AX361" s="3"/>
      <c r="AY361" s="3"/>
      <c r="AZ361" s="5"/>
      <c r="BA361" s="5"/>
      <c r="BB361" s="5"/>
      <c r="BC361" s="5"/>
      <c r="BD361" s="6"/>
      <c r="BE361" s="6"/>
      <c r="BF361" s="12"/>
      <c r="BG361" s="12"/>
      <c r="BH361" s="12"/>
      <c r="BI361" s="12"/>
      <c r="BJ361" s="12"/>
    </row>
    <row r="362" spans="2:62" x14ac:dyDescent="0.25">
      <c r="B362" s="1" t="s">
        <v>2501</v>
      </c>
      <c r="C362" s="1" t="s">
        <v>2510</v>
      </c>
      <c r="D362" s="1" t="s">
        <v>1190</v>
      </c>
      <c r="E362" s="1" t="s">
        <v>2511</v>
      </c>
      <c r="F362" s="1" t="s">
        <v>2512</v>
      </c>
      <c r="G362" s="1" t="s">
        <v>2513</v>
      </c>
      <c r="H362" s="1" t="s">
        <v>2514</v>
      </c>
      <c r="I362" s="1" t="s">
        <v>2507</v>
      </c>
      <c r="J362" s="44">
        <v>1</v>
      </c>
      <c r="K362" s="45">
        <v>1</v>
      </c>
      <c r="L362" s="1" t="s">
        <v>2515</v>
      </c>
      <c r="M362" s="1" t="s">
        <v>2516</v>
      </c>
      <c r="N362" s="1" t="s">
        <v>1140</v>
      </c>
      <c r="O362" s="1" t="s">
        <v>1189</v>
      </c>
      <c r="P362" s="1" t="s">
        <v>1190</v>
      </c>
      <c r="Q362" s="44">
        <f>IF(L362="832",Multipliers!C229,"oops")</f>
        <v>0.89</v>
      </c>
      <c r="R362" s="44">
        <f>IF(M362="Pocatello",Multipliers!C45, "GOOF")</f>
        <v>0.96</v>
      </c>
      <c r="S362" s="46">
        <f t="shared" si="182"/>
        <v>361403.91980000003</v>
      </c>
      <c r="T362" s="46">
        <f t="shared" si="183"/>
        <v>375335.58720000001</v>
      </c>
      <c r="U362" s="46">
        <f t="shared" si="175"/>
        <v>371582.23132800002</v>
      </c>
      <c r="V362" s="46">
        <f t="shared" si="176"/>
        <v>366493.07556400006</v>
      </c>
      <c r="W362" s="47">
        <f t="shared" si="174"/>
        <v>366493.07556400006</v>
      </c>
      <c r="X362" s="47"/>
      <c r="Y362" s="48">
        <f t="shared" si="177"/>
        <v>292561.45611000003</v>
      </c>
      <c r="Z362" s="48">
        <f t="shared" si="178"/>
        <v>323309.884632</v>
      </c>
      <c r="AA362" s="48">
        <f t="shared" si="184"/>
        <v>366493.075564</v>
      </c>
      <c r="AB362" s="48">
        <f t="shared" si="185"/>
        <v>397013.08271800005</v>
      </c>
      <c r="AC362" s="48">
        <f t="shared" si="186"/>
        <v>427997.10636199999</v>
      </c>
      <c r="AD362" s="1"/>
      <c r="AE362" s="1"/>
      <c r="AF362" s="1"/>
      <c r="AI362" s="9"/>
      <c r="AJ362" s="1"/>
      <c r="AK362" s="1"/>
      <c r="AL362" s="1"/>
      <c r="AM362" s="1"/>
      <c r="AN362" s="1"/>
      <c r="AO362" s="1"/>
      <c r="AP362" s="9"/>
      <c r="AQ362" s="3"/>
      <c r="AR362" s="4"/>
      <c r="AS362" s="1"/>
      <c r="AT362" s="1"/>
      <c r="AU362" s="1"/>
      <c r="AV362" s="1"/>
      <c r="AW362" s="1"/>
      <c r="AX362" s="3"/>
      <c r="AY362" s="3"/>
      <c r="AZ362" s="5"/>
      <c r="BA362" s="5"/>
      <c r="BB362" s="5"/>
      <c r="BC362" s="5"/>
      <c r="BD362" s="6"/>
      <c r="BE362" s="6"/>
      <c r="BF362" s="12"/>
      <c r="BG362" s="12"/>
      <c r="BH362" s="12"/>
      <c r="BI362" s="12"/>
      <c r="BJ362" s="12"/>
    </row>
    <row r="363" spans="2:62" x14ac:dyDescent="0.25">
      <c r="B363" s="1" t="s">
        <v>2501</v>
      </c>
      <c r="C363" s="1" t="s">
        <v>2517</v>
      </c>
      <c r="D363" s="1" t="s">
        <v>1190</v>
      </c>
      <c r="E363" s="1" t="s">
        <v>2518</v>
      </c>
      <c r="F363" s="1" t="s">
        <v>2519</v>
      </c>
      <c r="G363" s="1" t="s">
        <v>2505</v>
      </c>
      <c r="H363" s="1" t="s">
        <v>2506</v>
      </c>
      <c r="I363" s="1" t="s">
        <v>2507</v>
      </c>
      <c r="J363" s="44">
        <v>1</v>
      </c>
      <c r="K363" s="45">
        <v>1</v>
      </c>
      <c r="L363" s="1" t="s">
        <v>2508</v>
      </c>
      <c r="M363" s="1" t="s">
        <v>2509</v>
      </c>
      <c r="N363" s="1" t="s">
        <v>1140</v>
      </c>
      <c r="O363" s="1" t="s">
        <v>1189</v>
      </c>
      <c r="P363" s="1" t="s">
        <v>1190</v>
      </c>
      <c r="Q363" s="44">
        <f>IF(L363="838",Multipliers!C231,"oops")</f>
        <v>0.99</v>
      </c>
      <c r="R363" s="44">
        <f>IF(M363="IDAHO",Multipliers!C44, "GOOF")</f>
        <v>0.98</v>
      </c>
      <c r="S363" s="46">
        <f t="shared" ref="S363:S417" si="187">IF(N363="Standard",$O$5*Q363*$O$7,IF(N363="Severe",$O$4*Q363*$O$7,IF(N363="Hostile",$O$3*Q363*$O$7)))</f>
        <v>402011.10180000006</v>
      </c>
      <c r="T363" s="46">
        <f t="shared" ref="T363:T417" si="188">IF(N363="Standard",$P$5*R363*$O$7,IF(N363="Severe",$P$4*R363*$O$7,IF(N363="Hostile",$P$3*R363*$O$7)))</f>
        <v>383155.07860000001</v>
      </c>
      <c r="U363" s="46">
        <f t="shared" si="175"/>
        <v>379323.52781400003</v>
      </c>
      <c r="V363" s="46">
        <f t="shared" si="176"/>
        <v>390667.31480700005</v>
      </c>
      <c r="W363" s="47">
        <f t="shared" si="174"/>
        <v>390667.31480700005</v>
      </c>
      <c r="X363" s="47"/>
      <c r="Y363" s="48">
        <f t="shared" si="177"/>
        <v>312308.59968000004</v>
      </c>
      <c r="Z363" s="48">
        <f t="shared" si="178"/>
        <v>344917.64676600002</v>
      </c>
      <c r="AA363" s="48">
        <f t="shared" si="184"/>
        <v>390667.31480700005</v>
      </c>
      <c r="AB363" s="48">
        <f t="shared" si="185"/>
        <v>423026.04128400004</v>
      </c>
      <c r="AC363" s="48">
        <f t="shared" si="186"/>
        <v>456009.65625599999</v>
      </c>
      <c r="AD363" s="1"/>
      <c r="AE363" s="1"/>
      <c r="AF363" s="1"/>
      <c r="AI363" s="9"/>
      <c r="AJ363" s="1"/>
      <c r="AK363" s="1"/>
      <c r="AL363" s="1"/>
      <c r="AM363" s="1"/>
      <c r="AN363" s="1"/>
      <c r="AO363" s="1"/>
      <c r="AP363" s="9"/>
      <c r="AQ363" s="3"/>
      <c r="AR363" s="4"/>
      <c r="AS363" s="1"/>
      <c r="AT363" s="1"/>
      <c r="AU363" s="1"/>
      <c r="AV363" s="1"/>
      <c r="AW363" s="1"/>
      <c r="AX363" s="3"/>
      <c r="AY363" s="3"/>
      <c r="AZ363" s="5"/>
      <c r="BA363" s="5"/>
      <c r="BB363" s="5"/>
      <c r="BC363" s="5"/>
      <c r="BD363" s="6"/>
      <c r="BE363" s="6"/>
      <c r="BF363" s="12"/>
      <c r="BG363" s="12"/>
      <c r="BH363" s="12"/>
      <c r="BI363" s="12"/>
      <c r="BJ363" s="12"/>
    </row>
    <row r="364" spans="2:62" x14ac:dyDescent="0.25">
      <c r="B364" s="1" t="s">
        <v>2501</v>
      </c>
      <c r="C364" s="1" t="s">
        <v>2520</v>
      </c>
      <c r="D364" s="1" t="s">
        <v>1190</v>
      </c>
      <c r="E364" s="1" t="s">
        <v>2521</v>
      </c>
      <c r="F364" s="1" t="s">
        <v>2522</v>
      </c>
      <c r="G364" s="1" t="s">
        <v>2523</v>
      </c>
      <c r="H364" s="1" t="s">
        <v>2524</v>
      </c>
      <c r="I364" s="1" t="s">
        <v>2507</v>
      </c>
      <c r="J364" s="44">
        <v>1</v>
      </c>
      <c r="K364" s="45">
        <v>1</v>
      </c>
      <c r="L364" s="1" t="s">
        <v>2525</v>
      </c>
      <c r="M364" s="1" t="s">
        <v>2509</v>
      </c>
      <c r="N364" s="1" t="s">
        <v>1140</v>
      </c>
      <c r="O364" s="1" t="s">
        <v>1189</v>
      </c>
      <c r="P364" s="1" t="s">
        <v>1190</v>
      </c>
      <c r="Q364" s="44">
        <f>IF(L364="835",Multipliers!C230,"oops")</f>
        <v>0.98</v>
      </c>
      <c r="R364" s="44">
        <f>IF(M364="IDAHO",Multipliers!C44, "GOOF")</f>
        <v>0.98</v>
      </c>
      <c r="S364" s="46">
        <f t="shared" ref="S364:S373" si="189">IF(N364="Standard",$O$5*Q364*$O$7,IF(N364="Severe",$O$4*Q364*$O$7,IF(N364="Hostile",$O$3*Q364*$O$7)))</f>
        <v>397950.38360000006</v>
      </c>
      <c r="T364" s="46">
        <f t="shared" ref="T364:T373" si="190">IF(N364="Standard",$P$5*R364*$O$7,IF(N364="Severe",$P$4*R364*$O$7,IF(N364="Hostile",$P$3*R364*$O$7)))</f>
        <v>383155.07860000001</v>
      </c>
      <c r="U364" s="46">
        <f t="shared" si="175"/>
        <v>379323.52781400003</v>
      </c>
      <c r="V364" s="46">
        <f t="shared" si="176"/>
        <v>388636.95570700004</v>
      </c>
      <c r="W364" s="47">
        <f t="shared" si="174"/>
        <v>388636.95570700004</v>
      </c>
      <c r="X364" s="47"/>
      <c r="Y364" s="48">
        <f t="shared" si="177"/>
        <v>310632.63692999998</v>
      </c>
      <c r="Z364" s="48">
        <f t="shared" si="178"/>
        <v>343091.91096599994</v>
      </c>
      <c r="AA364" s="48">
        <f t="shared" si="184"/>
        <v>388636.95570699999</v>
      </c>
      <c r="AB364" s="48">
        <f t="shared" si="185"/>
        <v>420848.01333399996</v>
      </c>
      <c r="AC364" s="48">
        <f t="shared" si="186"/>
        <v>453665.39720599999</v>
      </c>
      <c r="AD364" s="1"/>
      <c r="AE364" s="1"/>
      <c r="AF364" s="1"/>
      <c r="AI364" s="9"/>
      <c r="AJ364" s="1"/>
      <c r="AK364" s="1"/>
      <c r="AL364" s="1"/>
      <c r="AM364" s="1"/>
      <c r="AN364" s="1"/>
      <c r="AO364" s="1"/>
      <c r="AP364" s="9"/>
      <c r="AQ364" s="3"/>
      <c r="AR364" s="4"/>
      <c r="AS364" s="7"/>
      <c r="AT364" s="1"/>
      <c r="AU364" s="1"/>
      <c r="AV364" s="1"/>
      <c r="AW364" s="1"/>
      <c r="AX364" s="3"/>
      <c r="AY364" s="3"/>
      <c r="AZ364" s="5"/>
      <c r="BA364" s="5"/>
      <c r="BB364" s="5"/>
      <c r="BC364" s="5"/>
      <c r="BD364" s="6"/>
      <c r="BE364" s="6"/>
      <c r="BF364" s="12"/>
      <c r="BG364" s="12"/>
      <c r="BH364" s="12"/>
      <c r="BI364" s="12"/>
      <c r="BJ364" s="12"/>
    </row>
    <row r="365" spans="2:62" x14ac:dyDescent="0.25">
      <c r="B365" s="1" t="s">
        <v>2526</v>
      </c>
      <c r="C365" s="1" t="s">
        <v>2527</v>
      </c>
      <c r="D365" s="1" t="s">
        <v>1190</v>
      </c>
      <c r="E365" s="1" t="s">
        <v>2528</v>
      </c>
      <c r="F365" s="7" t="s">
        <v>2529</v>
      </c>
      <c r="G365" s="1" t="s">
        <v>2530</v>
      </c>
      <c r="H365" s="1" t="s">
        <v>2531</v>
      </c>
      <c r="I365" s="1" t="s">
        <v>2507</v>
      </c>
      <c r="J365" s="44">
        <v>1</v>
      </c>
      <c r="K365" s="45">
        <v>1</v>
      </c>
      <c r="L365" s="1" t="s">
        <v>2532</v>
      </c>
      <c r="M365" s="1" t="s">
        <v>2533</v>
      </c>
      <c r="N365" s="1" t="s">
        <v>1140</v>
      </c>
      <c r="O365" s="1" t="s">
        <v>1189</v>
      </c>
      <c r="P365" s="1" t="s">
        <v>1190</v>
      </c>
      <c r="Q365" s="44">
        <f>IF(L365="977",Multipliers!C346,"oops")</f>
        <v>1.01</v>
      </c>
      <c r="R365" s="44">
        <f>IF(M365="Klamath Falls",Multipliers!C127, "GOOF")</f>
        <v>1.03</v>
      </c>
      <c r="S365" s="46">
        <f t="shared" si="189"/>
        <v>410132.53820000007</v>
      </c>
      <c r="T365" s="46">
        <f t="shared" si="190"/>
        <v>402703.80710000003</v>
      </c>
      <c r="U365" s="46">
        <f t="shared" ref="U365:U380" si="191">IF(O365="E",$T$3*T365,IF(O365="C",$T$4*T365,IF(O365="W",$T$5*T365,1)))</f>
        <v>398676.76902900002</v>
      </c>
      <c r="V365" s="46">
        <f t="shared" ref="V365:V380" si="192">(S365+U365)/2</f>
        <v>404404.65361450007</v>
      </c>
      <c r="W365" s="47">
        <f t="shared" si="174"/>
        <v>404404.65361450007</v>
      </c>
      <c r="X365" s="47"/>
      <c r="Y365" s="48">
        <f t="shared" ref="Y365:Y380" si="193">IF(N365="Standard",(((($Z$3*Q365)+($AD$3*R365*$T$5))/2)*$O$7),IF(N365="Severe",(((($AA$3*Q365)+($AE$3*R365*$T$5))/2)*$O$7),IF(N365="Hostile",(((($AB$3*Q365)+($AF$3*R365*$T$5))/2)*$O$7))))</f>
        <v>323129.31535499997</v>
      </c>
      <c r="Z365" s="48">
        <f t="shared" ref="Z365:Z380" si="194">IF(N365="Standard",(((($Z$4*Q365)+($AD$4*R365*$T$5))/2)*$O$7),IF(N365="Severe",(((($AA$4*Q365)+($AE$4*R365*$T$5))/2)*$O$7),IF(N365="Hostile",(((($AB$4*Q365)+($AF$4*R365*$T$5))/2)*$O$7))))</f>
        <v>356945.12870099995</v>
      </c>
      <c r="AA365" s="48">
        <f t="shared" si="184"/>
        <v>404404.65361450007</v>
      </c>
      <c r="AB365" s="48">
        <f t="shared" si="185"/>
        <v>437963.79484900006</v>
      </c>
      <c r="AC365" s="48">
        <f t="shared" si="186"/>
        <v>472123.07284099999</v>
      </c>
      <c r="AD365" s="1"/>
      <c r="AE365" s="1"/>
      <c r="AF365" s="1"/>
      <c r="AI365" s="9"/>
      <c r="AJ365" s="1"/>
      <c r="AK365" s="1"/>
      <c r="AL365" s="1"/>
      <c r="AM365" s="1"/>
      <c r="AN365" s="1"/>
      <c r="AO365" s="1"/>
      <c r="AP365" s="9"/>
      <c r="AQ365" s="3"/>
      <c r="AR365" s="4"/>
      <c r="AS365" s="1"/>
      <c r="AT365" s="1"/>
      <c r="AU365" s="1"/>
      <c r="AV365" s="1"/>
      <c r="AW365" s="1"/>
      <c r="AX365" s="3"/>
      <c r="AY365" s="3"/>
      <c r="AZ365" s="5"/>
      <c r="BA365" s="5"/>
      <c r="BB365" s="5"/>
      <c r="BC365" s="5"/>
      <c r="BD365" s="6"/>
      <c r="BE365" s="6"/>
      <c r="BF365" s="12"/>
      <c r="BG365" s="12"/>
      <c r="BH365" s="12"/>
      <c r="BI365" s="12"/>
      <c r="BJ365" s="12"/>
    </row>
    <row r="366" spans="2:62" x14ac:dyDescent="0.25">
      <c r="B366" s="1" t="s">
        <v>2526</v>
      </c>
      <c r="C366" s="1" t="s">
        <v>2534</v>
      </c>
      <c r="D366" s="1" t="s">
        <v>1190</v>
      </c>
      <c r="E366" s="1" t="s">
        <v>2535</v>
      </c>
      <c r="F366" s="1" t="s">
        <v>2536</v>
      </c>
      <c r="G366" s="1" t="s">
        <v>2537</v>
      </c>
      <c r="H366" s="1" t="s">
        <v>2538</v>
      </c>
      <c r="I366" s="1" t="s">
        <v>2507</v>
      </c>
      <c r="J366" s="44">
        <v>1</v>
      </c>
      <c r="K366" s="45">
        <v>1</v>
      </c>
      <c r="L366" s="1" t="s">
        <v>2539</v>
      </c>
      <c r="M366" s="1" t="s">
        <v>2540</v>
      </c>
      <c r="N366" s="1" t="s">
        <v>1140</v>
      </c>
      <c r="O366" s="1" t="s">
        <v>1189</v>
      </c>
      <c r="P366" s="1" t="s">
        <v>1190</v>
      </c>
      <c r="Q366" s="44">
        <f>IF(L366="974",Multipliers!C344,"oops")</f>
        <v>0.99</v>
      </c>
      <c r="R366" s="44">
        <f>IF(M366="Eugene",Multipliers!C126, "GOOF")</f>
        <v>1.08</v>
      </c>
      <c r="S366" s="46">
        <f t="shared" si="189"/>
        <v>402011.10180000006</v>
      </c>
      <c r="T366" s="46">
        <f t="shared" si="190"/>
        <v>422252.53560000006</v>
      </c>
      <c r="U366" s="46">
        <f t="shared" si="191"/>
        <v>418030.01024400006</v>
      </c>
      <c r="V366" s="46">
        <f t="shared" si="192"/>
        <v>410020.55602200003</v>
      </c>
      <c r="W366" s="47">
        <f t="shared" si="174"/>
        <v>410020.55602200003</v>
      </c>
      <c r="X366" s="47"/>
      <c r="Y366" s="48">
        <f t="shared" si="193"/>
        <v>327246.18002999999</v>
      </c>
      <c r="Z366" s="48">
        <f t="shared" si="194"/>
        <v>361669.66743600002</v>
      </c>
      <c r="AA366" s="48">
        <f t="shared" si="184"/>
        <v>410020.55602200009</v>
      </c>
      <c r="AB366" s="48">
        <f t="shared" si="185"/>
        <v>444189.43661400006</v>
      </c>
      <c r="AC366" s="48">
        <f t="shared" si="186"/>
        <v>478859.45322600007</v>
      </c>
      <c r="AD366" s="1"/>
      <c r="AE366" s="1"/>
      <c r="AF366" s="1"/>
      <c r="AI366" s="9"/>
      <c r="AJ366" s="1"/>
      <c r="AK366" s="1"/>
      <c r="AL366" s="1"/>
      <c r="AM366" s="1"/>
      <c r="AN366" s="1"/>
      <c r="AO366" s="1"/>
      <c r="AP366" s="9"/>
      <c r="AQ366" s="3"/>
      <c r="AR366" s="4"/>
      <c r="AS366" s="1"/>
      <c r="AT366" s="1"/>
      <c r="AU366" s="1"/>
      <c r="AV366" s="1"/>
      <c r="AW366" s="1"/>
      <c r="AX366" s="3"/>
      <c r="AY366" s="3"/>
      <c r="AZ366" s="5"/>
      <c r="BA366" s="5"/>
      <c r="BB366" s="5"/>
      <c r="BC366" s="5"/>
      <c r="BD366" s="6"/>
      <c r="BE366" s="6"/>
      <c r="BF366" s="12"/>
      <c r="BG366" s="12"/>
      <c r="BH366" s="12"/>
      <c r="BI366" s="12"/>
      <c r="BJ366" s="12"/>
    </row>
    <row r="367" spans="2:62" x14ac:dyDescent="0.25">
      <c r="B367" s="1" t="s">
        <v>2526</v>
      </c>
      <c r="C367" s="1" t="s">
        <v>2541</v>
      </c>
      <c r="D367" s="1" t="s">
        <v>1190</v>
      </c>
      <c r="E367" s="1" t="s">
        <v>2542</v>
      </c>
      <c r="F367" s="1" t="s">
        <v>2543</v>
      </c>
      <c r="G367" s="1" t="s">
        <v>2544</v>
      </c>
      <c r="H367" s="1" t="s">
        <v>2545</v>
      </c>
      <c r="I367" s="1" t="s">
        <v>2507</v>
      </c>
      <c r="J367" s="44">
        <v>1</v>
      </c>
      <c r="K367" s="45">
        <v>1</v>
      </c>
      <c r="L367" s="1" t="s">
        <v>2539</v>
      </c>
      <c r="M367" s="1" t="s">
        <v>2540</v>
      </c>
      <c r="N367" s="1" t="s">
        <v>1140</v>
      </c>
      <c r="O367" s="1" t="s">
        <v>1189</v>
      </c>
      <c r="P367" s="1" t="s">
        <v>1190</v>
      </c>
      <c r="Q367" s="44">
        <f>IF(L367="974",Multipliers!C344,"oops")</f>
        <v>0.99</v>
      </c>
      <c r="R367" s="44">
        <f>IF(M367="Eugene",Multipliers!C126, "GOOF")</f>
        <v>1.08</v>
      </c>
      <c r="S367" s="46">
        <f t="shared" si="189"/>
        <v>402011.10180000006</v>
      </c>
      <c r="T367" s="46">
        <f t="shared" si="190"/>
        <v>422252.53560000006</v>
      </c>
      <c r="U367" s="46">
        <f t="shared" si="191"/>
        <v>418030.01024400006</v>
      </c>
      <c r="V367" s="46">
        <f t="shared" si="192"/>
        <v>410020.55602200003</v>
      </c>
      <c r="W367" s="47">
        <f t="shared" si="174"/>
        <v>410020.55602200003</v>
      </c>
      <c r="X367" s="47"/>
      <c r="Y367" s="48">
        <f t="shared" si="193"/>
        <v>327246.18002999999</v>
      </c>
      <c r="Z367" s="48">
        <f t="shared" si="194"/>
        <v>361669.66743600002</v>
      </c>
      <c r="AA367" s="48">
        <f t="shared" si="184"/>
        <v>410020.55602200009</v>
      </c>
      <c r="AB367" s="48">
        <f t="shared" si="185"/>
        <v>444189.43661400006</v>
      </c>
      <c r="AC367" s="48">
        <f t="shared" si="186"/>
        <v>478859.45322600007</v>
      </c>
      <c r="AD367" s="1"/>
      <c r="AE367" s="1"/>
      <c r="AF367" s="1"/>
      <c r="AI367" s="9"/>
      <c r="AJ367" s="1"/>
      <c r="AK367" s="1"/>
      <c r="AL367" s="1"/>
      <c r="AM367" s="1"/>
      <c r="AN367" s="1"/>
      <c r="AO367" s="1"/>
      <c r="AP367" s="9"/>
      <c r="AQ367" s="3"/>
      <c r="AR367" s="4"/>
      <c r="AS367" s="1"/>
      <c r="AT367" s="1"/>
      <c r="AU367" s="1"/>
      <c r="AV367" s="1"/>
      <c r="AW367" s="1"/>
      <c r="AX367" s="3"/>
      <c r="AY367" s="3"/>
      <c r="AZ367" s="5"/>
      <c r="BA367" s="5"/>
      <c r="BB367" s="5"/>
      <c r="BC367" s="5"/>
      <c r="BD367" s="6"/>
      <c r="BE367" s="6"/>
      <c r="BF367" s="12"/>
      <c r="BG367" s="12"/>
      <c r="BH367" s="12"/>
      <c r="BI367" s="12"/>
      <c r="BJ367" s="12"/>
    </row>
    <row r="368" spans="2:62" x14ac:dyDescent="0.25">
      <c r="B368" s="1" t="s">
        <v>2526</v>
      </c>
      <c r="C368" s="1" t="s">
        <v>2546</v>
      </c>
      <c r="D368" s="1" t="s">
        <v>1190</v>
      </c>
      <c r="E368" s="1" t="s">
        <v>2547</v>
      </c>
      <c r="F368" s="1" t="s">
        <v>2548</v>
      </c>
      <c r="G368" s="1" t="s">
        <v>1190</v>
      </c>
      <c r="H368" s="1" t="s">
        <v>1190</v>
      </c>
      <c r="I368" s="1" t="s">
        <v>2507</v>
      </c>
      <c r="J368" s="44">
        <v>1</v>
      </c>
      <c r="K368" s="45">
        <v>1</v>
      </c>
      <c r="L368" s="1" t="s">
        <v>2539</v>
      </c>
      <c r="M368" s="1" t="s">
        <v>2540</v>
      </c>
      <c r="N368" s="1" t="s">
        <v>1140</v>
      </c>
      <c r="O368" s="1" t="s">
        <v>1189</v>
      </c>
      <c r="P368" s="1" t="s">
        <v>1190</v>
      </c>
      <c r="Q368" s="44">
        <f>IF(L368="974",Multipliers!C344,"oops")</f>
        <v>0.99</v>
      </c>
      <c r="R368" s="44">
        <f>IF(M368="Eugene",Multipliers!C126, "GOOF")</f>
        <v>1.08</v>
      </c>
      <c r="S368" s="46">
        <f t="shared" si="189"/>
        <v>402011.10180000006</v>
      </c>
      <c r="T368" s="46">
        <f t="shared" si="190"/>
        <v>422252.53560000006</v>
      </c>
      <c r="U368" s="46">
        <f t="shared" si="191"/>
        <v>418030.01024400006</v>
      </c>
      <c r="V368" s="46">
        <f t="shared" si="192"/>
        <v>410020.55602200003</v>
      </c>
      <c r="W368" s="47">
        <f t="shared" si="174"/>
        <v>410020.55602200003</v>
      </c>
      <c r="X368" s="47"/>
      <c r="Y368" s="48">
        <f t="shared" si="193"/>
        <v>327246.18002999999</v>
      </c>
      <c r="Z368" s="48">
        <f t="shared" si="194"/>
        <v>361669.66743600002</v>
      </c>
      <c r="AA368" s="48">
        <f t="shared" si="184"/>
        <v>410020.55602200009</v>
      </c>
      <c r="AB368" s="48">
        <f t="shared" si="185"/>
        <v>444189.43661400006</v>
      </c>
      <c r="AC368" s="48">
        <f t="shared" si="186"/>
        <v>478859.45322600007</v>
      </c>
      <c r="AD368" s="1"/>
      <c r="AE368" s="1"/>
      <c r="AF368" s="1"/>
      <c r="AI368" s="9"/>
      <c r="AJ368" s="1"/>
      <c r="AK368" s="1"/>
      <c r="AL368" s="1"/>
      <c r="AM368" s="1"/>
      <c r="AN368" s="1"/>
      <c r="AO368" s="1"/>
      <c r="AP368" s="9"/>
      <c r="AQ368" s="3"/>
      <c r="AR368" s="4"/>
      <c r="AS368" s="7"/>
      <c r="AT368" s="1"/>
      <c r="AU368" s="1"/>
      <c r="AV368" s="1"/>
      <c r="AW368" s="1"/>
      <c r="AX368" s="3"/>
      <c r="AY368" s="3"/>
      <c r="AZ368" s="5"/>
      <c r="BA368" s="5"/>
      <c r="BB368" s="5"/>
      <c r="BC368" s="5"/>
      <c r="BD368" s="6"/>
      <c r="BE368" s="6"/>
      <c r="BF368" s="12"/>
      <c r="BG368" s="12"/>
      <c r="BH368" s="12"/>
      <c r="BI368" s="12"/>
      <c r="BJ368" s="12"/>
    </row>
    <row r="369" spans="2:62" x14ac:dyDescent="0.25">
      <c r="B369" s="1" t="s">
        <v>2526</v>
      </c>
      <c r="C369" s="1" t="s">
        <v>2549</v>
      </c>
      <c r="D369" s="1" t="s">
        <v>1190</v>
      </c>
      <c r="E369" s="1" t="s">
        <v>2550</v>
      </c>
      <c r="F369" s="1" t="s">
        <v>2551</v>
      </c>
      <c r="G369" s="1" t="s">
        <v>2552</v>
      </c>
      <c r="H369" s="1" t="s">
        <v>2553</v>
      </c>
      <c r="I369" s="1" t="s">
        <v>2507</v>
      </c>
      <c r="J369" s="44">
        <v>1</v>
      </c>
      <c r="K369" s="45">
        <v>1</v>
      </c>
      <c r="L369" s="1" t="s">
        <v>2554</v>
      </c>
      <c r="M369" s="1" t="s">
        <v>2555</v>
      </c>
      <c r="N369" s="1" t="s">
        <v>1140</v>
      </c>
      <c r="O369" s="1" t="s">
        <v>1189</v>
      </c>
      <c r="P369" s="1" t="s">
        <v>1190</v>
      </c>
      <c r="Q369" s="44">
        <f>IF(L369="972",Multipliers!C343,"oops")</f>
        <v>1</v>
      </c>
      <c r="R369" s="44">
        <f>IF(M369="Portland",Multipliers!C128, "GOOF")</f>
        <v>1.0900000000000001</v>
      </c>
      <c r="S369" s="46">
        <f t="shared" si="189"/>
        <v>406071.82000000007</v>
      </c>
      <c r="T369" s="46">
        <f t="shared" si="190"/>
        <v>426162.28130000003</v>
      </c>
      <c r="U369" s="46">
        <f t="shared" si="191"/>
        <v>421900.65848700004</v>
      </c>
      <c r="V369" s="46">
        <f t="shared" si="192"/>
        <v>413986.23924350005</v>
      </c>
      <c r="W369" s="47">
        <f t="shared" si="174"/>
        <v>413986.23924350005</v>
      </c>
      <c r="X369" s="47"/>
      <c r="Y369" s="48">
        <f t="shared" si="193"/>
        <v>330415.900815</v>
      </c>
      <c r="Z369" s="48">
        <f t="shared" si="194"/>
        <v>365170.60530299996</v>
      </c>
      <c r="AA369" s="48">
        <f t="shared" si="184"/>
        <v>413986.23924350005</v>
      </c>
      <c r="AB369" s="48">
        <f t="shared" si="185"/>
        <v>448483.80409699999</v>
      </c>
      <c r="AC369" s="48">
        <f t="shared" si="186"/>
        <v>483488.69197300007</v>
      </c>
      <c r="AD369" s="1"/>
      <c r="AE369" s="1"/>
      <c r="AF369" s="1"/>
      <c r="AI369" s="9"/>
      <c r="AJ369" s="1"/>
      <c r="AK369" s="1"/>
      <c r="AL369" s="1"/>
      <c r="AM369" s="1"/>
      <c r="AN369" s="1"/>
      <c r="AO369" s="1"/>
      <c r="AP369" s="9"/>
      <c r="AQ369" s="3"/>
      <c r="AR369" s="4"/>
      <c r="AS369" s="1"/>
      <c r="AT369" s="1"/>
      <c r="AU369" s="1"/>
      <c r="AV369" s="1"/>
      <c r="AW369" s="1"/>
      <c r="AX369" s="3"/>
      <c r="AY369" s="3"/>
      <c r="AZ369" s="5"/>
      <c r="BA369" s="5"/>
      <c r="BB369" s="5"/>
      <c r="BC369" s="5"/>
      <c r="BD369" s="6"/>
      <c r="BE369" s="6"/>
      <c r="BF369" s="12"/>
      <c r="BG369" s="12"/>
      <c r="BH369" s="12"/>
      <c r="BI369" s="12"/>
      <c r="BJ369" s="12"/>
    </row>
    <row r="370" spans="2:62" x14ac:dyDescent="0.25">
      <c r="B370" s="1" t="s">
        <v>2526</v>
      </c>
      <c r="C370" s="1" t="s">
        <v>2556</v>
      </c>
      <c r="D370" s="1" t="s">
        <v>1190</v>
      </c>
      <c r="E370" s="1" t="s">
        <v>2557</v>
      </c>
      <c r="F370" s="1" t="s">
        <v>2558</v>
      </c>
      <c r="G370" s="1" t="s">
        <v>2559</v>
      </c>
      <c r="H370" s="1" t="s">
        <v>2560</v>
      </c>
      <c r="I370" s="1" t="s">
        <v>2507</v>
      </c>
      <c r="J370" s="44">
        <v>1</v>
      </c>
      <c r="K370" s="45">
        <v>1</v>
      </c>
      <c r="L370" s="1" t="s">
        <v>2561</v>
      </c>
      <c r="M370" s="1" t="s">
        <v>2533</v>
      </c>
      <c r="N370" s="1" t="s">
        <v>1140</v>
      </c>
      <c r="O370" s="1" t="s">
        <v>1189</v>
      </c>
      <c r="P370" s="1" t="s">
        <v>1190</v>
      </c>
      <c r="Q370" s="44">
        <f>IF(L370="976",Multipliers!C345,"oops")</f>
        <v>0.98</v>
      </c>
      <c r="R370" s="44">
        <f>IF(M370="Klamath Falls",Multipliers!C127, "GOOF")</f>
        <v>1.03</v>
      </c>
      <c r="S370" s="46">
        <f t="shared" si="189"/>
        <v>397950.38360000006</v>
      </c>
      <c r="T370" s="46">
        <f t="shared" si="190"/>
        <v>402703.80710000003</v>
      </c>
      <c r="U370" s="46">
        <f t="shared" si="191"/>
        <v>398676.76902900002</v>
      </c>
      <c r="V370" s="46">
        <f t="shared" si="192"/>
        <v>398313.57631450007</v>
      </c>
      <c r="W370" s="47">
        <f t="shared" si="174"/>
        <v>398313.57631450007</v>
      </c>
      <c r="X370" s="47"/>
      <c r="Y370" s="48">
        <f t="shared" si="193"/>
        <v>318101.42710500001</v>
      </c>
      <c r="Z370" s="48">
        <f t="shared" si="194"/>
        <v>351467.92130099999</v>
      </c>
      <c r="AA370" s="48">
        <f t="shared" si="184"/>
        <v>398313.57631450007</v>
      </c>
      <c r="AB370" s="48">
        <f t="shared" si="185"/>
        <v>431429.710999</v>
      </c>
      <c r="AC370" s="48">
        <f t="shared" si="186"/>
        <v>465090.29569099995</v>
      </c>
      <c r="AD370" s="1"/>
      <c r="AE370" s="1"/>
      <c r="AF370" s="1"/>
      <c r="AI370" s="9"/>
      <c r="AJ370" s="1"/>
      <c r="AK370" s="1"/>
      <c r="AL370" s="1"/>
      <c r="AM370" s="1"/>
      <c r="AN370" s="1"/>
      <c r="AO370" s="1"/>
      <c r="AP370" s="9"/>
      <c r="AQ370" s="3"/>
      <c r="AR370" s="4"/>
      <c r="AS370" s="1"/>
      <c r="AT370" s="1"/>
      <c r="AU370" s="1"/>
      <c r="AV370" s="1"/>
      <c r="AW370" s="1"/>
      <c r="AX370" s="3"/>
      <c r="AY370" s="3"/>
      <c r="AZ370" s="5"/>
      <c r="BA370" s="5"/>
      <c r="BB370" s="5"/>
      <c r="BC370" s="5"/>
      <c r="BD370" s="6"/>
      <c r="BE370" s="6"/>
      <c r="BF370" s="12"/>
      <c r="BG370" s="12"/>
      <c r="BH370" s="12"/>
      <c r="BI370" s="12"/>
      <c r="BJ370" s="12"/>
    </row>
    <row r="371" spans="2:62" x14ac:dyDescent="0.25">
      <c r="B371" s="1" t="s">
        <v>2526</v>
      </c>
      <c r="C371" s="1" t="s">
        <v>2562</v>
      </c>
      <c r="D371" s="1" t="s">
        <v>1190</v>
      </c>
      <c r="E371" s="1" t="s">
        <v>2563</v>
      </c>
      <c r="F371" s="1" t="s">
        <v>2564</v>
      </c>
      <c r="G371" s="1" t="s">
        <v>2565</v>
      </c>
      <c r="H371" s="1" t="s">
        <v>2566</v>
      </c>
      <c r="I371" s="1" t="s">
        <v>2507</v>
      </c>
      <c r="J371" s="44">
        <v>1</v>
      </c>
      <c r="K371" s="45">
        <v>1</v>
      </c>
      <c r="L371" s="1" t="s">
        <v>2554</v>
      </c>
      <c r="M371" s="1" t="s">
        <v>2555</v>
      </c>
      <c r="N371" s="1" t="s">
        <v>1140</v>
      </c>
      <c r="O371" s="1" t="s">
        <v>1189</v>
      </c>
      <c r="P371" s="1" t="s">
        <v>1190</v>
      </c>
      <c r="Q371" s="44">
        <f>IF(L371="972",Multipliers!C343,"oops")</f>
        <v>1</v>
      </c>
      <c r="R371" s="44">
        <f>IF(M371="Portland",Multipliers!C128, "GOOF")</f>
        <v>1.0900000000000001</v>
      </c>
      <c r="S371" s="46">
        <f t="shared" si="189"/>
        <v>406071.82000000007</v>
      </c>
      <c r="T371" s="46">
        <f t="shared" si="190"/>
        <v>426162.28130000003</v>
      </c>
      <c r="U371" s="46">
        <f t="shared" si="191"/>
        <v>421900.65848700004</v>
      </c>
      <c r="V371" s="46">
        <f t="shared" si="192"/>
        <v>413986.23924350005</v>
      </c>
      <c r="W371" s="47">
        <f t="shared" si="174"/>
        <v>413986.23924350005</v>
      </c>
      <c r="X371" s="47"/>
      <c r="Y371" s="48">
        <f t="shared" si="193"/>
        <v>330415.900815</v>
      </c>
      <c r="Z371" s="48">
        <f t="shared" si="194"/>
        <v>365170.60530299996</v>
      </c>
      <c r="AA371" s="48">
        <f t="shared" si="184"/>
        <v>413986.23924350005</v>
      </c>
      <c r="AB371" s="48">
        <f t="shared" si="185"/>
        <v>448483.80409699999</v>
      </c>
      <c r="AC371" s="48">
        <f t="shared" si="186"/>
        <v>483488.69197300007</v>
      </c>
      <c r="AD371" s="1"/>
      <c r="AE371" s="1"/>
      <c r="AF371" s="1"/>
      <c r="AI371" s="9"/>
      <c r="AJ371" s="1"/>
      <c r="AK371" s="1"/>
      <c r="AL371" s="1"/>
      <c r="AM371" s="1"/>
      <c r="AN371" s="1"/>
      <c r="AO371" s="1"/>
      <c r="AP371" s="9"/>
      <c r="AQ371" s="3"/>
      <c r="AR371" s="4"/>
      <c r="AS371" s="1"/>
      <c r="AT371" s="1"/>
      <c r="AU371" s="1"/>
      <c r="AV371" s="1"/>
      <c r="AW371" s="1"/>
      <c r="AX371" s="3"/>
      <c r="AY371" s="3"/>
      <c r="AZ371" s="5"/>
      <c r="BA371" s="5"/>
      <c r="BB371" s="5"/>
      <c r="BC371" s="5"/>
      <c r="BD371" s="6"/>
      <c r="BE371" s="6"/>
      <c r="BF371" s="12"/>
      <c r="BG371" s="12"/>
      <c r="BH371" s="12"/>
      <c r="BI371" s="12"/>
      <c r="BJ371" s="12"/>
    </row>
    <row r="372" spans="2:62" x14ac:dyDescent="0.25">
      <c r="B372" s="1" t="s">
        <v>2526</v>
      </c>
      <c r="C372" s="1" t="s">
        <v>2567</v>
      </c>
      <c r="D372" s="1" t="s">
        <v>1190</v>
      </c>
      <c r="E372" s="1" t="s">
        <v>2568</v>
      </c>
      <c r="F372" s="1" t="s">
        <v>2569</v>
      </c>
      <c r="G372" s="1" t="s">
        <v>2570</v>
      </c>
      <c r="H372" s="1" t="s">
        <v>2571</v>
      </c>
      <c r="I372" s="1" t="s">
        <v>2507</v>
      </c>
      <c r="J372" s="44">
        <v>1</v>
      </c>
      <c r="K372" s="45">
        <v>1</v>
      </c>
      <c r="L372" s="1" t="s">
        <v>2572</v>
      </c>
      <c r="M372" s="1" t="s">
        <v>2573</v>
      </c>
      <c r="N372" s="1" t="s">
        <v>1140</v>
      </c>
      <c r="O372" s="1" t="s">
        <v>1189</v>
      </c>
      <c r="P372" s="1" t="s">
        <v>1190</v>
      </c>
      <c r="Q372" s="44">
        <f>IF(L372="978",Multipliers!C347,"oops")</f>
        <v>0.99</v>
      </c>
      <c r="R372" s="44">
        <f>IF(M372="OREGON",Multipliers!C125, "GOOF")</f>
        <v>1.05</v>
      </c>
      <c r="S372" s="46">
        <f t="shared" si="189"/>
        <v>402011.10180000006</v>
      </c>
      <c r="T372" s="46">
        <f t="shared" si="190"/>
        <v>410523.29850000003</v>
      </c>
      <c r="U372" s="46">
        <f t="shared" si="191"/>
        <v>406418.06551500002</v>
      </c>
      <c r="V372" s="46">
        <f t="shared" si="192"/>
        <v>404214.58365750004</v>
      </c>
      <c r="W372" s="47">
        <f t="shared" si="174"/>
        <v>404214.58365750004</v>
      </c>
      <c r="X372" s="47"/>
      <c r="Y372" s="48">
        <f t="shared" si="193"/>
        <v>322764.90592500003</v>
      </c>
      <c r="Z372" s="48">
        <f t="shared" si="194"/>
        <v>356644.06123499997</v>
      </c>
      <c r="AA372" s="48">
        <f t="shared" si="184"/>
        <v>404214.58365750004</v>
      </c>
      <c r="AB372" s="48">
        <f t="shared" si="185"/>
        <v>437840.41801500006</v>
      </c>
      <c r="AC372" s="48">
        <f t="shared" si="186"/>
        <v>472004.51413500006</v>
      </c>
      <c r="AD372" s="1"/>
      <c r="AE372" s="1"/>
      <c r="AF372" s="1"/>
      <c r="AI372" s="9"/>
      <c r="AJ372" s="1"/>
      <c r="AK372" s="1"/>
      <c r="AL372" s="1"/>
      <c r="AM372" s="1"/>
      <c r="AN372" s="1"/>
      <c r="AO372" s="1"/>
      <c r="AP372" s="9"/>
      <c r="AQ372" s="3"/>
      <c r="AR372" s="4"/>
      <c r="AS372" s="7"/>
      <c r="AT372" s="1"/>
      <c r="AU372" s="1"/>
      <c r="AV372" s="1"/>
      <c r="AW372" s="1"/>
      <c r="AX372" s="3"/>
      <c r="AY372" s="3"/>
      <c r="AZ372" s="5"/>
      <c r="BA372" s="5"/>
      <c r="BB372" s="5"/>
      <c r="BC372" s="5"/>
      <c r="BD372" s="6"/>
      <c r="BE372" s="6"/>
      <c r="BF372" s="12"/>
      <c r="BG372" s="12"/>
      <c r="BH372" s="12"/>
      <c r="BI372" s="12"/>
      <c r="BJ372" s="12"/>
    </row>
    <row r="373" spans="2:62" x14ac:dyDescent="0.25">
      <c r="B373" s="1" t="s">
        <v>2526</v>
      </c>
      <c r="C373" s="1" t="s">
        <v>2574</v>
      </c>
      <c r="D373" s="1" t="s">
        <v>1190</v>
      </c>
      <c r="E373" s="1" t="s">
        <v>2575</v>
      </c>
      <c r="F373" s="1" t="s">
        <v>2576</v>
      </c>
      <c r="G373" s="1" t="s">
        <v>2577</v>
      </c>
      <c r="H373" s="1" t="s">
        <v>2578</v>
      </c>
      <c r="I373" s="1" t="s">
        <v>2507</v>
      </c>
      <c r="J373" s="44">
        <v>1</v>
      </c>
      <c r="K373" s="45">
        <v>1</v>
      </c>
      <c r="L373" s="1" t="s">
        <v>2532</v>
      </c>
      <c r="M373" s="1" t="s">
        <v>2573</v>
      </c>
      <c r="N373" s="1" t="s">
        <v>1140</v>
      </c>
      <c r="O373" s="1" t="s">
        <v>1189</v>
      </c>
      <c r="P373" s="1" t="s">
        <v>1190</v>
      </c>
      <c r="Q373" s="44">
        <f>IF(L373="977",Multipliers!C346,"oops")</f>
        <v>1.01</v>
      </c>
      <c r="R373" s="44">
        <f>IF(M373="OREGON",Multipliers!C125, "GOOF")</f>
        <v>1.05</v>
      </c>
      <c r="S373" s="46">
        <f t="shared" si="189"/>
        <v>410132.53820000007</v>
      </c>
      <c r="T373" s="46">
        <f t="shared" si="190"/>
        <v>410523.29850000003</v>
      </c>
      <c r="U373" s="46">
        <f t="shared" si="191"/>
        <v>406418.06551500002</v>
      </c>
      <c r="V373" s="46">
        <f t="shared" si="192"/>
        <v>408275.30185750005</v>
      </c>
      <c r="W373" s="47">
        <f>IF(F373=F374,(V373+V374)/2,IF(F373=F372,(V373+V372)/2,IF(F373&lt;&gt;F372,V373)))</f>
        <v>408275.30185750005</v>
      </c>
      <c r="X373" s="47"/>
      <c r="Y373" s="48">
        <f t="shared" si="193"/>
        <v>326116.83142500004</v>
      </c>
      <c r="Z373" s="48">
        <f t="shared" si="194"/>
        <v>360295.53283500002</v>
      </c>
      <c r="AA373" s="48">
        <f t="shared" si="184"/>
        <v>408275.30185750005</v>
      </c>
      <c r="AB373" s="48">
        <f t="shared" si="185"/>
        <v>442196.47391499998</v>
      </c>
      <c r="AC373" s="48">
        <f t="shared" si="186"/>
        <v>476693.03223499993</v>
      </c>
      <c r="AD373" s="1"/>
      <c r="AE373" s="1"/>
      <c r="AF373" s="1"/>
      <c r="AI373" s="9"/>
      <c r="AJ373" s="1"/>
      <c r="AK373" s="1"/>
      <c r="AL373" s="1"/>
      <c r="AM373" s="1"/>
      <c r="AN373" s="1"/>
      <c r="AO373" s="1"/>
      <c r="AP373" s="9"/>
      <c r="AQ373" s="3"/>
      <c r="AR373" s="4"/>
      <c r="AS373" s="7"/>
      <c r="AT373" s="1"/>
      <c r="AU373" s="1"/>
      <c r="AV373" s="1"/>
      <c r="AW373" s="1"/>
      <c r="AX373" s="3"/>
      <c r="AY373" s="3"/>
      <c r="AZ373" s="5"/>
      <c r="BA373" s="5"/>
      <c r="BB373" s="5"/>
      <c r="BC373" s="5"/>
      <c r="BD373" s="6"/>
      <c r="BE373" s="6"/>
      <c r="BF373" s="12"/>
      <c r="BG373" s="12"/>
      <c r="BH373" s="12"/>
      <c r="BI373" s="12"/>
      <c r="BJ373" s="12"/>
    </row>
    <row r="374" spans="2:62" x14ac:dyDescent="0.25">
      <c r="B374" s="1" t="s">
        <v>2579</v>
      </c>
      <c r="C374" s="1" t="s">
        <v>2580</v>
      </c>
      <c r="D374" s="1" t="s">
        <v>1190</v>
      </c>
      <c r="E374" s="1" t="s">
        <v>2581</v>
      </c>
      <c r="F374" s="1" t="s">
        <v>2582</v>
      </c>
      <c r="G374" s="1" t="s">
        <v>2583</v>
      </c>
      <c r="H374" s="1" t="s">
        <v>2584</v>
      </c>
      <c r="I374" s="1" t="s">
        <v>2507</v>
      </c>
      <c r="J374" s="44">
        <v>1</v>
      </c>
      <c r="K374" s="45">
        <v>1</v>
      </c>
      <c r="L374" s="1" t="s">
        <v>2585</v>
      </c>
      <c r="M374" s="1" t="s">
        <v>2586</v>
      </c>
      <c r="N374" s="1" t="s">
        <v>1140</v>
      </c>
      <c r="O374" s="1" t="s">
        <v>1189</v>
      </c>
      <c r="P374" s="1" t="s">
        <v>1190</v>
      </c>
      <c r="Q374" s="44">
        <f>IF(L374="985",Multipliers!C383,"oops")</f>
        <v>1</v>
      </c>
      <c r="R374" s="44">
        <f>IF(M374="Kitsap Co.",Multipliers!C154, "GOOF")</f>
        <v>1.1599999999999999</v>
      </c>
      <c r="S374" s="46">
        <f t="shared" ref="S374:S385" si="195">IF(N374="Standard",$O$5*Q374*$O$7,IF(N374="Severe",$O$4*Q374*$O$7,IF(N374="Hostile",$O$3*Q374*$O$7)))</f>
        <v>406071.82000000007</v>
      </c>
      <c r="T374" s="46">
        <f t="shared" ref="T374:T385" si="196">IF(N374="Standard",$P$5*R374*$O$7,IF(N374="Severe",$P$4*R374*$O$7,IF(N374="Hostile",$P$3*R374*$O$7)))</f>
        <v>453530.50119999994</v>
      </c>
      <c r="U374" s="46">
        <f t="shared" si="191"/>
        <v>448995.19618799991</v>
      </c>
      <c r="V374" s="46">
        <f t="shared" si="192"/>
        <v>427533.50809399999</v>
      </c>
      <c r="W374" s="47">
        <f>IF(F374=F375,(V374+V375)/2,IF(F374=F373,(V374+V373)/2,IF(F374&lt;&gt;F373,V374)))</f>
        <v>427533.50809399999</v>
      </c>
      <c r="X374" s="47"/>
      <c r="Y374" s="48">
        <f t="shared" si="193"/>
        <v>340872.20706000004</v>
      </c>
      <c r="Z374" s="48">
        <f t="shared" si="194"/>
        <v>376897.01977199997</v>
      </c>
      <c r="AA374" s="48">
        <f t="shared" si="184"/>
        <v>427533.50809399999</v>
      </c>
      <c r="AB374" s="48">
        <f t="shared" si="185"/>
        <v>463298.18082800001</v>
      </c>
      <c r="AC374" s="48">
        <f t="shared" si="186"/>
        <v>499483.54985200008</v>
      </c>
      <c r="AD374" s="1"/>
      <c r="AE374" s="1"/>
      <c r="AF374" s="1"/>
      <c r="AI374" s="9"/>
      <c r="AJ374" s="1"/>
      <c r="AK374" s="1"/>
      <c r="AL374" s="1"/>
      <c r="AM374" s="1"/>
      <c r="AN374" s="1"/>
      <c r="AO374" s="1"/>
      <c r="AP374" s="9"/>
      <c r="AQ374" s="3"/>
      <c r="AR374" s="4"/>
      <c r="AS374" s="7"/>
      <c r="AT374" s="1"/>
      <c r="AU374" s="1"/>
      <c r="AV374" s="1"/>
      <c r="AW374" s="1"/>
      <c r="AX374" s="3"/>
      <c r="AY374" s="3"/>
      <c r="AZ374" s="5"/>
      <c r="BA374" s="5"/>
      <c r="BB374" s="5"/>
      <c r="BC374" s="5"/>
      <c r="BD374" s="6"/>
      <c r="BE374" s="6"/>
      <c r="BF374" s="12"/>
      <c r="BG374" s="12"/>
      <c r="BH374" s="12"/>
      <c r="BI374" s="12"/>
      <c r="BJ374" s="12"/>
    </row>
    <row r="375" spans="2:62" x14ac:dyDescent="0.25">
      <c r="B375" s="1" t="s">
        <v>2579</v>
      </c>
      <c r="C375" s="1" t="s">
        <v>2587</v>
      </c>
      <c r="D375" s="1" t="s">
        <v>1190</v>
      </c>
      <c r="E375" s="1" t="s">
        <v>2588</v>
      </c>
      <c r="F375" s="1" t="s">
        <v>2589</v>
      </c>
      <c r="G375" s="1" t="s">
        <v>2590</v>
      </c>
      <c r="H375" s="1" t="s">
        <v>2591</v>
      </c>
      <c r="I375" s="1" t="s">
        <v>2507</v>
      </c>
      <c r="J375" s="44">
        <v>1</v>
      </c>
      <c r="K375" s="45">
        <v>1</v>
      </c>
      <c r="L375" s="1" t="s">
        <v>2592</v>
      </c>
      <c r="M375" s="1" t="s">
        <v>2593</v>
      </c>
      <c r="N375" s="1" t="s">
        <v>1140</v>
      </c>
      <c r="O375" s="1" t="s">
        <v>1189</v>
      </c>
      <c r="P375" s="1" t="s">
        <v>1190</v>
      </c>
      <c r="Q375" s="44">
        <f>IF(L375="988",Multipliers!C385,"oops")</f>
        <v>0.95</v>
      </c>
      <c r="R375" s="44">
        <f>IF(M375="WASHINGTON",Multipliers!C151, "GOOF")</f>
        <v>1.1299999999999999</v>
      </c>
      <c r="S375" s="46">
        <f t="shared" si="195"/>
        <v>385768.22900000005</v>
      </c>
      <c r="T375" s="46">
        <f t="shared" si="196"/>
        <v>441801.26409999997</v>
      </c>
      <c r="U375" s="46">
        <f t="shared" si="191"/>
        <v>437383.25145899999</v>
      </c>
      <c r="V375" s="46">
        <f t="shared" si="192"/>
        <v>411575.74022949999</v>
      </c>
      <c r="W375" s="47">
        <f>IF(F375=F377,(V375+V377)/2,IF(F375=F374,(V375+V374)/2,IF(F375&lt;&gt;F374,V375)))</f>
        <v>411575.74022949999</v>
      </c>
      <c r="X375" s="47"/>
      <c r="Y375" s="48">
        <f t="shared" si="193"/>
        <v>328011.119205</v>
      </c>
      <c r="Z375" s="48">
        <f t="shared" si="194"/>
        <v>362742.73457099998</v>
      </c>
      <c r="AA375" s="48">
        <f t="shared" si="184"/>
        <v>411575.74022949999</v>
      </c>
      <c r="AB375" s="48">
        <f t="shared" si="185"/>
        <v>446059.02247899992</v>
      </c>
      <c r="AC375" s="48">
        <f t="shared" si="186"/>
        <v>480907.31551099988</v>
      </c>
      <c r="AD375" s="1"/>
      <c r="AE375" s="1"/>
      <c r="AF375" s="1"/>
      <c r="AI375" s="9"/>
      <c r="AJ375" s="1"/>
      <c r="AK375" s="1"/>
      <c r="AL375" s="1"/>
      <c r="AM375" s="1"/>
      <c r="AN375" s="1"/>
      <c r="AO375" s="1"/>
      <c r="AP375" s="9"/>
      <c r="AQ375" s="3"/>
      <c r="AR375" s="4"/>
      <c r="AS375" s="1"/>
      <c r="AT375" s="1"/>
      <c r="AU375" s="1"/>
      <c r="AV375" s="1"/>
      <c r="AW375" s="1"/>
      <c r="AX375" s="3"/>
      <c r="AY375" s="3"/>
      <c r="AZ375" s="5"/>
      <c r="BA375" s="5"/>
      <c r="BB375" s="5"/>
      <c r="BC375" s="5"/>
      <c r="BD375" s="6"/>
      <c r="BE375" s="6"/>
      <c r="BF375" s="12"/>
      <c r="BG375" s="12"/>
      <c r="BH375" s="12"/>
      <c r="BI375" s="12"/>
      <c r="BJ375" s="12"/>
    </row>
    <row r="376" spans="2:62" x14ac:dyDescent="0.25">
      <c r="B376" s="1" t="s">
        <v>2579</v>
      </c>
      <c r="C376" s="1"/>
      <c r="D376" s="1"/>
      <c r="E376" s="1"/>
      <c r="F376" s="1" t="s">
        <v>2594</v>
      </c>
      <c r="G376" s="1"/>
      <c r="H376" s="1"/>
      <c r="I376" s="1" t="s">
        <v>2507</v>
      </c>
      <c r="J376" s="44">
        <v>1</v>
      </c>
      <c r="K376" s="45">
        <v>1</v>
      </c>
      <c r="L376" s="7" t="s">
        <v>2595</v>
      </c>
      <c r="M376" s="1" t="s">
        <v>2596</v>
      </c>
      <c r="N376" s="1" t="s">
        <v>1140</v>
      </c>
      <c r="O376" s="1" t="s">
        <v>1189</v>
      </c>
      <c r="P376" s="1"/>
      <c r="Q376" s="44">
        <f>IF(L376="986",Multipliers!C384,"oops")</f>
        <v>0.97</v>
      </c>
      <c r="R376" s="44">
        <f>IF(M376="Longview",Multipliers!C155, "GOOF")</f>
        <v>1.07</v>
      </c>
      <c r="S376" s="46">
        <f t="shared" si="195"/>
        <v>393889.66540000006</v>
      </c>
      <c r="T376" s="46">
        <f t="shared" si="196"/>
        <v>418342.78990000009</v>
      </c>
      <c r="U376" s="46">
        <f t="shared" si="191"/>
        <v>414159.36200100009</v>
      </c>
      <c r="V376" s="46">
        <f t="shared" si="192"/>
        <v>404024.51370050007</v>
      </c>
      <c r="W376" s="47">
        <f>IF(F376=F378,(V376+V378)/2,IF(F376=F375,(V376+V375)/2,IF(F376&lt;&gt;F375,V376)))</f>
        <v>404024.51370050007</v>
      </c>
      <c r="X376" s="47"/>
      <c r="Y376" s="48">
        <f t="shared" si="193"/>
        <v>322400.49649499997</v>
      </c>
      <c r="Z376" s="48">
        <f t="shared" si="194"/>
        <v>356342.99376900005</v>
      </c>
      <c r="AA376" s="48">
        <f t="shared" si="184"/>
        <v>404024.51370050007</v>
      </c>
      <c r="AB376" s="48">
        <f t="shared" si="185"/>
        <v>437717.04118100007</v>
      </c>
      <c r="AC376" s="48">
        <f t="shared" si="186"/>
        <v>471885.95542900002</v>
      </c>
      <c r="AD376" s="1"/>
      <c r="AE376" s="1"/>
      <c r="AF376" s="1"/>
      <c r="AI376" s="9"/>
      <c r="AJ376" s="1"/>
      <c r="AK376" s="1"/>
      <c r="AL376" s="1"/>
      <c r="AM376" s="1"/>
      <c r="AN376" s="1"/>
      <c r="AO376" s="1"/>
      <c r="AP376" s="9"/>
      <c r="AQ376" s="3"/>
      <c r="AR376" s="4"/>
      <c r="AS376" s="7"/>
      <c r="AT376" s="1"/>
      <c r="AU376" s="1"/>
      <c r="AV376" s="1"/>
      <c r="AW376" s="1"/>
      <c r="AX376" s="3"/>
      <c r="AY376" s="3"/>
      <c r="AZ376" s="5"/>
      <c r="BA376" s="5"/>
      <c r="BB376" s="5"/>
      <c r="BC376" s="5"/>
      <c r="BD376" s="6"/>
      <c r="BE376" s="6"/>
      <c r="BF376" s="12"/>
      <c r="BG376" s="12"/>
      <c r="BH376" s="12"/>
      <c r="BI376" s="12"/>
      <c r="BJ376" s="12"/>
    </row>
    <row r="377" spans="2:62" x14ac:dyDescent="0.25">
      <c r="B377" s="1" t="s">
        <v>2579</v>
      </c>
      <c r="C377" s="1" t="s">
        <v>2597</v>
      </c>
      <c r="D377" s="1" t="s">
        <v>1190</v>
      </c>
      <c r="E377" s="1" t="s">
        <v>2598</v>
      </c>
      <c r="F377" s="1" t="s">
        <v>2599</v>
      </c>
      <c r="G377" s="1" t="s">
        <v>2600</v>
      </c>
      <c r="H377" s="1" t="s">
        <v>2601</v>
      </c>
      <c r="I377" s="1" t="s">
        <v>2507</v>
      </c>
      <c r="J377" s="44">
        <v>1</v>
      </c>
      <c r="K377" s="45">
        <v>1</v>
      </c>
      <c r="L377" s="1" t="s">
        <v>2602</v>
      </c>
      <c r="M377" s="1" t="s">
        <v>2603</v>
      </c>
      <c r="N377" s="1" t="s">
        <v>1140</v>
      </c>
      <c r="O377" s="1" t="s">
        <v>1189</v>
      </c>
      <c r="P377" s="1" t="s">
        <v>1190</v>
      </c>
      <c r="Q377" s="44">
        <f>IF(L377="983",Multipliers!C381,"oops")</f>
        <v>1.02</v>
      </c>
      <c r="R377" s="44">
        <f>IF(M377="Seattle",Multipliers!C157, "GOOF")</f>
        <v>1.21</v>
      </c>
      <c r="S377" s="46">
        <f t="shared" si="195"/>
        <v>414193.25640000007</v>
      </c>
      <c r="T377" s="46">
        <f t="shared" si="196"/>
        <v>473079.22969999997</v>
      </c>
      <c r="U377" s="46">
        <f t="shared" si="191"/>
        <v>468348.43740299996</v>
      </c>
      <c r="V377" s="46">
        <f t="shared" si="192"/>
        <v>441270.84690150002</v>
      </c>
      <c r="W377" s="47">
        <f>IF(F377=F378,(V377+V378)/2,IF(F377=F375,(V377+V375)/2,IF(F377&lt;&gt;F375,V377)))</f>
        <v>441270.84690150002</v>
      </c>
      <c r="X377" s="47"/>
      <c r="Y377" s="48">
        <f t="shared" si="193"/>
        <v>351692.92273500003</v>
      </c>
      <c r="Z377" s="48">
        <f t="shared" si="194"/>
        <v>388924.50170699996</v>
      </c>
      <c r="AA377" s="48">
        <f t="shared" si="184"/>
        <v>441270.84690150007</v>
      </c>
      <c r="AB377" s="48">
        <f t="shared" si="185"/>
        <v>478235.93439300009</v>
      </c>
      <c r="AC377" s="48">
        <f t="shared" si="186"/>
        <v>515596.96643700002</v>
      </c>
      <c r="AD377" s="1"/>
      <c r="AE377" s="1"/>
      <c r="AF377" s="1"/>
      <c r="AI377" s="9"/>
      <c r="AJ377" s="1"/>
      <c r="AK377" s="1"/>
      <c r="AL377" s="1"/>
      <c r="AM377" s="1"/>
      <c r="AN377" s="1"/>
      <c r="AO377" s="1"/>
      <c r="AP377" s="9"/>
      <c r="AQ377" s="3"/>
      <c r="AR377" s="4"/>
      <c r="AS377" s="7"/>
      <c r="AT377" s="1"/>
      <c r="AU377" s="1"/>
      <c r="AV377" s="1"/>
      <c r="AW377" s="1"/>
      <c r="AX377" s="3"/>
      <c r="AY377" s="3"/>
      <c r="AZ377" s="5"/>
      <c r="BA377" s="5"/>
      <c r="BB377" s="5"/>
      <c r="BC377" s="5"/>
      <c r="BD377" s="6"/>
      <c r="BE377" s="6"/>
      <c r="BF377" s="12"/>
      <c r="BG377" s="12"/>
      <c r="BH377" s="12"/>
      <c r="BI377" s="12"/>
      <c r="BJ377" s="12"/>
    </row>
    <row r="378" spans="2:62" x14ac:dyDescent="0.25">
      <c r="B378" s="1" t="s">
        <v>2579</v>
      </c>
      <c r="C378" s="1" t="s">
        <v>2604</v>
      </c>
      <c r="D378" s="1" t="s">
        <v>1190</v>
      </c>
      <c r="E378" s="1" t="s">
        <v>2605</v>
      </c>
      <c r="F378" s="7" t="s">
        <v>2606</v>
      </c>
      <c r="G378" s="1" t="s">
        <v>1190</v>
      </c>
      <c r="H378" s="1" t="s">
        <v>1190</v>
      </c>
      <c r="I378" s="1" t="s">
        <v>2507</v>
      </c>
      <c r="J378" s="44">
        <v>1</v>
      </c>
      <c r="K378" s="45">
        <v>1</v>
      </c>
      <c r="L378" s="1" t="s">
        <v>2602</v>
      </c>
      <c r="M378" s="1" t="s">
        <v>2593</v>
      </c>
      <c r="N378" s="1" t="s">
        <v>1140</v>
      </c>
      <c r="O378" s="1" t="s">
        <v>1189</v>
      </c>
      <c r="P378" s="1" t="s">
        <v>1190</v>
      </c>
      <c r="Q378" s="44">
        <f>IF(L378="983",Multipliers!C381,"oops")</f>
        <v>1.02</v>
      </c>
      <c r="R378" s="44">
        <f>IF(M378="WASHINGTON",Multipliers!C151, "GOOF")</f>
        <v>1.1299999999999999</v>
      </c>
      <c r="S378" s="46">
        <f t="shared" si="195"/>
        <v>414193.25640000007</v>
      </c>
      <c r="T378" s="46">
        <f t="shared" si="196"/>
        <v>441801.26409999997</v>
      </c>
      <c r="U378" s="46">
        <f t="shared" si="191"/>
        <v>437383.25145899999</v>
      </c>
      <c r="V378" s="46">
        <f t="shared" si="192"/>
        <v>425788.2539295</v>
      </c>
      <c r="W378" s="47">
        <f t="shared" ref="W378:W392" si="197">IF(F378=F379,(V378+V379)/2,IF(F378=F377,(V378+V377)/2,IF(F378&lt;&gt;F377,V378)))</f>
        <v>425788.2539295</v>
      </c>
      <c r="X378" s="47"/>
      <c r="Y378" s="48">
        <f t="shared" si="193"/>
        <v>339742.85845500004</v>
      </c>
      <c r="Z378" s="48">
        <f t="shared" si="194"/>
        <v>375522.88517099991</v>
      </c>
      <c r="AA378" s="48">
        <f t="shared" si="184"/>
        <v>425788.2539295</v>
      </c>
      <c r="AB378" s="48">
        <f t="shared" si="185"/>
        <v>461305.21812899993</v>
      </c>
      <c r="AC378" s="48">
        <f t="shared" si="186"/>
        <v>497317.12886099995</v>
      </c>
      <c r="AD378" s="1"/>
      <c r="AE378" s="1"/>
      <c r="AF378" s="1"/>
      <c r="AI378" s="9"/>
      <c r="AJ378" s="1"/>
      <c r="AK378" s="1"/>
      <c r="AL378" s="1"/>
      <c r="AM378" s="1"/>
      <c r="AN378" s="1"/>
      <c r="AO378" s="1"/>
      <c r="AP378" s="9"/>
      <c r="AQ378" s="3"/>
      <c r="AR378" s="4"/>
      <c r="AS378" s="1"/>
      <c r="AT378" s="1"/>
      <c r="AU378" s="1"/>
      <c r="AV378" s="1"/>
      <c r="AW378" s="1"/>
      <c r="AX378" s="3"/>
      <c r="AY378" s="3"/>
      <c r="AZ378" s="5"/>
      <c r="BA378" s="5"/>
      <c r="BB378" s="5"/>
      <c r="BC378" s="5"/>
      <c r="BD378" s="6"/>
      <c r="BE378" s="6"/>
      <c r="BF378" s="12"/>
      <c r="BG378" s="12"/>
      <c r="BH378" s="12"/>
      <c r="BI378" s="12"/>
      <c r="BJ378" s="12"/>
    </row>
    <row r="379" spans="2:62" x14ac:dyDescent="0.25">
      <c r="B379" s="1" t="s">
        <v>2579</v>
      </c>
      <c r="C379" s="1" t="s">
        <v>2607</v>
      </c>
      <c r="D379" s="1" t="s">
        <v>1190</v>
      </c>
      <c r="E379" s="1" t="s">
        <v>2608</v>
      </c>
      <c r="F379" s="1" t="s">
        <v>2609</v>
      </c>
      <c r="G379" s="1" t="s">
        <v>2610</v>
      </c>
      <c r="H379" s="1" t="s">
        <v>2611</v>
      </c>
      <c r="I379" s="1" t="s">
        <v>2507</v>
      </c>
      <c r="J379" s="44">
        <v>1</v>
      </c>
      <c r="K379" s="45">
        <v>1</v>
      </c>
      <c r="L379" s="1" t="s">
        <v>2612</v>
      </c>
      <c r="M379" s="1" t="s">
        <v>2593</v>
      </c>
      <c r="N379" s="1" t="s">
        <v>1140</v>
      </c>
      <c r="O379" s="1" t="s">
        <v>1189</v>
      </c>
      <c r="P379" s="1" t="s">
        <v>1190</v>
      </c>
      <c r="Q379" s="44">
        <f>IF(L379="991",Multipliers!C387,"oops")</f>
        <v>0.97</v>
      </c>
      <c r="R379" s="44">
        <f>IF(M379="WASHINGTON",Multipliers!C151, "GOOF")</f>
        <v>1.1299999999999999</v>
      </c>
      <c r="S379" s="46">
        <f t="shared" si="195"/>
        <v>393889.66540000006</v>
      </c>
      <c r="T379" s="46">
        <f t="shared" si="196"/>
        <v>441801.26409999997</v>
      </c>
      <c r="U379" s="46">
        <f t="shared" si="191"/>
        <v>437383.25145899999</v>
      </c>
      <c r="V379" s="46">
        <f t="shared" si="192"/>
        <v>415636.45842949999</v>
      </c>
      <c r="W379" s="47">
        <f t="shared" si="197"/>
        <v>415636.45842949999</v>
      </c>
      <c r="X379" s="47"/>
      <c r="Y379" s="48">
        <f t="shared" si="193"/>
        <v>331363.04470500001</v>
      </c>
      <c r="Z379" s="48">
        <f t="shared" si="194"/>
        <v>366394.20617099997</v>
      </c>
      <c r="AA379" s="48">
        <f t="shared" si="184"/>
        <v>415636.45842949999</v>
      </c>
      <c r="AB379" s="48">
        <f t="shared" si="185"/>
        <v>450415.07837900001</v>
      </c>
      <c r="AC379" s="48">
        <f t="shared" si="186"/>
        <v>485595.83361099998</v>
      </c>
      <c r="AD379" s="1"/>
      <c r="AE379" s="1"/>
      <c r="AF379" s="1"/>
      <c r="AI379" s="9"/>
      <c r="AJ379" s="1"/>
      <c r="AK379" s="1"/>
      <c r="AL379" s="1"/>
      <c r="AM379" s="1"/>
      <c r="AN379" s="1"/>
      <c r="AO379" s="1"/>
      <c r="AP379" s="9"/>
      <c r="AQ379" s="3"/>
      <c r="AR379" s="4"/>
      <c r="AS379" s="1"/>
      <c r="AT379" s="1"/>
      <c r="AU379" s="1"/>
      <c r="AV379" s="1"/>
      <c r="AW379" s="1"/>
      <c r="AX379" s="3"/>
      <c r="AY379" s="3"/>
      <c r="AZ379" s="5"/>
      <c r="BA379" s="5"/>
      <c r="BB379" s="5"/>
      <c r="BC379" s="5"/>
      <c r="BD379" s="6"/>
      <c r="BE379" s="6"/>
      <c r="BF379" s="12"/>
      <c r="BG379" s="12"/>
      <c r="BH379" s="12"/>
      <c r="BI379" s="12"/>
      <c r="BJ379" s="12"/>
    </row>
    <row r="380" spans="2:62" x14ac:dyDescent="0.25">
      <c r="B380" s="1" t="s">
        <v>2579</v>
      </c>
      <c r="C380" s="1" t="s">
        <v>2613</v>
      </c>
      <c r="D380" s="1" t="s">
        <v>1190</v>
      </c>
      <c r="E380" s="1" t="s">
        <v>2614</v>
      </c>
      <c r="F380" s="1" t="s">
        <v>2615</v>
      </c>
      <c r="G380" s="1" t="s">
        <v>2616</v>
      </c>
      <c r="H380" s="1" t="s">
        <v>2617</v>
      </c>
      <c r="I380" s="1" t="s">
        <v>2507</v>
      </c>
      <c r="J380" s="44">
        <v>1</v>
      </c>
      <c r="K380" s="45">
        <v>1</v>
      </c>
      <c r="L380" s="1" t="s">
        <v>2602</v>
      </c>
      <c r="M380" s="1" t="s">
        <v>2593</v>
      </c>
      <c r="N380" s="1" t="s">
        <v>1140</v>
      </c>
      <c r="O380" s="1" t="s">
        <v>1189</v>
      </c>
      <c r="P380" s="1" t="s">
        <v>1190</v>
      </c>
      <c r="Q380" s="44">
        <f>IF(L380="983",Multipliers!C381,"oops")</f>
        <v>1.02</v>
      </c>
      <c r="R380" s="44">
        <f>IF(M380="WASHINGTON",Multipliers!C151, "GOOF")</f>
        <v>1.1299999999999999</v>
      </c>
      <c r="S380" s="46">
        <f t="shared" si="195"/>
        <v>414193.25640000007</v>
      </c>
      <c r="T380" s="46">
        <f t="shared" si="196"/>
        <v>441801.26409999997</v>
      </c>
      <c r="U380" s="46">
        <f t="shared" si="191"/>
        <v>437383.25145899999</v>
      </c>
      <c r="V380" s="46">
        <f t="shared" si="192"/>
        <v>425788.2539295</v>
      </c>
      <c r="W380" s="47">
        <f t="shared" si="197"/>
        <v>425788.2539295</v>
      </c>
      <c r="X380" s="47"/>
      <c r="Y380" s="48">
        <f t="shared" si="193"/>
        <v>339742.85845500004</v>
      </c>
      <c r="Z380" s="48">
        <f t="shared" si="194"/>
        <v>375522.88517099991</v>
      </c>
      <c r="AA380" s="48">
        <f t="shared" si="184"/>
        <v>425788.2539295</v>
      </c>
      <c r="AB380" s="48">
        <f t="shared" si="185"/>
        <v>461305.21812899993</v>
      </c>
      <c r="AC380" s="48">
        <f t="shared" si="186"/>
        <v>497317.12886099995</v>
      </c>
      <c r="AD380" s="1"/>
      <c r="AE380" s="1"/>
      <c r="AF380" s="1"/>
      <c r="AI380" s="9"/>
      <c r="AJ380" s="1"/>
      <c r="AK380" s="1"/>
      <c r="AL380" s="1"/>
      <c r="AM380" s="1"/>
      <c r="AN380" s="1"/>
      <c r="AO380" s="1"/>
      <c r="AP380" s="9"/>
      <c r="AQ380" s="3"/>
      <c r="AR380" s="4"/>
      <c r="AS380" s="1"/>
      <c r="AT380" s="1"/>
      <c r="AU380" s="1"/>
      <c r="AV380" s="1"/>
      <c r="AW380" s="1"/>
      <c r="AX380" s="3"/>
      <c r="AY380" s="3"/>
      <c r="AZ380" s="5"/>
      <c r="BA380" s="5"/>
      <c r="BB380" s="5"/>
      <c r="BC380" s="5"/>
      <c r="BD380" s="6"/>
      <c r="BE380" s="6"/>
      <c r="BF380" s="12"/>
      <c r="BG380" s="12"/>
      <c r="BH380" s="12"/>
      <c r="BI380" s="12"/>
      <c r="BJ380" s="12"/>
    </row>
    <row r="381" spans="2:62" x14ac:dyDescent="0.25">
      <c r="B381" s="1" t="s">
        <v>2579</v>
      </c>
      <c r="C381" s="1" t="s">
        <v>2618</v>
      </c>
      <c r="D381" s="1" t="s">
        <v>1190</v>
      </c>
      <c r="E381" s="1" t="s">
        <v>2619</v>
      </c>
      <c r="F381" s="1" t="s">
        <v>2620</v>
      </c>
      <c r="G381" s="1" t="s">
        <v>2621</v>
      </c>
      <c r="H381" s="1" t="s">
        <v>2622</v>
      </c>
      <c r="I381" s="1" t="s">
        <v>2507</v>
      </c>
      <c r="J381" s="44">
        <v>1</v>
      </c>
      <c r="K381" s="45">
        <v>1</v>
      </c>
      <c r="L381" s="1" t="s">
        <v>2623</v>
      </c>
      <c r="M381" s="1" t="s">
        <v>2624</v>
      </c>
      <c r="N381" s="1" t="s">
        <v>1140</v>
      </c>
      <c r="O381" s="1" t="s">
        <v>1189</v>
      </c>
      <c r="P381" s="1" t="s">
        <v>1190</v>
      </c>
      <c r="Q381" s="44">
        <f>IF(L381="982",Multipliers!C380,"oops")</f>
        <v>1.05</v>
      </c>
      <c r="R381" s="44">
        <f>IF(M381="Bellingham",Multipliers!C152, "GOOF")</f>
        <v>1.1399999999999999</v>
      </c>
      <c r="S381" s="46">
        <f t="shared" si="195"/>
        <v>426375.41100000008</v>
      </c>
      <c r="T381" s="46">
        <f t="shared" si="196"/>
        <v>445711.00979999994</v>
      </c>
      <c r="U381" s="46">
        <f t="shared" ref="U381:U397" si="198">IF(O381="E",$T$3*T381,IF(O381="C",$T$4*T381,IF(O381="W",$T$5*T381,1)))</f>
        <v>441253.89970199997</v>
      </c>
      <c r="V381" s="46">
        <f t="shared" ref="V381:V397" si="199">(S381+U381)/2</f>
        <v>433814.65535100002</v>
      </c>
      <c r="W381" s="47">
        <f t="shared" si="197"/>
        <v>433814.65535100002</v>
      </c>
      <c r="X381" s="47"/>
      <c r="Y381" s="48">
        <f t="shared" ref="Y381:Y397" si="200">IF(N381="Standard",(((($Z$3*Q381)+($AD$3*R381*$T$5))/2)*$O$7),IF(N381="Severe",(((($AA$3*Q381)+($AE$3*R381*$T$5))/2)*$O$7),IF(N381="Hostile",(((($AB$3*Q381)+($AF$3*R381*$T$5))/2)*$O$7))))</f>
        <v>346264.50474</v>
      </c>
      <c r="Z381" s="48">
        <f t="shared" ref="Z381:Z397" si="201">IF(N381="Standard",(((($Z$4*Q381)+($AD$4*R381*$T$5))/2)*$O$7),IF(N381="Severe",(((($AA$4*Q381)+($AE$4*R381*$T$5))/2)*$O$7),IF(N381="Hostile",(((($AB$4*Q381)+($AF$4*R381*$T$5))/2)*$O$7))))</f>
        <v>382675.29463799996</v>
      </c>
      <c r="AA381" s="48">
        <f t="shared" si="184"/>
        <v>433814.65535100002</v>
      </c>
      <c r="AB381" s="48">
        <f t="shared" si="185"/>
        <v>469955.641512</v>
      </c>
      <c r="AC381" s="48">
        <f t="shared" si="186"/>
        <v>506634.88570800005</v>
      </c>
      <c r="AD381" s="1"/>
      <c r="AE381" s="1"/>
      <c r="AF381" s="1"/>
      <c r="AI381" s="9"/>
      <c r="AJ381" s="1"/>
      <c r="AK381" s="1"/>
      <c r="AL381" s="1"/>
      <c r="AM381" s="1"/>
      <c r="AN381" s="1"/>
      <c r="AO381" s="1"/>
      <c r="AP381" s="9"/>
      <c r="AQ381" s="3"/>
      <c r="AR381" s="4"/>
      <c r="AS381" s="7"/>
      <c r="AT381" s="1"/>
      <c r="AU381" s="1"/>
      <c r="AV381" s="1"/>
      <c r="AW381" s="1"/>
      <c r="AX381" s="3"/>
      <c r="AY381" s="3"/>
      <c r="AZ381" s="5"/>
      <c r="BA381" s="5"/>
      <c r="BB381" s="5"/>
      <c r="BC381" s="5"/>
      <c r="BD381" s="6"/>
      <c r="BE381" s="6"/>
      <c r="BF381" s="12"/>
      <c r="BG381" s="12"/>
      <c r="BH381" s="12"/>
      <c r="BI381" s="12"/>
      <c r="BJ381" s="12"/>
    </row>
    <row r="382" spans="2:62" x14ac:dyDescent="0.25">
      <c r="B382" s="1" t="s">
        <v>2579</v>
      </c>
      <c r="C382" s="1" t="s">
        <v>2625</v>
      </c>
      <c r="D382" s="1" t="s">
        <v>1190</v>
      </c>
      <c r="E382" s="1" t="s">
        <v>2626</v>
      </c>
      <c r="F382" s="1" t="s">
        <v>2627</v>
      </c>
      <c r="G382" s="1" t="s">
        <v>2628</v>
      </c>
      <c r="H382" s="1" t="s">
        <v>2629</v>
      </c>
      <c r="I382" s="1" t="s">
        <v>2507</v>
      </c>
      <c r="J382" s="44">
        <v>1</v>
      </c>
      <c r="K382" s="45">
        <v>1</v>
      </c>
      <c r="L382" s="1" t="s">
        <v>2602</v>
      </c>
      <c r="M382" s="1" t="s">
        <v>2603</v>
      </c>
      <c r="N382" s="1" t="s">
        <v>1140</v>
      </c>
      <c r="O382" s="1" t="s">
        <v>1189</v>
      </c>
      <c r="P382" s="1" t="s">
        <v>1190</v>
      </c>
      <c r="Q382" s="44">
        <f>IF(L382="983",Multipliers!C381,"oops")</f>
        <v>1.02</v>
      </c>
      <c r="R382" s="44">
        <f>IF(M382="Seattle",Multipliers!C157, "GOOF")</f>
        <v>1.21</v>
      </c>
      <c r="S382" s="46">
        <f t="shared" si="195"/>
        <v>414193.25640000007</v>
      </c>
      <c r="T382" s="46">
        <f t="shared" si="196"/>
        <v>473079.22969999997</v>
      </c>
      <c r="U382" s="46">
        <f t="shared" si="198"/>
        <v>468348.43740299996</v>
      </c>
      <c r="V382" s="46">
        <f t="shared" si="199"/>
        <v>441270.84690150002</v>
      </c>
      <c r="W382" s="47">
        <f t="shared" si="197"/>
        <v>441270.84690150002</v>
      </c>
      <c r="X382" s="47"/>
      <c r="Y382" s="48">
        <f t="shared" si="200"/>
        <v>351692.92273500003</v>
      </c>
      <c r="Z382" s="48">
        <f t="shared" si="201"/>
        <v>388924.50170699996</v>
      </c>
      <c r="AA382" s="48">
        <f>IF(N382="Standard",((($Z$5*Q382)+($AD$5*R382*$T$5))/2)*$O$7,IF(N382="Severe",((($AA$5*Q382)+($AE$5*R382*$T$5))/2)*$O$7,IF(N382="Hostile",((($AB$5*Q382)+($AF$5*R382*$T$5))/2)*$O$7)))</f>
        <v>441270.84690150007</v>
      </c>
      <c r="AB382" s="48">
        <f t="shared" si="185"/>
        <v>478235.93439300009</v>
      </c>
      <c r="AC382" s="48">
        <f t="shared" si="186"/>
        <v>515596.96643700002</v>
      </c>
      <c r="AD382" s="1"/>
      <c r="AE382" s="1"/>
      <c r="AF382" s="1"/>
      <c r="AI382" s="9"/>
      <c r="AJ382" s="1"/>
      <c r="AK382" s="1"/>
      <c r="AL382" s="1"/>
      <c r="AM382" s="1"/>
      <c r="AN382" s="1"/>
      <c r="AO382" s="1"/>
      <c r="AP382" s="9"/>
      <c r="AQ382" s="3"/>
      <c r="AR382" s="4"/>
      <c r="AS382" s="1"/>
      <c r="AT382" s="1"/>
      <c r="AU382" s="1"/>
      <c r="AV382" s="1"/>
      <c r="AW382" s="1"/>
      <c r="AX382" s="3"/>
      <c r="AY382" s="3"/>
      <c r="AZ382" s="5"/>
      <c r="BA382" s="5"/>
      <c r="BB382" s="5"/>
      <c r="BC382" s="5"/>
      <c r="BD382" s="6"/>
      <c r="BE382" s="6"/>
      <c r="BF382" s="12"/>
      <c r="BG382" s="12"/>
      <c r="BH382" s="12"/>
      <c r="BI382" s="12"/>
      <c r="BJ382" s="12"/>
    </row>
    <row r="383" spans="2:62" x14ac:dyDescent="0.25">
      <c r="B383" s="1" t="s">
        <v>2579</v>
      </c>
      <c r="C383" s="1" t="s">
        <v>2630</v>
      </c>
      <c r="D383" s="1" t="s">
        <v>1190</v>
      </c>
      <c r="E383" s="1" t="s">
        <v>2631</v>
      </c>
      <c r="F383" s="1" t="s">
        <v>2632</v>
      </c>
      <c r="G383" s="1" t="s">
        <v>2633</v>
      </c>
      <c r="H383" s="1" t="s">
        <v>2634</v>
      </c>
      <c r="I383" s="1" t="s">
        <v>2507</v>
      </c>
      <c r="J383" s="44">
        <v>1</v>
      </c>
      <c r="K383" s="45">
        <v>1</v>
      </c>
      <c r="L383" s="1" t="s">
        <v>2635</v>
      </c>
      <c r="M383" s="1" t="s">
        <v>2636</v>
      </c>
      <c r="N383" s="1" t="s">
        <v>1140</v>
      </c>
      <c r="O383" s="1" t="s">
        <v>1189</v>
      </c>
      <c r="P383" s="1" t="s">
        <v>1190</v>
      </c>
      <c r="Q383" s="44">
        <f>IF(L383="980",Multipliers!C379,"oops")</f>
        <v>1.05</v>
      </c>
      <c r="R383" s="44">
        <f>IF(M383="Tacoma",Multipliers!C158, "GOOF")</f>
        <v>1.2</v>
      </c>
      <c r="S383" s="46">
        <f t="shared" si="195"/>
        <v>426375.41100000008</v>
      </c>
      <c r="T383" s="46">
        <f t="shared" si="196"/>
        <v>469169.484</v>
      </c>
      <c r="U383" s="46">
        <f t="shared" si="198"/>
        <v>464477.78915999999</v>
      </c>
      <c r="V383" s="46">
        <f t="shared" si="199"/>
        <v>445426.60008</v>
      </c>
      <c r="W383" s="47">
        <f t="shared" si="197"/>
        <v>445426.60008</v>
      </c>
      <c r="X383" s="47"/>
      <c r="Y383" s="48">
        <f t="shared" si="200"/>
        <v>355227.05295000004</v>
      </c>
      <c r="Z383" s="48">
        <f t="shared" si="201"/>
        <v>392726.50704</v>
      </c>
      <c r="AA383" s="48">
        <f t="shared" si="184"/>
        <v>445426.60008000006</v>
      </c>
      <c r="AB383" s="48">
        <f t="shared" si="185"/>
        <v>482653.67871000001</v>
      </c>
      <c r="AC383" s="48">
        <f t="shared" si="186"/>
        <v>520344.76389000006</v>
      </c>
      <c r="AD383" s="1"/>
      <c r="AE383" s="1"/>
      <c r="AF383" s="1"/>
      <c r="AI383" s="9"/>
      <c r="AJ383" s="1"/>
      <c r="AK383" s="1"/>
      <c r="AL383" s="1"/>
      <c r="AM383" s="1"/>
      <c r="AN383" s="1"/>
      <c r="AO383" s="1"/>
      <c r="AP383" s="9"/>
      <c r="AQ383" s="3"/>
      <c r="AR383" s="4"/>
      <c r="AS383" s="7"/>
      <c r="AT383" s="1"/>
      <c r="AU383" s="1"/>
      <c r="AV383" s="1"/>
      <c r="AW383" s="1"/>
      <c r="AX383" s="3"/>
      <c r="AY383" s="3"/>
      <c r="AZ383" s="5"/>
      <c r="BA383" s="5"/>
      <c r="BB383" s="5"/>
      <c r="BC383" s="5"/>
      <c r="BD383" s="6"/>
      <c r="BE383" s="6"/>
      <c r="BF383" s="12"/>
      <c r="BG383" s="12"/>
      <c r="BH383" s="12"/>
      <c r="BI383" s="12"/>
      <c r="BJ383" s="12"/>
    </row>
    <row r="384" spans="2:62" x14ac:dyDescent="0.25">
      <c r="B384" s="1" t="s">
        <v>2579</v>
      </c>
      <c r="C384" s="1" t="s">
        <v>2637</v>
      </c>
      <c r="D384" s="1" t="s">
        <v>1190</v>
      </c>
      <c r="E384" s="1" t="s">
        <v>2638</v>
      </c>
      <c r="F384" s="1" t="s">
        <v>2639</v>
      </c>
      <c r="G384" s="1" t="s">
        <v>2600</v>
      </c>
      <c r="H384" s="1" t="s">
        <v>2601</v>
      </c>
      <c r="I384" s="1" t="s">
        <v>2507</v>
      </c>
      <c r="J384" s="44">
        <v>1</v>
      </c>
      <c r="K384" s="45">
        <v>1</v>
      </c>
      <c r="L384" s="1" t="s">
        <v>2640</v>
      </c>
      <c r="M384" s="1" t="s">
        <v>2641</v>
      </c>
      <c r="N384" s="1" t="s">
        <v>1140</v>
      </c>
      <c r="O384" s="1" t="s">
        <v>1189</v>
      </c>
      <c r="P384" s="1" t="s">
        <v>1190</v>
      </c>
      <c r="Q384" s="44">
        <f>IF(L384="984",Multipliers!C382,"oops")</f>
        <v>1.02</v>
      </c>
      <c r="R384" s="44">
        <f>IF(M384="Olympia",Multipliers!C156, "GOOF")</f>
        <v>1.21</v>
      </c>
      <c r="S384" s="46">
        <f t="shared" si="195"/>
        <v>414193.25640000007</v>
      </c>
      <c r="T384" s="46">
        <f t="shared" si="196"/>
        <v>473079.22969999997</v>
      </c>
      <c r="U384" s="46">
        <f t="shared" si="198"/>
        <v>468348.43740299996</v>
      </c>
      <c r="V384" s="46">
        <f t="shared" si="199"/>
        <v>441270.84690150002</v>
      </c>
      <c r="W384" s="47">
        <f t="shared" si="197"/>
        <v>441270.84690150002</v>
      </c>
      <c r="X384" s="47"/>
      <c r="Y384" s="48">
        <f t="shared" si="200"/>
        <v>351692.92273500003</v>
      </c>
      <c r="Z384" s="48">
        <f t="shared" si="201"/>
        <v>388924.50170699996</v>
      </c>
      <c r="AA384" s="48">
        <f t="shared" si="184"/>
        <v>441270.84690150007</v>
      </c>
      <c r="AB384" s="48">
        <f t="shared" si="185"/>
        <v>478235.93439300009</v>
      </c>
      <c r="AC384" s="48">
        <f t="shared" si="186"/>
        <v>515596.96643700002</v>
      </c>
      <c r="AD384" s="1"/>
      <c r="AE384" s="1"/>
      <c r="AF384" s="1"/>
      <c r="AI384" s="9"/>
      <c r="AJ384" s="1"/>
      <c r="AK384" s="1"/>
      <c r="AL384" s="1"/>
      <c r="AM384" s="1"/>
      <c r="AN384" s="1"/>
      <c r="AO384" s="1"/>
      <c r="AP384" s="9"/>
      <c r="AQ384" s="3"/>
      <c r="AR384" s="4"/>
      <c r="AS384" s="1"/>
      <c r="AT384" s="1"/>
      <c r="AU384" s="1"/>
      <c r="AV384" s="1"/>
      <c r="AW384" s="1"/>
      <c r="AX384" s="3"/>
      <c r="AY384" s="3"/>
      <c r="AZ384" s="5"/>
      <c r="BA384" s="5"/>
      <c r="BB384" s="5"/>
      <c r="BC384" s="5"/>
      <c r="BD384" s="6"/>
      <c r="BE384" s="6"/>
      <c r="BF384" s="12"/>
      <c r="BG384" s="12"/>
      <c r="BH384" s="12"/>
      <c r="BI384" s="12"/>
      <c r="BJ384" s="12"/>
    </row>
    <row r="385" spans="2:62" x14ac:dyDescent="0.25">
      <c r="B385" s="1" t="s">
        <v>2579</v>
      </c>
      <c r="C385" s="1" t="s">
        <v>2642</v>
      </c>
      <c r="D385" s="1" t="s">
        <v>1190</v>
      </c>
      <c r="E385" s="1" t="s">
        <v>2643</v>
      </c>
      <c r="F385" s="1" t="s">
        <v>2644</v>
      </c>
      <c r="G385" s="1" t="s">
        <v>0</v>
      </c>
      <c r="H385" s="1" t="s">
        <v>1</v>
      </c>
      <c r="I385" s="1" t="s">
        <v>2507</v>
      </c>
      <c r="J385" s="44">
        <v>1</v>
      </c>
      <c r="K385" s="45">
        <v>1</v>
      </c>
      <c r="L385" s="1" t="s">
        <v>2623</v>
      </c>
      <c r="M385" s="1" t="s">
        <v>2624</v>
      </c>
      <c r="N385" s="1" t="s">
        <v>1140</v>
      </c>
      <c r="O385" s="1" t="s">
        <v>1189</v>
      </c>
      <c r="P385" s="1" t="s">
        <v>1190</v>
      </c>
      <c r="Q385" s="44">
        <f>IF(L385="982",Multipliers!C380,"oops")</f>
        <v>1.05</v>
      </c>
      <c r="R385" s="44">
        <f>IF(M385="Bellingham",Multipliers!C152, "GOOF")</f>
        <v>1.1399999999999999</v>
      </c>
      <c r="S385" s="46">
        <f t="shared" si="195"/>
        <v>426375.41100000008</v>
      </c>
      <c r="T385" s="46">
        <f t="shared" si="196"/>
        <v>445711.00979999994</v>
      </c>
      <c r="U385" s="46">
        <f t="shared" si="198"/>
        <v>441253.89970199997</v>
      </c>
      <c r="V385" s="46">
        <f t="shared" si="199"/>
        <v>433814.65535100002</v>
      </c>
      <c r="W385" s="47">
        <f t="shared" si="197"/>
        <v>433814.65535100002</v>
      </c>
      <c r="X385" s="47"/>
      <c r="Y385" s="48">
        <f t="shared" si="200"/>
        <v>346264.50474</v>
      </c>
      <c r="Z385" s="48">
        <f t="shared" si="201"/>
        <v>382675.29463799996</v>
      </c>
      <c r="AA385" s="48">
        <f t="shared" si="184"/>
        <v>433814.65535100002</v>
      </c>
      <c r="AB385" s="48">
        <f t="shared" si="185"/>
        <v>469955.641512</v>
      </c>
      <c r="AC385" s="48">
        <f t="shared" si="186"/>
        <v>506634.88570800005</v>
      </c>
      <c r="AD385" s="1"/>
      <c r="AE385" s="1"/>
      <c r="AF385" s="1"/>
      <c r="AI385" s="9"/>
      <c r="AJ385" s="1"/>
      <c r="AK385" s="1"/>
      <c r="AL385" s="1"/>
      <c r="AM385" s="1"/>
      <c r="AN385" s="1"/>
      <c r="AO385" s="1"/>
      <c r="AP385" s="9"/>
      <c r="AQ385" s="3"/>
      <c r="AR385" s="4"/>
      <c r="AS385" s="1"/>
      <c r="AT385" s="1"/>
      <c r="AU385" s="1"/>
      <c r="AV385" s="1"/>
      <c r="AW385" s="1"/>
      <c r="AX385" s="3"/>
      <c r="AY385" s="3"/>
      <c r="AZ385" s="5"/>
      <c r="BA385" s="5"/>
      <c r="BB385" s="5"/>
      <c r="BC385" s="5"/>
      <c r="BD385" s="6"/>
      <c r="BE385" s="6"/>
      <c r="BF385" s="12"/>
      <c r="BG385" s="12"/>
      <c r="BH385" s="12"/>
      <c r="BI385" s="12"/>
      <c r="BJ385" s="12"/>
    </row>
    <row r="386" spans="2:62" x14ac:dyDescent="0.25">
      <c r="B386" s="1" t="s">
        <v>2579</v>
      </c>
      <c r="C386" s="1" t="s">
        <v>2</v>
      </c>
      <c r="D386" s="1" t="s">
        <v>1190</v>
      </c>
      <c r="E386" s="1" t="s">
        <v>3</v>
      </c>
      <c r="F386" s="7" t="s">
        <v>4</v>
      </c>
      <c r="G386" s="1" t="s">
        <v>5</v>
      </c>
      <c r="H386" s="1" t="s">
        <v>6</v>
      </c>
      <c r="I386" s="1" t="s">
        <v>2507</v>
      </c>
      <c r="J386" s="44">
        <v>1</v>
      </c>
      <c r="K386" s="45">
        <v>1</v>
      </c>
      <c r="L386" s="1" t="s">
        <v>2602</v>
      </c>
      <c r="M386" s="1" t="s">
        <v>2593</v>
      </c>
      <c r="N386" s="1" t="s">
        <v>1140</v>
      </c>
      <c r="O386" s="1" t="s">
        <v>1189</v>
      </c>
      <c r="P386" s="1" t="s">
        <v>1190</v>
      </c>
      <c r="Q386" s="44">
        <f>IF(L386="983",Multipliers!C381,"oops")</f>
        <v>1.02</v>
      </c>
      <c r="R386" s="44">
        <f>IF(M386="WASHINGTON",Multipliers!C151, "GOOF")</f>
        <v>1.1299999999999999</v>
      </c>
      <c r="S386" s="46">
        <f t="shared" si="187"/>
        <v>414193.25640000007</v>
      </c>
      <c r="T386" s="46">
        <f t="shared" si="188"/>
        <v>441801.26409999997</v>
      </c>
      <c r="U386" s="46">
        <f t="shared" si="198"/>
        <v>437383.25145899999</v>
      </c>
      <c r="V386" s="46">
        <f t="shared" si="199"/>
        <v>425788.2539295</v>
      </c>
      <c r="W386" s="47">
        <f t="shared" si="197"/>
        <v>425788.2539295</v>
      </c>
      <c r="X386" s="47"/>
      <c r="Y386" s="48">
        <f t="shared" si="200"/>
        <v>339742.85845500004</v>
      </c>
      <c r="Z386" s="48">
        <f t="shared" si="201"/>
        <v>375522.88517099991</v>
      </c>
      <c r="AA386" s="48">
        <f t="shared" si="184"/>
        <v>425788.2539295</v>
      </c>
      <c r="AB386" s="48">
        <f t="shared" si="185"/>
        <v>461305.21812899993</v>
      </c>
      <c r="AC386" s="48">
        <f t="shared" si="186"/>
        <v>497317.12886099995</v>
      </c>
      <c r="AD386" s="1"/>
      <c r="AE386" s="1"/>
      <c r="AF386" s="1"/>
      <c r="AI386" s="9"/>
      <c r="AJ386" s="1"/>
      <c r="AK386" s="1"/>
      <c r="AL386" s="1"/>
      <c r="AM386" s="1"/>
      <c r="AN386" s="1"/>
      <c r="AO386" s="1"/>
      <c r="AP386" s="9"/>
      <c r="AQ386" s="3"/>
      <c r="AR386" s="4"/>
      <c r="AS386" s="1"/>
      <c r="AT386" s="1"/>
      <c r="AU386" s="1"/>
      <c r="AV386" s="1"/>
      <c r="AW386" s="1"/>
      <c r="AX386" s="3"/>
      <c r="AY386" s="3"/>
      <c r="AZ386" s="5"/>
      <c r="BA386" s="5"/>
      <c r="BB386" s="5"/>
      <c r="BC386" s="5"/>
      <c r="BD386" s="6"/>
      <c r="BE386" s="6"/>
      <c r="BF386" s="12"/>
      <c r="BG386" s="12"/>
      <c r="BH386" s="12"/>
      <c r="BI386" s="12"/>
      <c r="BJ386" s="12"/>
    </row>
    <row r="387" spans="2:62" x14ac:dyDescent="0.25">
      <c r="B387" s="1" t="s">
        <v>2579</v>
      </c>
      <c r="C387" s="1" t="s">
        <v>7</v>
      </c>
      <c r="D387" s="1" t="s">
        <v>1190</v>
      </c>
      <c r="E387" s="1" t="s">
        <v>8</v>
      </c>
      <c r="F387" s="1" t="s">
        <v>9</v>
      </c>
      <c r="G387" s="1" t="s">
        <v>10</v>
      </c>
      <c r="H387" s="1" t="s">
        <v>11</v>
      </c>
      <c r="I387" s="1" t="s">
        <v>2507</v>
      </c>
      <c r="J387" s="44">
        <v>1</v>
      </c>
      <c r="K387" s="45">
        <v>1</v>
      </c>
      <c r="L387" s="1" t="s">
        <v>2635</v>
      </c>
      <c r="M387" s="1" t="s">
        <v>2636</v>
      </c>
      <c r="N387" s="1" t="s">
        <v>1140</v>
      </c>
      <c r="O387" s="1" t="s">
        <v>1189</v>
      </c>
      <c r="P387" s="1" t="s">
        <v>1190</v>
      </c>
      <c r="Q387" s="44">
        <f>IF(L387="980",Multipliers!C379,"oops")</f>
        <v>1.05</v>
      </c>
      <c r="R387" s="44">
        <f>IF(M387="Tacoma",Multipliers!C158, "GOOF")</f>
        <v>1.2</v>
      </c>
      <c r="S387" s="46">
        <f t="shared" si="187"/>
        <v>426375.41100000008</v>
      </c>
      <c r="T387" s="46">
        <f t="shared" si="188"/>
        <v>469169.484</v>
      </c>
      <c r="U387" s="46">
        <f t="shared" si="198"/>
        <v>464477.78915999999</v>
      </c>
      <c r="V387" s="46">
        <f t="shared" si="199"/>
        <v>445426.60008</v>
      </c>
      <c r="W387" s="47">
        <f t="shared" si="197"/>
        <v>445426.60008</v>
      </c>
      <c r="X387" s="47"/>
      <c r="Y387" s="48">
        <f t="shared" si="200"/>
        <v>355227.05295000004</v>
      </c>
      <c r="Z387" s="48">
        <f t="shared" si="201"/>
        <v>392726.50704</v>
      </c>
      <c r="AA387" s="48">
        <f t="shared" si="184"/>
        <v>445426.60008000006</v>
      </c>
      <c r="AB387" s="48">
        <f t="shared" si="185"/>
        <v>482653.67871000001</v>
      </c>
      <c r="AC387" s="48">
        <f t="shared" si="186"/>
        <v>520344.76389000006</v>
      </c>
      <c r="AD387" s="1"/>
      <c r="AE387" s="1"/>
      <c r="AF387" s="1"/>
    </row>
    <row r="388" spans="2:62" x14ac:dyDescent="0.25">
      <c r="B388" s="1" t="s">
        <v>2579</v>
      </c>
      <c r="C388" s="1" t="s">
        <v>12</v>
      </c>
      <c r="D388" s="1" t="s">
        <v>1190</v>
      </c>
      <c r="E388" s="1" t="s">
        <v>13</v>
      </c>
      <c r="F388" s="1" t="s">
        <v>14</v>
      </c>
      <c r="G388" s="1" t="s">
        <v>15</v>
      </c>
      <c r="H388" s="1" t="s">
        <v>16</v>
      </c>
      <c r="I388" s="1" t="s">
        <v>2507</v>
      </c>
      <c r="J388" s="44">
        <v>1</v>
      </c>
      <c r="K388" s="45">
        <v>1</v>
      </c>
      <c r="L388" s="1" t="s">
        <v>2602</v>
      </c>
      <c r="M388" s="1" t="s">
        <v>2603</v>
      </c>
      <c r="N388" s="1" t="s">
        <v>1140</v>
      </c>
      <c r="O388" s="1" t="s">
        <v>1189</v>
      </c>
      <c r="P388" s="1" t="s">
        <v>1190</v>
      </c>
      <c r="Q388" s="44">
        <f>IF(L388="983",Multipliers!C381,"oops")</f>
        <v>1.02</v>
      </c>
      <c r="R388" s="44">
        <f>IF(M388="Seattle",Multipliers!C157, "GOOF")</f>
        <v>1.21</v>
      </c>
      <c r="S388" s="46">
        <f t="shared" si="187"/>
        <v>414193.25640000007</v>
      </c>
      <c r="T388" s="46">
        <f t="shared" si="188"/>
        <v>473079.22969999997</v>
      </c>
      <c r="U388" s="46">
        <f>IF(O388="E",$T$3*T388,IF(O388="C",$T$4*T388,IF(O388="W",$T$5*T388,1)))</f>
        <v>468348.43740299996</v>
      </c>
      <c r="V388" s="46">
        <f>(S388+U388)/2</f>
        <v>441270.84690150002</v>
      </c>
      <c r="W388" s="47">
        <f t="shared" si="197"/>
        <v>441270.84690150002</v>
      </c>
      <c r="X388" s="47"/>
      <c r="Y388" s="48">
        <f>IF(N388="Standard",(((($Z$3*Q388)+($AD$3*R388*$T$5))/2)*$O$7),IF(N388="Severe",(((($AA$3*Q388)+($AE$3*R388*$T$5))/2)*$O$7),IF(N388="Hostile",(((($AB$3*Q388)+($AF$3*R388*$T$5))/2)*$O$7))))</f>
        <v>351692.92273500003</v>
      </c>
      <c r="Z388" s="48">
        <f>IF(N388="Standard",(((($Z$4*Q388)+($AD$4*R388*$T$5))/2)*$O$7),IF(N388="Severe",(((($AA$4*Q388)+($AE$4*R388*$T$5))/2)*$O$7),IF(N388="Hostile",(((($AB$4*Q388)+($AF$4*R388*$T$5))/2)*$O$7))))</f>
        <v>388924.50170699996</v>
      </c>
      <c r="AA388" s="48">
        <f t="shared" si="184"/>
        <v>441270.84690150007</v>
      </c>
      <c r="AB388" s="48">
        <f t="shared" si="185"/>
        <v>478235.93439300009</v>
      </c>
      <c r="AC388" s="48">
        <f t="shared" si="186"/>
        <v>515596.96643700002</v>
      </c>
      <c r="AD388" s="1"/>
      <c r="AE388" s="1"/>
      <c r="AF388" s="1"/>
      <c r="AI388" s="9"/>
      <c r="AJ388" s="1"/>
      <c r="AK388" s="1"/>
      <c r="AL388" s="1"/>
      <c r="AM388" s="1"/>
      <c r="AN388" s="1"/>
      <c r="AO388" s="1"/>
      <c r="AP388" s="9"/>
      <c r="AQ388" s="3"/>
      <c r="AR388" s="4"/>
      <c r="AS388" s="1"/>
      <c r="AT388" s="1"/>
      <c r="AU388" s="1"/>
      <c r="AV388" s="1"/>
      <c r="AW388" s="1"/>
      <c r="AX388" s="3"/>
      <c r="AY388" s="3"/>
      <c r="AZ388" s="5"/>
      <c r="BA388" s="5"/>
      <c r="BB388" s="5"/>
      <c r="BC388" s="5"/>
      <c r="BD388" s="6"/>
      <c r="BE388" s="6"/>
      <c r="BF388" s="12"/>
      <c r="BG388" s="12"/>
      <c r="BH388" s="12"/>
      <c r="BI388" s="12"/>
      <c r="BJ388" s="12"/>
    </row>
    <row r="389" spans="2:62" x14ac:dyDescent="0.25">
      <c r="B389" s="1" t="s">
        <v>2579</v>
      </c>
      <c r="C389" s="1" t="s">
        <v>17</v>
      </c>
      <c r="D389" s="1" t="s">
        <v>1190</v>
      </c>
      <c r="E389" s="1" t="s">
        <v>18</v>
      </c>
      <c r="F389" s="1" t="s">
        <v>19</v>
      </c>
      <c r="G389" s="1" t="s">
        <v>20</v>
      </c>
      <c r="H389" s="1" t="s">
        <v>21</v>
      </c>
      <c r="I389" s="1" t="s">
        <v>2507</v>
      </c>
      <c r="J389" s="44">
        <v>1</v>
      </c>
      <c r="K389" s="45">
        <v>1</v>
      </c>
      <c r="L389" s="1" t="s">
        <v>2585</v>
      </c>
      <c r="M389" s="1" t="s">
        <v>2603</v>
      </c>
      <c r="N389" s="1" t="s">
        <v>1140</v>
      </c>
      <c r="O389" s="1" t="s">
        <v>1189</v>
      </c>
      <c r="P389" s="1" t="s">
        <v>1190</v>
      </c>
      <c r="Q389" s="44">
        <f>IF(L389="985",Multipliers!C383,"oops")</f>
        <v>1</v>
      </c>
      <c r="R389" s="44">
        <f>IF(M389="Seattle",Multipliers!C157, "GOOF")</f>
        <v>1.21</v>
      </c>
      <c r="S389" s="46">
        <f t="shared" si="187"/>
        <v>406071.82000000007</v>
      </c>
      <c r="T389" s="46">
        <f t="shared" si="188"/>
        <v>473079.22969999997</v>
      </c>
      <c r="U389" s="46">
        <f t="shared" si="198"/>
        <v>468348.43740299996</v>
      </c>
      <c r="V389" s="46">
        <f t="shared" si="199"/>
        <v>437210.12870150001</v>
      </c>
      <c r="W389" s="47">
        <f t="shared" si="197"/>
        <v>437210.12870150001</v>
      </c>
      <c r="X389" s="47"/>
      <c r="Y389" s="48">
        <f t="shared" si="200"/>
        <v>348340.99723500002</v>
      </c>
      <c r="Z389" s="48">
        <f t="shared" si="201"/>
        <v>385273.03010699997</v>
      </c>
      <c r="AA389" s="48">
        <f t="shared" si="184"/>
        <v>437210.12870150001</v>
      </c>
      <c r="AB389" s="48">
        <f t="shared" si="185"/>
        <v>473879.878493</v>
      </c>
      <c r="AC389" s="48">
        <f t="shared" si="186"/>
        <v>510908.44833699998</v>
      </c>
      <c r="AD389" s="1"/>
      <c r="AE389" s="1"/>
      <c r="AF389" s="1"/>
      <c r="AI389" s="9"/>
      <c r="AJ389" s="1"/>
      <c r="AK389" s="1"/>
      <c r="AL389" s="1"/>
      <c r="AM389" s="1"/>
      <c r="AN389" s="1"/>
      <c r="AO389" s="1"/>
      <c r="AP389" s="9"/>
      <c r="AQ389" s="3"/>
      <c r="AR389" s="4"/>
      <c r="AS389" s="1"/>
      <c r="AT389" s="1"/>
      <c r="AU389" s="1"/>
      <c r="AV389" s="1"/>
      <c r="AW389" s="1"/>
      <c r="AX389" s="3"/>
      <c r="AY389" s="3"/>
      <c r="AZ389" s="5"/>
      <c r="BA389" s="5"/>
      <c r="BB389" s="5"/>
      <c r="BC389" s="5"/>
      <c r="BD389" s="6"/>
      <c r="BE389" s="6"/>
      <c r="BF389" s="12"/>
      <c r="BG389" s="12"/>
      <c r="BH389" s="12"/>
      <c r="BI389" s="12"/>
      <c r="BJ389" s="12"/>
    </row>
    <row r="390" spans="2:62" x14ac:dyDescent="0.25">
      <c r="B390" s="1" t="s">
        <v>2579</v>
      </c>
      <c r="C390" s="1" t="s">
        <v>22</v>
      </c>
      <c r="D390" s="1" t="s">
        <v>1190</v>
      </c>
      <c r="E390" s="1" t="s">
        <v>1190</v>
      </c>
      <c r="F390" s="1" t="s">
        <v>23</v>
      </c>
      <c r="G390" s="1" t="s">
        <v>1190</v>
      </c>
      <c r="H390" s="1" t="s">
        <v>1190</v>
      </c>
      <c r="I390" s="1" t="s">
        <v>2507</v>
      </c>
      <c r="J390" s="44">
        <v>1</v>
      </c>
      <c r="K390" s="45">
        <v>1</v>
      </c>
      <c r="L390" s="1" t="s">
        <v>2623</v>
      </c>
      <c r="M390" s="1" t="s">
        <v>2624</v>
      </c>
      <c r="N390" s="1" t="s">
        <v>1140</v>
      </c>
      <c r="O390" s="1" t="s">
        <v>1189</v>
      </c>
      <c r="P390" s="1" t="s">
        <v>1190</v>
      </c>
      <c r="Q390" s="44">
        <f>IF(L390="982",Multipliers!C380,"oops")</f>
        <v>1.05</v>
      </c>
      <c r="R390" s="44">
        <f>IF(M390="Bellingham",Multipliers!C152, "GOOF")</f>
        <v>1.1399999999999999</v>
      </c>
      <c r="S390" s="46">
        <f t="shared" si="187"/>
        <v>426375.41100000008</v>
      </c>
      <c r="T390" s="46">
        <f t="shared" si="188"/>
        <v>445711.00979999994</v>
      </c>
      <c r="U390" s="46">
        <f t="shared" si="198"/>
        <v>441253.89970199997</v>
      </c>
      <c r="V390" s="46">
        <f t="shared" si="199"/>
        <v>433814.65535100002</v>
      </c>
      <c r="W390" s="47">
        <f t="shared" si="197"/>
        <v>433814.65535100002</v>
      </c>
      <c r="X390" s="47"/>
      <c r="Y390" s="48">
        <f t="shared" si="200"/>
        <v>346264.50474</v>
      </c>
      <c r="Z390" s="48">
        <f t="shared" si="201"/>
        <v>382675.29463799996</v>
      </c>
      <c r="AA390" s="48">
        <f t="shared" si="184"/>
        <v>433814.65535100002</v>
      </c>
      <c r="AB390" s="48">
        <f t="shared" si="185"/>
        <v>469955.641512</v>
      </c>
      <c r="AC390" s="48">
        <f t="shared" si="186"/>
        <v>506634.88570800005</v>
      </c>
      <c r="AD390" s="1"/>
      <c r="AE390" s="1"/>
      <c r="AF390" s="1"/>
      <c r="AI390" s="9"/>
      <c r="AJ390" s="1"/>
      <c r="AK390" s="1"/>
      <c r="AL390" s="1"/>
      <c r="AM390" s="1"/>
      <c r="AN390" s="1"/>
      <c r="AO390" s="1"/>
      <c r="AP390" s="9"/>
      <c r="AQ390" s="3"/>
      <c r="AR390" s="4"/>
      <c r="AS390" s="1"/>
      <c r="AT390" s="1"/>
      <c r="AU390" s="1"/>
      <c r="AV390" s="1"/>
      <c r="AW390" s="1"/>
      <c r="AX390" s="3"/>
      <c r="AY390" s="3"/>
      <c r="AZ390" s="5"/>
      <c r="BA390" s="5"/>
      <c r="BB390" s="5"/>
      <c r="BC390" s="5"/>
      <c r="BD390" s="6"/>
      <c r="BE390" s="6"/>
      <c r="BF390" s="12"/>
      <c r="BG390" s="12"/>
      <c r="BH390" s="12"/>
      <c r="BI390" s="12"/>
      <c r="BJ390" s="12"/>
    </row>
    <row r="391" spans="2:62" x14ac:dyDescent="0.25">
      <c r="B391" s="1" t="s">
        <v>2579</v>
      </c>
      <c r="C391" s="1" t="s">
        <v>24</v>
      </c>
      <c r="D391" s="1" t="s">
        <v>1190</v>
      </c>
      <c r="E391" s="1" t="s">
        <v>25</v>
      </c>
      <c r="F391" s="1" t="s">
        <v>26</v>
      </c>
      <c r="G391" s="1" t="s">
        <v>27</v>
      </c>
      <c r="H391" s="1" t="s">
        <v>28</v>
      </c>
      <c r="I391" s="1" t="s">
        <v>2507</v>
      </c>
      <c r="J391" s="44">
        <v>1</v>
      </c>
      <c r="K391" s="45">
        <v>1</v>
      </c>
      <c r="L391" s="1" t="s">
        <v>2635</v>
      </c>
      <c r="M391" s="1" t="s">
        <v>2624</v>
      </c>
      <c r="N391" s="1" t="s">
        <v>1140</v>
      </c>
      <c r="O391" s="1" t="s">
        <v>1189</v>
      </c>
      <c r="P391" s="1" t="s">
        <v>1190</v>
      </c>
      <c r="Q391" s="44">
        <f>IF(L391="980",Multipliers!C379,"oops")</f>
        <v>1.05</v>
      </c>
      <c r="R391" s="44">
        <f>IF(M391="Bellingham",Multipliers!C152, "GOOF")</f>
        <v>1.1399999999999999</v>
      </c>
      <c r="S391" s="46">
        <f t="shared" si="187"/>
        <v>426375.41100000008</v>
      </c>
      <c r="T391" s="46">
        <f t="shared" si="188"/>
        <v>445711.00979999994</v>
      </c>
      <c r="U391" s="46">
        <f t="shared" si="198"/>
        <v>441253.89970199997</v>
      </c>
      <c r="V391" s="46">
        <f t="shared" si="199"/>
        <v>433814.65535100002</v>
      </c>
      <c r="W391" s="47">
        <f t="shared" si="197"/>
        <v>433814.65535100002</v>
      </c>
      <c r="X391" s="47"/>
      <c r="Y391" s="48">
        <f t="shared" si="200"/>
        <v>346264.50474</v>
      </c>
      <c r="Z391" s="48">
        <f t="shared" si="201"/>
        <v>382675.29463799996</v>
      </c>
      <c r="AA391" s="48">
        <f t="shared" si="184"/>
        <v>433814.65535100002</v>
      </c>
      <c r="AB391" s="48">
        <f t="shared" si="185"/>
        <v>469955.641512</v>
      </c>
      <c r="AC391" s="48">
        <f t="shared" si="186"/>
        <v>506634.88570800005</v>
      </c>
      <c r="AD391" s="1"/>
      <c r="AE391" s="1"/>
      <c r="AF391" s="1"/>
      <c r="AI391" s="9"/>
      <c r="AJ391" s="1"/>
      <c r="AK391" s="1"/>
      <c r="AL391" s="1"/>
      <c r="AM391" s="1"/>
      <c r="AN391" s="1"/>
      <c r="AO391" s="1"/>
      <c r="AP391" s="9"/>
      <c r="AQ391" s="3"/>
      <c r="AR391" s="4"/>
      <c r="AS391" s="1"/>
      <c r="AT391" s="1"/>
      <c r="AU391" s="1"/>
      <c r="AV391" s="1"/>
      <c r="AW391" s="1"/>
      <c r="AX391" s="3"/>
      <c r="AY391" s="3"/>
      <c r="AZ391" s="5"/>
      <c r="BA391" s="5"/>
      <c r="BB391" s="5"/>
      <c r="BC391" s="5"/>
      <c r="BD391" s="6"/>
      <c r="BE391" s="6"/>
      <c r="BF391" s="12"/>
      <c r="BG391" s="12"/>
      <c r="BH391" s="12"/>
      <c r="BI391" s="12"/>
      <c r="BJ391" s="12"/>
    </row>
    <row r="392" spans="2:62" x14ac:dyDescent="0.25">
      <c r="B392" s="1" t="s">
        <v>2579</v>
      </c>
      <c r="C392" s="1" t="s">
        <v>29</v>
      </c>
      <c r="D392" s="1" t="s">
        <v>1190</v>
      </c>
      <c r="E392" s="1" t="s">
        <v>30</v>
      </c>
      <c r="F392" s="1" t="s">
        <v>31</v>
      </c>
      <c r="G392" s="1" t="s">
        <v>2600</v>
      </c>
      <c r="H392" s="1" t="s">
        <v>2601</v>
      </c>
      <c r="I392" s="1" t="s">
        <v>2507</v>
      </c>
      <c r="J392" s="44">
        <v>1</v>
      </c>
      <c r="K392" s="45">
        <v>1</v>
      </c>
      <c r="L392" s="7" t="s">
        <v>2585</v>
      </c>
      <c r="M392" s="1" t="s">
        <v>2603</v>
      </c>
      <c r="N392" s="1" t="s">
        <v>1140</v>
      </c>
      <c r="O392" s="1" t="s">
        <v>1189</v>
      </c>
      <c r="P392" s="1" t="s">
        <v>1190</v>
      </c>
      <c r="Q392" s="44">
        <f>IF(L392="985",Multipliers!C383,"oops")</f>
        <v>1</v>
      </c>
      <c r="R392" s="44">
        <f>IF(M392="Seattle",Multipliers!C157, "GOOF")</f>
        <v>1.21</v>
      </c>
      <c r="S392" s="46">
        <f t="shared" si="187"/>
        <v>406071.82000000007</v>
      </c>
      <c r="T392" s="46">
        <f t="shared" si="188"/>
        <v>473079.22969999997</v>
      </c>
      <c r="U392" s="46">
        <f t="shared" si="198"/>
        <v>468348.43740299996</v>
      </c>
      <c r="V392" s="46">
        <f t="shared" si="199"/>
        <v>437210.12870150001</v>
      </c>
      <c r="W392" s="47">
        <f t="shared" si="197"/>
        <v>437210.12870150001</v>
      </c>
      <c r="X392" s="47"/>
      <c r="Y392" s="48">
        <f t="shared" si="200"/>
        <v>348340.99723500002</v>
      </c>
      <c r="Z392" s="48">
        <f t="shared" si="201"/>
        <v>385273.03010699997</v>
      </c>
      <c r="AA392" s="48">
        <f t="shared" si="184"/>
        <v>437210.12870150001</v>
      </c>
      <c r="AB392" s="48">
        <f t="shared" si="185"/>
        <v>473879.878493</v>
      </c>
      <c r="AC392" s="48">
        <f t="shared" si="186"/>
        <v>510908.44833699998</v>
      </c>
      <c r="AD392" s="1"/>
      <c r="AE392" s="1"/>
      <c r="AF392" s="1"/>
      <c r="AI392" s="9"/>
      <c r="AJ392" s="1"/>
      <c r="AK392" s="1"/>
      <c r="AL392" s="1"/>
      <c r="AM392" s="1"/>
      <c r="AN392" s="1"/>
      <c r="AO392" s="1"/>
      <c r="AP392" s="9"/>
      <c r="AQ392" s="3"/>
      <c r="AR392" s="4"/>
      <c r="AS392" s="1"/>
      <c r="AT392" s="1"/>
      <c r="AU392" s="1"/>
      <c r="AV392" s="1"/>
      <c r="AW392" s="1"/>
      <c r="AX392" s="3"/>
      <c r="AY392" s="3"/>
      <c r="AZ392" s="5"/>
      <c r="BA392" s="5"/>
      <c r="BB392" s="5"/>
      <c r="BC392" s="5"/>
      <c r="BD392" s="6"/>
      <c r="BE392" s="6"/>
      <c r="BF392" s="12"/>
      <c r="BG392" s="12"/>
      <c r="BH392" s="12"/>
      <c r="BI392" s="12"/>
      <c r="BJ392" s="12"/>
    </row>
    <row r="393" spans="2:62" x14ac:dyDescent="0.25">
      <c r="B393" s="1" t="s">
        <v>2579</v>
      </c>
      <c r="C393" s="1" t="s">
        <v>32</v>
      </c>
      <c r="D393" s="1" t="s">
        <v>1190</v>
      </c>
      <c r="E393" s="1" t="s">
        <v>33</v>
      </c>
      <c r="F393" s="1" t="s">
        <v>34</v>
      </c>
      <c r="G393" s="1" t="s">
        <v>2600</v>
      </c>
      <c r="H393" s="1" t="s">
        <v>2601</v>
      </c>
      <c r="I393" s="1" t="s">
        <v>2507</v>
      </c>
      <c r="J393" s="44">
        <v>1</v>
      </c>
      <c r="K393" s="45">
        <v>1</v>
      </c>
      <c r="L393" s="1" t="s">
        <v>2585</v>
      </c>
      <c r="M393" s="1" t="s">
        <v>2641</v>
      </c>
      <c r="N393" s="1" t="s">
        <v>1140</v>
      </c>
      <c r="O393" s="1" t="s">
        <v>1189</v>
      </c>
      <c r="P393" s="1" t="s">
        <v>1190</v>
      </c>
      <c r="Q393" s="44">
        <f>IF(L393="985",Multipliers!C383,"oops")</f>
        <v>1</v>
      </c>
      <c r="R393" s="44">
        <f>IF(M393="Olympia",Multipliers!C156, "GOOF")</f>
        <v>1.21</v>
      </c>
      <c r="S393" s="46">
        <f t="shared" si="187"/>
        <v>406071.82000000007</v>
      </c>
      <c r="T393" s="46">
        <f t="shared" si="188"/>
        <v>473079.22969999997</v>
      </c>
      <c r="U393" s="46">
        <f t="shared" si="198"/>
        <v>468348.43740299996</v>
      </c>
      <c r="V393" s="46">
        <f t="shared" si="199"/>
        <v>437210.12870150001</v>
      </c>
      <c r="W393" s="47">
        <f>IF(F393=F395,(V393+V395)/2,IF(F393=F392,(V393+V392)/2,IF(F393&lt;&gt;F392,V393)))</f>
        <v>437210.12870150001</v>
      </c>
      <c r="X393" s="47"/>
      <c r="Y393" s="48">
        <f t="shared" si="200"/>
        <v>348340.99723500002</v>
      </c>
      <c r="Z393" s="48">
        <f t="shared" si="201"/>
        <v>385273.03010699997</v>
      </c>
      <c r="AA393" s="48">
        <f t="shared" si="184"/>
        <v>437210.12870150001</v>
      </c>
      <c r="AB393" s="48">
        <f t="shared" si="185"/>
        <v>473879.878493</v>
      </c>
      <c r="AC393" s="48">
        <f t="shared" si="186"/>
        <v>510908.44833699998</v>
      </c>
      <c r="AD393" s="1"/>
      <c r="AE393" s="1"/>
      <c r="AF393" s="1"/>
      <c r="AI393" s="9"/>
      <c r="AJ393" s="1"/>
      <c r="AK393" s="1"/>
      <c r="AL393" s="1"/>
      <c r="AM393" s="1"/>
      <c r="AN393" s="1"/>
      <c r="AO393" s="1"/>
      <c r="AP393" s="9"/>
      <c r="AQ393" s="3"/>
      <c r="AR393" s="4"/>
      <c r="AS393" s="1"/>
      <c r="AT393" s="1"/>
      <c r="AU393" s="1"/>
      <c r="AV393" s="1"/>
      <c r="AW393" s="1"/>
      <c r="AX393" s="3"/>
      <c r="AY393" s="3"/>
      <c r="AZ393" s="5"/>
      <c r="BA393" s="5"/>
      <c r="BB393" s="5"/>
      <c r="BC393" s="5"/>
      <c r="BD393" s="6"/>
      <c r="BE393" s="6"/>
      <c r="BF393" s="12"/>
      <c r="BG393" s="12"/>
      <c r="BH393" s="12"/>
      <c r="BI393" s="12"/>
      <c r="BJ393" s="12"/>
    </row>
    <row r="394" spans="2:62" x14ac:dyDescent="0.25">
      <c r="B394" s="1" t="s">
        <v>2579</v>
      </c>
      <c r="C394" s="1"/>
      <c r="D394" s="1"/>
      <c r="E394" s="1"/>
      <c r="F394" s="1" t="s">
        <v>35</v>
      </c>
      <c r="G394" s="1"/>
      <c r="H394" s="1"/>
      <c r="I394" s="1" t="s">
        <v>2507</v>
      </c>
      <c r="J394" s="44">
        <v>1</v>
      </c>
      <c r="K394" s="45">
        <v>1</v>
      </c>
      <c r="L394" s="7" t="s">
        <v>2635</v>
      </c>
      <c r="M394" s="1" t="s">
        <v>2624</v>
      </c>
      <c r="N394" s="1" t="s">
        <v>1140</v>
      </c>
      <c r="O394" s="1" t="s">
        <v>1189</v>
      </c>
      <c r="P394" s="1"/>
      <c r="Q394" s="44">
        <f>IF(L394="980",Multipliers!C380,"oops")</f>
        <v>1.05</v>
      </c>
      <c r="R394" s="44">
        <f>IF(M394="Bellingham",Multipliers!C152, "GOOF")</f>
        <v>1.1399999999999999</v>
      </c>
      <c r="S394" s="46">
        <f t="shared" si="187"/>
        <v>426375.41100000008</v>
      </c>
      <c r="T394" s="46">
        <f t="shared" si="188"/>
        <v>445711.00979999994</v>
      </c>
      <c r="U394" s="46">
        <f t="shared" si="198"/>
        <v>441253.89970199997</v>
      </c>
      <c r="V394" s="46">
        <f t="shared" si="199"/>
        <v>433814.65535100002</v>
      </c>
      <c r="W394" s="47">
        <f>IF(F394=F395,(V394+V395)/2,IF(F394=F393,(V394+V393)/2,IF(F394&lt;&gt;F393,V394)))</f>
        <v>433814.65535100002</v>
      </c>
      <c r="X394" s="47"/>
      <c r="Y394" s="48">
        <f t="shared" si="200"/>
        <v>346264.50474</v>
      </c>
      <c r="Z394" s="48">
        <f t="shared" si="201"/>
        <v>382675.29463799996</v>
      </c>
      <c r="AA394" s="48">
        <f t="shared" si="184"/>
        <v>433814.65535100002</v>
      </c>
      <c r="AB394" s="48">
        <f t="shared" si="185"/>
        <v>469955.641512</v>
      </c>
      <c r="AC394" s="48">
        <f t="shared" si="186"/>
        <v>506634.88570800005</v>
      </c>
      <c r="AD394" s="1"/>
      <c r="AE394" s="1"/>
      <c r="AF394" s="1"/>
      <c r="AI394" s="9"/>
      <c r="AJ394" s="1"/>
      <c r="AK394" s="1"/>
      <c r="AL394" s="1"/>
      <c r="AM394" s="1"/>
      <c r="AN394" s="1"/>
      <c r="AO394" s="1"/>
      <c r="AP394" s="9"/>
      <c r="AQ394" s="3"/>
      <c r="AR394" s="4"/>
      <c r="AS394" s="1"/>
      <c r="AT394" s="1"/>
      <c r="AU394" s="1"/>
      <c r="AV394" s="1"/>
      <c r="AW394" s="1"/>
      <c r="AX394" s="3"/>
      <c r="AY394" s="3"/>
      <c r="AZ394" s="5"/>
      <c r="BA394" s="5"/>
      <c r="BB394" s="5"/>
      <c r="BC394" s="5"/>
      <c r="BD394" s="6"/>
      <c r="BE394" s="6"/>
      <c r="BF394" s="12"/>
      <c r="BG394" s="12"/>
      <c r="BH394" s="12"/>
      <c r="BI394" s="12"/>
      <c r="BJ394" s="12"/>
    </row>
    <row r="395" spans="2:62" x14ac:dyDescent="0.25">
      <c r="B395" s="1" t="s">
        <v>2579</v>
      </c>
      <c r="C395" s="1" t="s">
        <v>36</v>
      </c>
      <c r="D395" s="1" t="s">
        <v>1190</v>
      </c>
      <c r="E395" s="1" t="s">
        <v>37</v>
      </c>
      <c r="F395" s="1" t="s">
        <v>38</v>
      </c>
      <c r="G395" s="1" t="s">
        <v>2610</v>
      </c>
      <c r="H395" s="1" t="s">
        <v>2611</v>
      </c>
      <c r="I395" s="1" t="s">
        <v>2507</v>
      </c>
      <c r="J395" s="44">
        <v>1</v>
      </c>
      <c r="K395" s="45">
        <v>1</v>
      </c>
      <c r="L395" s="1" t="s">
        <v>2612</v>
      </c>
      <c r="M395" s="1" t="s">
        <v>2593</v>
      </c>
      <c r="N395" s="1" t="s">
        <v>1140</v>
      </c>
      <c r="O395" s="1" t="s">
        <v>1189</v>
      </c>
      <c r="P395" s="1" t="s">
        <v>1190</v>
      </c>
      <c r="Q395" s="44">
        <f>IF(L395="991",Multipliers!C387,"oops")</f>
        <v>0.97</v>
      </c>
      <c r="R395" s="44">
        <f>IF(M395="WASHINGTON",Multipliers!C151, "GOOF")</f>
        <v>1.1299999999999999</v>
      </c>
      <c r="S395" s="46">
        <f t="shared" si="187"/>
        <v>393889.66540000006</v>
      </c>
      <c r="T395" s="46">
        <f t="shared" si="188"/>
        <v>441801.26409999997</v>
      </c>
      <c r="U395" s="46">
        <f t="shared" si="198"/>
        <v>437383.25145899999</v>
      </c>
      <c r="V395" s="46">
        <f t="shared" si="199"/>
        <v>415636.45842949999</v>
      </c>
      <c r="W395" s="47">
        <f>IF(F395=F396,(V395+V396)/2,IF(F395=F393,(V395+V393)/2,IF(F395&lt;&gt;F393,V395)))</f>
        <v>415636.45842949999</v>
      </c>
      <c r="X395" s="47"/>
      <c r="Y395" s="48">
        <f t="shared" si="200"/>
        <v>331363.04470500001</v>
      </c>
      <c r="Z395" s="48">
        <f t="shared" si="201"/>
        <v>366394.20617099997</v>
      </c>
      <c r="AA395" s="48">
        <f t="shared" si="184"/>
        <v>415636.45842949999</v>
      </c>
      <c r="AB395" s="48">
        <f t="shared" si="185"/>
        <v>450415.07837900001</v>
      </c>
      <c r="AC395" s="48">
        <f t="shared" si="186"/>
        <v>485595.83361099998</v>
      </c>
      <c r="AD395" s="1"/>
      <c r="AE395" s="1"/>
      <c r="AF395" s="1"/>
      <c r="AI395" s="9"/>
      <c r="AJ395" s="1"/>
      <c r="AK395" s="1"/>
      <c r="AL395" s="1"/>
      <c r="AM395" s="1"/>
      <c r="AN395" s="1"/>
      <c r="AO395" s="1"/>
      <c r="AP395" s="9"/>
      <c r="AQ395" s="3"/>
      <c r="AR395" s="4"/>
      <c r="AS395" s="1"/>
      <c r="AT395" s="1"/>
      <c r="AU395" s="1"/>
      <c r="AV395" s="1"/>
      <c r="AW395" s="1"/>
      <c r="AX395" s="3"/>
      <c r="AY395" s="3"/>
      <c r="AZ395" s="5"/>
      <c r="BA395" s="5"/>
      <c r="BB395" s="5"/>
      <c r="BC395" s="5"/>
      <c r="BD395" s="6"/>
      <c r="BE395" s="6"/>
      <c r="BF395" s="12"/>
      <c r="BG395" s="12"/>
      <c r="BH395" s="12"/>
      <c r="BI395" s="12"/>
      <c r="BJ395" s="12"/>
    </row>
    <row r="396" spans="2:62" x14ac:dyDescent="0.25">
      <c r="B396" s="1" t="s">
        <v>2579</v>
      </c>
      <c r="C396" s="1" t="s">
        <v>39</v>
      </c>
      <c r="D396" s="1" t="s">
        <v>1190</v>
      </c>
      <c r="E396" s="1" t="s">
        <v>40</v>
      </c>
      <c r="F396" s="1" t="s">
        <v>41</v>
      </c>
      <c r="G396" s="1" t="s">
        <v>2600</v>
      </c>
      <c r="H396" s="1" t="s">
        <v>2601</v>
      </c>
      <c r="I396" s="1" t="s">
        <v>2507</v>
      </c>
      <c r="J396" s="44">
        <v>1</v>
      </c>
      <c r="K396" s="45">
        <v>1</v>
      </c>
      <c r="L396" s="1" t="s">
        <v>2585</v>
      </c>
      <c r="M396" s="1" t="s">
        <v>2641</v>
      </c>
      <c r="N396" s="1" t="s">
        <v>1140</v>
      </c>
      <c r="O396" s="1" t="s">
        <v>1189</v>
      </c>
      <c r="P396" s="1" t="s">
        <v>1190</v>
      </c>
      <c r="Q396" s="44">
        <f>IF(L396="985",Multipliers!C383,"oops")</f>
        <v>1</v>
      </c>
      <c r="R396" s="44">
        <f>IF(M396="Olympia",Multipliers!C156, "GOOF")</f>
        <v>1.21</v>
      </c>
      <c r="S396" s="46">
        <f t="shared" si="187"/>
        <v>406071.82000000007</v>
      </c>
      <c r="T396" s="46">
        <f t="shared" si="188"/>
        <v>473079.22969999997</v>
      </c>
      <c r="U396" s="46">
        <f t="shared" si="198"/>
        <v>468348.43740299996</v>
      </c>
      <c r="V396" s="46">
        <f t="shared" si="199"/>
        <v>437210.12870150001</v>
      </c>
      <c r="W396" s="47">
        <f t="shared" ref="W396:W401" si="202">IF(F396=F397,(V396+V397)/2,IF(F396=F395,(V396+V395)/2,IF(F396&lt;&gt;F395,V396)))</f>
        <v>437210.12870150001</v>
      </c>
      <c r="X396" s="47"/>
      <c r="Y396" s="48">
        <f t="shared" si="200"/>
        <v>348340.99723500002</v>
      </c>
      <c r="Z396" s="48">
        <f t="shared" si="201"/>
        <v>385273.03010699997</v>
      </c>
      <c r="AA396" s="48">
        <f t="shared" si="184"/>
        <v>437210.12870150001</v>
      </c>
      <c r="AB396" s="48">
        <f t="shared" si="185"/>
        <v>473879.878493</v>
      </c>
      <c r="AC396" s="48">
        <f t="shared" si="186"/>
        <v>510908.44833699998</v>
      </c>
      <c r="AD396" s="1"/>
      <c r="AE396" s="1"/>
      <c r="AF396" s="1"/>
      <c r="AI396" s="9"/>
      <c r="AJ396" s="1"/>
      <c r="AK396" s="1"/>
      <c r="AL396" s="1"/>
      <c r="AM396" s="1"/>
      <c r="AN396" s="1"/>
      <c r="AO396" s="1"/>
      <c r="AP396" s="9"/>
      <c r="AQ396" s="3"/>
      <c r="AR396" s="4"/>
      <c r="AS396" s="1"/>
      <c r="AT396" s="1"/>
      <c r="AU396" s="1"/>
      <c r="AV396" s="1"/>
      <c r="AW396" s="1"/>
      <c r="AX396" s="3"/>
      <c r="AY396" s="3"/>
      <c r="AZ396" s="5"/>
      <c r="BA396" s="5"/>
      <c r="BB396" s="5"/>
      <c r="BC396" s="5"/>
      <c r="BD396" s="6"/>
      <c r="BE396" s="6"/>
      <c r="BF396" s="12"/>
      <c r="BG396" s="12"/>
      <c r="BH396" s="12"/>
      <c r="BI396" s="12"/>
      <c r="BJ396" s="12"/>
    </row>
    <row r="397" spans="2:62" x14ac:dyDescent="0.25">
      <c r="B397" s="1" t="s">
        <v>2579</v>
      </c>
      <c r="C397" s="1" t="s">
        <v>42</v>
      </c>
      <c r="D397" s="1" t="s">
        <v>1190</v>
      </c>
      <c r="E397" s="1" t="s">
        <v>43</v>
      </c>
      <c r="F397" s="1" t="s">
        <v>44</v>
      </c>
      <c r="G397" s="1" t="s">
        <v>45</v>
      </c>
      <c r="H397" s="1" t="s">
        <v>46</v>
      </c>
      <c r="I397" s="1" t="s">
        <v>2507</v>
      </c>
      <c r="J397" s="44">
        <v>1</v>
      </c>
      <c r="K397" s="45">
        <v>1</v>
      </c>
      <c r="L397" s="1" t="s">
        <v>2623</v>
      </c>
      <c r="M397" s="1" t="s">
        <v>2624</v>
      </c>
      <c r="N397" s="1" t="s">
        <v>1140</v>
      </c>
      <c r="O397" s="1" t="s">
        <v>1189</v>
      </c>
      <c r="P397" s="1" t="s">
        <v>1190</v>
      </c>
      <c r="Q397" s="44">
        <f>IF(L397="982",Multipliers!C380,"oops")</f>
        <v>1.05</v>
      </c>
      <c r="R397" s="44">
        <f>IF(M397="Bellingham",Multipliers!C152, "GOOF")</f>
        <v>1.1399999999999999</v>
      </c>
      <c r="S397" s="46">
        <f t="shared" si="187"/>
        <v>426375.41100000008</v>
      </c>
      <c r="T397" s="46">
        <f t="shared" si="188"/>
        <v>445711.00979999994</v>
      </c>
      <c r="U397" s="46">
        <f t="shared" si="198"/>
        <v>441253.89970199997</v>
      </c>
      <c r="V397" s="46">
        <f t="shared" si="199"/>
        <v>433814.65535100002</v>
      </c>
      <c r="W397" s="47">
        <f t="shared" si="202"/>
        <v>433814.65535100002</v>
      </c>
      <c r="X397" s="47"/>
      <c r="Y397" s="48">
        <f t="shared" si="200"/>
        <v>346264.50474</v>
      </c>
      <c r="Z397" s="48">
        <f t="shared" si="201"/>
        <v>382675.29463799996</v>
      </c>
      <c r="AA397" s="48">
        <f t="shared" si="184"/>
        <v>433814.65535100002</v>
      </c>
      <c r="AB397" s="48">
        <f t="shared" si="185"/>
        <v>469955.641512</v>
      </c>
      <c r="AC397" s="48">
        <f t="shared" si="186"/>
        <v>506634.88570800005</v>
      </c>
      <c r="AD397" s="1"/>
      <c r="AE397" s="1"/>
      <c r="AF397" s="1"/>
      <c r="AI397" s="9"/>
      <c r="AJ397" s="1"/>
      <c r="AK397" s="1"/>
      <c r="AL397" s="1"/>
      <c r="AM397" s="1"/>
      <c r="AN397" s="1"/>
      <c r="AO397" s="1"/>
      <c r="AP397" s="9"/>
      <c r="AQ397" s="3"/>
      <c r="AR397" s="4"/>
      <c r="AS397" s="7"/>
      <c r="AT397" s="1"/>
      <c r="AU397" s="1"/>
      <c r="AV397" s="1"/>
      <c r="AW397" s="1"/>
      <c r="AX397" s="3"/>
      <c r="AY397" s="3"/>
      <c r="AZ397" s="5"/>
      <c r="BA397" s="5"/>
      <c r="BB397" s="5"/>
      <c r="BC397" s="5"/>
      <c r="BD397" s="6"/>
      <c r="BE397" s="6"/>
      <c r="BF397" s="12"/>
      <c r="BG397" s="12"/>
      <c r="BH397" s="12"/>
      <c r="BI397" s="12"/>
      <c r="BJ397" s="12"/>
    </row>
    <row r="398" spans="2:62" x14ac:dyDescent="0.25">
      <c r="B398" s="1" t="s">
        <v>2579</v>
      </c>
      <c r="C398" s="1" t="s">
        <v>47</v>
      </c>
      <c r="D398" s="1" t="s">
        <v>1190</v>
      </c>
      <c r="E398" s="1" t="s">
        <v>48</v>
      </c>
      <c r="F398" s="1" t="s">
        <v>49</v>
      </c>
      <c r="G398" s="1" t="s">
        <v>2600</v>
      </c>
      <c r="H398" s="1" t="s">
        <v>2601</v>
      </c>
      <c r="I398" s="1" t="s">
        <v>2507</v>
      </c>
      <c r="J398" s="44">
        <v>1</v>
      </c>
      <c r="K398" s="45">
        <v>1</v>
      </c>
      <c r="L398" s="1" t="s">
        <v>2602</v>
      </c>
      <c r="M398" s="1" t="s">
        <v>2603</v>
      </c>
      <c r="N398" s="1" t="s">
        <v>1140</v>
      </c>
      <c r="O398" s="1" t="s">
        <v>1189</v>
      </c>
      <c r="P398" s="1" t="s">
        <v>1190</v>
      </c>
      <c r="Q398" s="44">
        <f>IF(L398="983",Multipliers!C381,"oops")</f>
        <v>1.02</v>
      </c>
      <c r="R398" s="44">
        <f>IF(M398="Seattle",Multipliers!C157, "GOOF")</f>
        <v>1.21</v>
      </c>
      <c r="S398" s="46">
        <f t="shared" si="187"/>
        <v>414193.25640000007</v>
      </c>
      <c r="T398" s="46">
        <f t="shared" si="188"/>
        <v>473079.22969999997</v>
      </c>
      <c r="U398" s="46">
        <f t="shared" ref="U398:U413" si="203">IF(O398="E",$T$3*T398,IF(O398="C",$T$4*T398,IF(O398="W",$T$5*T398,1)))</f>
        <v>468348.43740299996</v>
      </c>
      <c r="V398" s="46">
        <f t="shared" ref="V398:V413" si="204">(S398+U398)/2</f>
        <v>441270.84690150002</v>
      </c>
      <c r="W398" s="47">
        <f t="shared" si="202"/>
        <v>441270.84690150002</v>
      </c>
      <c r="X398" s="47"/>
      <c r="Y398" s="48">
        <f t="shared" ref="Y398:Y412" si="205">IF(N398="Standard",(((($Z$3*Q398)+($AD$3*R398*$T$5))/2)*$O$7),IF(N398="Severe",(((($AA$3*Q398)+($AE$3*R398*$T$5))/2)*$O$7),IF(N398="Hostile",(((($AB$3*Q398)+($AF$3*R398*$T$5))/2)*$O$7))))</f>
        <v>351692.92273500003</v>
      </c>
      <c r="Z398" s="48">
        <f t="shared" ref="Z398:Z412" si="206">IF(N398="Standard",(((($Z$4*Q398)+($AD$4*R398*$T$5))/2)*$O$7),IF(N398="Severe",(((($AA$4*Q398)+($AE$4*R398*$T$5))/2)*$O$7),IF(N398="Hostile",(((($AB$4*Q398)+($AF$4*R398*$T$5))/2)*$O$7))))</f>
        <v>388924.50170699996</v>
      </c>
      <c r="AA398" s="48">
        <f t="shared" si="184"/>
        <v>441270.84690150007</v>
      </c>
      <c r="AB398" s="48">
        <f t="shared" si="185"/>
        <v>478235.93439300009</v>
      </c>
      <c r="AC398" s="48">
        <f t="shared" si="186"/>
        <v>515596.96643700002</v>
      </c>
      <c r="AD398" s="1"/>
      <c r="AE398" s="1"/>
      <c r="AF398" s="1"/>
      <c r="AI398" s="9"/>
      <c r="AJ398" s="1"/>
      <c r="AK398" s="1"/>
      <c r="AL398" s="1"/>
      <c r="AM398" s="1"/>
      <c r="AN398" s="1"/>
      <c r="AO398" s="1"/>
      <c r="AP398" s="9"/>
      <c r="AQ398" s="3"/>
      <c r="AR398" s="4"/>
      <c r="AS398" s="1"/>
      <c r="AT398" s="1"/>
      <c r="AU398" s="1"/>
      <c r="AV398" s="1"/>
      <c r="AW398" s="1"/>
      <c r="AX398" s="3"/>
      <c r="AY398" s="3"/>
      <c r="AZ398" s="5"/>
      <c r="BA398" s="5"/>
      <c r="BB398" s="5"/>
      <c r="BC398" s="5"/>
      <c r="BD398" s="6"/>
      <c r="BE398" s="6"/>
      <c r="BF398" s="12"/>
      <c r="BG398" s="12"/>
      <c r="BH398" s="12"/>
      <c r="BI398" s="12"/>
      <c r="BJ398" s="12"/>
    </row>
    <row r="399" spans="2:62" x14ac:dyDescent="0.25">
      <c r="B399" s="1" t="s">
        <v>2579</v>
      </c>
      <c r="C399" s="1" t="s">
        <v>50</v>
      </c>
      <c r="D399" s="1" t="s">
        <v>1190</v>
      </c>
      <c r="E399" s="1" t="s">
        <v>51</v>
      </c>
      <c r="F399" s="1" t="s">
        <v>52</v>
      </c>
      <c r="G399" s="1" t="s">
        <v>53</v>
      </c>
      <c r="H399" s="1" t="s">
        <v>54</v>
      </c>
      <c r="I399" s="1" t="s">
        <v>2507</v>
      </c>
      <c r="J399" s="44">
        <v>1</v>
      </c>
      <c r="K399" s="45">
        <v>1</v>
      </c>
      <c r="L399" s="1" t="s">
        <v>2623</v>
      </c>
      <c r="M399" s="1" t="s">
        <v>2624</v>
      </c>
      <c r="N399" s="1" t="s">
        <v>1140</v>
      </c>
      <c r="O399" s="1" t="s">
        <v>1189</v>
      </c>
      <c r="P399" s="1" t="s">
        <v>1190</v>
      </c>
      <c r="Q399" s="44">
        <f>IF(L399="982",Multipliers!C380,"oops")</f>
        <v>1.05</v>
      </c>
      <c r="R399" s="44">
        <f>IF(M399="Bellingham",Multipliers!C152, "GOOF")</f>
        <v>1.1399999999999999</v>
      </c>
      <c r="S399" s="46">
        <f t="shared" si="187"/>
        <v>426375.41100000008</v>
      </c>
      <c r="T399" s="46">
        <f t="shared" si="188"/>
        <v>445711.00979999994</v>
      </c>
      <c r="U399" s="46">
        <f t="shared" si="203"/>
        <v>441253.89970199997</v>
      </c>
      <c r="V399" s="46">
        <f t="shared" si="204"/>
        <v>433814.65535100002</v>
      </c>
      <c r="W399" s="47">
        <f t="shared" si="202"/>
        <v>433814.65535100002</v>
      </c>
      <c r="X399" s="47"/>
      <c r="Y399" s="48">
        <f t="shared" si="205"/>
        <v>346264.50474</v>
      </c>
      <c r="Z399" s="48">
        <f t="shared" si="206"/>
        <v>382675.29463799996</v>
      </c>
      <c r="AA399" s="48">
        <f t="shared" si="184"/>
        <v>433814.65535100002</v>
      </c>
      <c r="AB399" s="48">
        <f t="shared" si="185"/>
        <v>469955.641512</v>
      </c>
      <c r="AC399" s="48">
        <f t="shared" si="186"/>
        <v>506634.88570800005</v>
      </c>
      <c r="AD399" s="1"/>
      <c r="AE399" s="1"/>
      <c r="AF399" s="1"/>
      <c r="AI399" s="9"/>
      <c r="AJ399" s="1"/>
      <c r="AK399" s="1"/>
      <c r="AL399" s="1"/>
      <c r="AM399" s="1"/>
      <c r="AN399" s="1"/>
      <c r="AO399" s="1"/>
      <c r="AP399" s="9"/>
      <c r="AQ399" s="3"/>
      <c r="AR399" s="4"/>
      <c r="AS399" s="1"/>
      <c r="AT399" s="1"/>
      <c r="AU399" s="1"/>
      <c r="AV399" s="1"/>
      <c r="AW399" s="1"/>
      <c r="AX399" s="3"/>
      <c r="AY399" s="3"/>
      <c r="AZ399" s="5"/>
      <c r="BA399" s="5"/>
      <c r="BB399" s="5"/>
      <c r="BC399" s="5"/>
      <c r="BD399" s="6"/>
      <c r="BE399" s="6"/>
      <c r="BF399" s="12"/>
      <c r="BG399" s="12"/>
      <c r="BH399" s="12"/>
      <c r="BI399" s="12"/>
      <c r="BJ399" s="12"/>
    </row>
    <row r="400" spans="2:62" x14ac:dyDescent="0.25">
      <c r="B400" s="1" t="s">
        <v>2579</v>
      </c>
      <c r="C400" s="1" t="s">
        <v>55</v>
      </c>
      <c r="D400" s="1" t="s">
        <v>1190</v>
      </c>
      <c r="E400" s="1" t="s">
        <v>56</v>
      </c>
      <c r="F400" s="1" t="s">
        <v>57</v>
      </c>
      <c r="G400" s="1" t="s">
        <v>58</v>
      </c>
      <c r="H400" s="1" t="s">
        <v>59</v>
      </c>
      <c r="I400" s="1" t="s">
        <v>2507</v>
      </c>
      <c r="J400" s="44">
        <v>1</v>
      </c>
      <c r="K400" s="45">
        <v>1</v>
      </c>
      <c r="L400" s="1" t="s">
        <v>2623</v>
      </c>
      <c r="M400" s="1" t="s">
        <v>60</v>
      </c>
      <c r="N400" s="1" t="s">
        <v>1140</v>
      </c>
      <c r="O400" s="1" t="s">
        <v>1189</v>
      </c>
      <c r="P400" s="1" t="s">
        <v>1190</v>
      </c>
      <c r="Q400" s="44">
        <f>IF(L400="982",Multipliers!C380,"oops")</f>
        <v>1.05</v>
      </c>
      <c r="R400" s="44">
        <f>IF(M400="Everett",Multipliers!C153, "GOOF")</f>
        <v>1.2</v>
      </c>
      <c r="S400" s="46">
        <f t="shared" si="187"/>
        <v>426375.41100000008</v>
      </c>
      <c r="T400" s="46">
        <f t="shared" si="188"/>
        <v>469169.484</v>
      </c>
      <c r="U400" s="46">
        <f t="shared" si="203"/>
        <v>464477.78915999999</v>
      </c>
      <c r="V400" s="46">
        <f t="shared" si="204"/>
        <v>445426.60008</v>
      </c>
      <c r="W400" s="47">
        <f t="shared" si="202"/>
        <v>445426.60008</v>
      </c>
      <c r="X400" s="47"/>
      <c r="Y400" s="48">
        <f t="shared" si="205"/>
        <v>355227.05295000004</v>
      </c>
      <c r="Z400" s="48">
        <f t="shared" si="206"/>
        <v>392726.50704</v>
      </c>
      <c r="AA400" s="48">
        <f t="shared" si="184"/>
        <v>445426.60008000006</v>
      </c>
      <c r="AB400" s="48">
        <f t="shared" si="185"/>
        <v>482653.67871000001</v>
      </c>
      <c r="AC400" s="48">
        <f t="shared" si="186"/>
        <v>520344.76389000006</v>
      </c>
      <c r="AD400" s="1"/>
      <c r="AE400" s="1"/>
      <c r="AF400" s="1"/>
      <c r="AI400" s="9"/>
      <c r="AJ400" s="1"/>
      <c r="AK400" s="1"/>
      <c r="AL400" s="1"/>
      <c r="AM400" s="1"/>
      <c r="AN400" s="1"/>
      <c r="AO400" s="1"/>
      <c r="AP400" s="9"/>
      <c r="AQ400" s="3"/>
      <c r="AR400" s="4"/>
      <c r="AS400" s="7"/>
      <c r="AT400" s="1"/>
      <c r="AU400" s="1"/>
      <c r="AV400" s="1"/>
      <c r="AW400" s="1"/>
      <c r="AX400" s="3"/>
      <c r="AY400" s="3"/>
      <c r="AZ400" s="5"/>
      <c r="BA400" s="5"/>
      <c r="BB400" s="5"/>
      <c r="BC400" s="5"/>
      <c r="BD400" s="6"/>
      <c r="BE400" s="6"/>
      <c r="BF400" s="12"/>
      <c r="BG400" s="12"/>
      <c r="BH400" s="12"/>
      <c r="BI400" s="12"/>
      <c r="BJ400" s="12"/>
    </row>
    <row r="401" spans="2:62" x14ac:dyDescent="0.25">
      <c r="B401" s="1" t="s">
        <v>2579</v>
      </c>
      <c r="C401" s="1" t="s">
        <v>61</v>
      </c>
      <c r="D401" s="1" t="s">
        <v>1190</v>
      </c>
      <c r="E401" s="1" t="s">
        <v>62</v>
      </c>
      <c r="F401" s="1" t="s">
        <v>63</v>
      </c>
      <c r="G401" s="1" t="s">
        <v>27</v>
      </c>
      <c r="H401" s="1" t="s">
        <v>64</v>
      </c>
      <c r="I401" s="1" t="s">
        <v>2507</v>
      </c>
      <c r="J401" s="44">
        <v>1</v>
      </c>
      <c r="K401" s="45">
        <v>1</v>
      </c>
      <c r="L401" s="1" t="s">
        <v>2623</v>
      </c>
      <c r="M401" s="1" t="s">
        <v>2624</v>
      </c>
      <c r="N401" s="1" t="s">
        <v>1140</v>
      </c>
      <c r="O401" s="1" t="s">
        <v>1189</v>
      </c>
      <c r="P401" s="1" t="s">
        <v>1190</v>
      </c>
      <c r="Q401" s="44">
        <f>IF(L401="982",Multipliers!C380,"oops")</f>
        <v>1.05</v>
      </c>
      <c r="R401" s="44">
        <f>IF(M401="Bellingham",Multipliers!C152, "GOOF")</f>
        <v>1.1399999999999999</v>
      </c>
      <c r="S401" s="46">
        <f t="shared" si="187"/>
        <v>426375.41100000008</v>
      </c>
      <c r="T401" s="46">
        <f t="shared" si="188"/>
        <v>445711.00979999994</v>
      </c>
      <c r="U401" s="46">
        <f t="shared" si="203"/>
        <v>441253.89970199997</v>
      </c>
      <c r="V401" s="46">
        <f t="shared" si="204"/>
        <v>433814.65535100002</v>
      </c>
      <c r="W401" s="47">
        <f t="shared" si="202"/>
        <v>433814.65535100002</v>
      </c>
      <c r="X401" s="47"/>
      <c r="Y401" s="48">
        <f t="shared" si="205"/>
        <v>346264.50474</v>
      </c>
      <c r="Z401" s="48">
        <f t="shared" si="206"/>
        <v>382675.29463799996</v>
      </c>
      <c r="AA401" s="48">
        <f t="shared" si="184"/>
        <v>433814.65535100002</v>
      </c>
      <c r="AB401" s="48">
        <f t="shared" si="185"/>
        <v>469955.641512</v>
      </c>
      <c r="AC401" s="48">
        <f t="shared" si="186"/>
        <v>506634.88570800005</v>
      </c>
      <c r="AD401" s="1"/>
      <c r="AE401" s="1"/>
      <c r="AF401" s="1"/>
      <c r="AI401" s="9"/>
      <c r="AJ401" s="1"/>
      <c r="AK401" s="1"/>
      <c r="AL401" s="1"/>
      <c r="AM401" s="1"/>
      <c r="AN401" s="1"/>
      <c r="AO401" s="1"/>
      <c r="AP401" s="9"/>
      <c r="AQ401" s="3"/>
      <c r="AR401" s="4"/>
      <c r="AS401" s="1"/>
      <c r="AT401" s="1"/>
      <c r="AU401" s="1"/>
      <c r="AV401" s="1"/>
      <c r="AW401" s="1"/>
      <c r="AX401" s="3"/>
      <c r="AY401" s="3"/>
      <c r="AZ401" s="5"/>
      <c r="BA401" s="5"/>
      <c r="BB401" s="5"/>
      <c r="BC401" s="5"/>
      <c r="BD401" s="6"/>
      <c r="BE401" s="6"/>
      <c r="BF401" s="12"/>
      <c r="BG401" s="12"/>
      <c r="BH401" s="12"/>
      <c r="BI401" s="12"/>
      <c r="BJ401" s="12"/>
    </row>
    <row r="402" spans="2:62" x14ac:dyDescent="0.25">
      <c r="B402" s="1" t="s">
        <v>2579</v>
      </c>
      <c r="C402" s="1" t="s">
        <v>65</v>
      </c>
      <c r="D402" s="1" t="s">
        <v>1190</v>
      </c>
      <c r="E402" s="1" t="s">
        <v>66</v>
      </c>
      <c r="F402" s="7" t="s">
        <v>67</v>
      </c>
      <c r="G402" s="1" t="s">
        <v>68</v>
      </c>
      <c r="H402" s="1" t="s">
        <v>69</v>
      </c>
      <c r="I402" s="1" t="s">
        <v>2507</v>
      </c>
      <c r="J402" s="44">
        <v>1</v>
      </c>
      <c r="K402" s="45">
        <v>1</v>
      </c>
      <c r="L402" s="1" t="s">
        <v>70</v>
      </c>
      <c r="M402" s="1" t="s">
        <v>71</v>
      </c>
      <c r="N402" s="1" t="s">
        <v>1140</v>
      </c>
      <c r="O402" s="1" t="s">
        <v>1189</v>
      </c>
      <c r="P402" s="1" t="s">
        <v>1190</v>
      </c>
      <c r="Q402" s="44">
        <f>IF(L402="989",Multipliers!C386,"oops")</f>
        <v>0.99</v>
      </c>
      <c r="R402" s="44">
        <f>IF(M402="Yakima",Multipliers!C159, "GOOF")</f>
        <v>1.0900000000000001</v>
      </c>
      <c r="S402" s="46">
        <f t="shared" si="187"/>
        <v>402011.10180000006</v>
      </c>
      <c r="T402" s="46">
        <f t="shared" si="188"/>
        <v>426162.28130000003</v>
      </c>
      <c r="U402" s="46">
        <f t="shared" si="203"/>
        <v>421900.65848700004</v>
      </c>
      <c r="V402" s="46">
        <f t="shared" si="204"/>
        <v>411955.88014350005</v>
      </c>
      <c r="W402" s="47">
        <f>IF(F402=F423,(V402+V423)/2,IF(F402=F401,(V402+V401)/2,IF(F402&lt;&gt;F401,V402)))</f>
        <v>411955.88014350005</v>
      </c>
      <c r="X402" s="47"/>
      <c r="Y402" s="48">
        <f t="shared" si="205"/>
        <v>328739.93806499999</v>
      </c>
      <c r="Z402" s="48">
        <f t="shared" si="206"/>
        <v>363344.86950299999</v>
      </c>
      <c r="AA402" s="48">
        <f>IF(N402="Standard",((($Z$5*Q402)+($AD$5*R402*$T$3))/2)*$O$7,IF(N402="Severe",((($AA$5*Q402)+($AE$5*R402*$T$3))/2)*$O$7,IF(N402="Hostile",((($AB$5*Q402)+($AF$5*R402*$T$3))/2)*$O$7)))</f>
        <v>420479.12576950004</v>
      </c>
      <c r="AB402" s="48">
        <f>IF(N402="Standard",((($Z$6*Q402)+($AD$6*R402*$T$3))/2)*$O$7,IF(N402="Severe",((($AA$6*Q402)+($AE$6*R402*$T$3))/2)*$O$7,IF(N402="Hostile",((($AB$6*Q402)+($AF$6*R402*$T$3))/2)*$O$7)))</f>
        <v>455626.220959</v>
      </c>
      <c r="AC402" s="48">
        <f>IF(N402="Standard",((($Z$7*Q402)+($AD$7*R402*$T$3))/2)*$O$7,IF(N402="Severe",((($AA$7*Q402)+($AE$7*R402*$T$3))/2)*$O$7,IF(N402="Hostile",((($AB$7*Q402)+($AF$7*R402*$T$3))/2)*$O$7)))</f>
        <v>491207.57583100005</v>
      </c>
      <c r="AD402" s="1"/>
      <c r="AE402" s="1"/>
      <c r="AF402" s="1"/>
      <c r="AI402" s="9"/>
      <c r="AJ402" s="1"/>
      <c r="AK402" s="1"/>
      <c r="AL402" s="1"/>
      <c r="AM402" s="1"/>
      <c r="AN402" s="1"/>
      <c r="AO402" s="1"/>
      <c r="AP402" s="9"/>
      <c r="AQ402" s="3"/>
      <c r="AR402" s="4"/>
      <c r="AS402" s="1"/>
      <c r="AT402" s="1"/>
      <c r="AU402" s="1"/>
      <c r="AV402" s="1"/>
      <c r="AW402" s="1"/>
      <c r="AX402" s="3"/>
      <c r="AY402" s="3"/>
      <c r="AZ402" s="5"/>
      <c r="BA402" s="5"/>
      <c r="BB402" s="5"/>
      <c r="BC402" s="5"/>
      <c r="BD402" s="6"/>
      <c r="BE402" s="6"/>
      <c r="BF402" s="12"/>
      <c r="BG402" s="12"/>
      <c r="BH402" s="12"/>
      <c r="BI402" s="12"/>
      <c r="BJ402" s="12"/>
    </row>
    <row r="403" spans="2:62" x14ac:dyDescent="0.25">
      <c r="B403" s="7" t="s">
        <v>72</v>
      </c>
      <c r="C403" s="1" t="s">
        <v>73</v>
      </c>
      <c r="D403" s="1" t="s">
        <v>1190</v>
      </c>
      <c r="E403" s="1" t="s">
        <v>74</v>
      </c>
      <c r="F403" s="1" t="s">
        <v>75</v>
      </c>
      <c r="G403" s="1" t="s">
        <v>76</v>
      </c>
      <c r="H403" s="1" t="s">
        <v>77</v>
      </c>
      <c r="I403" s="7" t="s">
        <v>78</v>
      </c>
      <c r="J403" s="44">
        <v>1</v>
      </c>
      <c r="K403" s="45">
        <v>1</v>
      </c>
      <c r="L403" s="7" t="s">
        <v>79</v>
      </c>
      <c r="M403" s="1" t="s">
        <v>80</v>
      </c>
      <c r="N403" s="1" t="s">
        <v>1139</v>
      </c>
      <c r="O403" s="1" t="s">
        <v>1959</v>
      </c>
      <c r="P403" s="1" t="s">
        <v>1190</v>
      </c>
      <c r="Q403" s="44">
        <f>IF(L403="660",Multipliers!C239,"oops")</f>
        <v>0.9</v>
      </c>
      <c r="R403" s="44">
        <f>IF(M403="Topeka",Multipliers!C52, "GOOF")</f>
        <v>0.95</v>
      </c>
      <c r="S403" s="46">
        <f t="shared" si="187"/>
        <v>345082.81500000006</v>
      </c>
      <c r="T403" s="46">
        <f t="shared" si="188"/>
        <v>356228.929</v>
      </c>
      <c r="U403" s="46">
        <f t="shared" si="203"/>
        <v>345542.06112999999</v>
      </c>
      <c r="V403" s="46">
        <f t="shared" si="204"/>
        <v>345312.43806499999</v>
      </c>
      <c r="W403" s="47">
        <f t="shared" ref="W403:W428" si="207">IF(F403=F404,(V403+V404)/2,IF(F403=F402,(V403+V402)/2,IF(F403&lt;&gt;F402,V403)))</f>
        <v>345312.43806499999</v>
      </c>
      <c r="X403" s="47"/>
      <c r="Y403" s="48">
        <f t="shared" si="205"/>
        <v>277598.61832499999</v>
      </c>
      <c r="Z403" s="48">
        <f t="shared" si="206"/>
        <v>307698.76336500002</v>
      </c>
      <c r="AA403" s="48">
        <f t="shared" ref="AA403:AA449" si="208">IF(N403="Standard",((($Z$5*Q403)+($AD$5*R403*$T$4))/2)*$O$7,IF(N403="Severe",((($AA$5*Q403)+($AE$5*R403*$T$4))/2)*$O$7,IF(N403="Hostile",((($AB$5*Q403)+($AF$5*R403*$T$4))/2)*$O$7)))</f>
        <v>345312.43806499999</v>
      </c>
      <c r="AB403" s="48">
        <f t="shared" ref="AB403:AB449" si="209">IF(N403="Standard",((($Z$6*Q403)+($AD$6*R403*$T$4))/2)*$O$7,IF(N403="Severe",((($AA$6*Q403)+($AE$6*R403*$T$4))/2)*$O$7,IF(N403="Hostile",((($AB$6*Q403)+($AF$6*R403*$T$4))/2)*$O$7)))</f>
        <v>372782.04278000002</v>
      </c>
      <c r="AC403" s="48">
        <f t="shared" ref="AC403:AC449" si="210">IF(N403="Standard",((($Z$7*Q403)+($AD$7*R403*$T$4))/2)*$O$7,IF(N403="Severe",((($AA$7*Q403)+($AE$7*R403*$T$4))/2)*$O$7,IF(N403="Hostile",((($AB$7*Q403)+($AF$7*R403*$T$4))/2)*$O$7)))</f>
        <v>401976.80852000002</v>
      </c>
      <c r="AD403" s="1"/>
      <c r="AE403" s="1"/>
      <c r="AF403" s="1"/>
      <c r="AI403" s="9"/>
      <c r="AJ403" s="1"/>
      <c r="AK403" s="1"/>
      <c r="AL403" s="1"/>
      <c r="AM403" s="1"/>
      <c r="AN403" s="1"/>
      <c r="AO403" s="1"/>
      <c r="AP403" s="9"/>
      <c r="AQ403" s="3"/>
      <c r="AR403" s="4"/>
      <c r="AS403" s="1"/>
      <c r="AT403" s="1"/>
      <c r="AU403" s="1"/>
      <c r="AV403" s="1"/>
      <c r="AW403" s="1"/>
      <c r="AX403" s="3"/>
      <c r="AY403" s="3"/>
      <c r="AZ403" s="5"/>
      <c r="BA403" s="5"/>
      <c r="BB403" s="5"/>
      <c r="BC403" s="5"/>
      <c r="BD403" s="6"/>
      <c r="BE403" s="6"/>
      <c r="BF403" s="12"/>
      <c r="BG403" s="12"/>
      <c r="BH403" s="12"/>
      <c r="BI403" s="12"/>
      <c r="BJ403" s="12"/>
    </row>
    <row r="404" spans="2:62" x14ac:dyDescent="0.25">
      <c r="B404" s="1" t="s">
        <v>72</v>
      </c>
      <c r="C404" s="1" t="s">
        <v>81</v>
      </c>
      <c r="D404" s="1" t="s">
        <v>1190</v>
      </c>
      <c r="E404" s="1" t="s">
        <v>82</v>
      </c>
      <c r="F404" s="1" t="s">
        <v>83</v>
      </c>
      <c r="G404" s="1" t="s">
        <v>84</v>
      </c>
      <c r="H404" s="1" t="s">
        <v>85</v>
      </c>
      <c r="I404" s="7" t="s">
        <v>78</v>
      </c>
      <c r="J404" s="44">
        <v>1</v>
      </c>
      <c r="K404" s="45">
        <v>1</v>
      </c>
      <c r="L404" s="1" t="s">
        <v>86</v>
      </c>
      <c r="M404" s="1" t="s">
        <v>80</v>
      </c>
      <c r="N404" s="1" t="s">
        <v>1139</v>
      </c>
      <c r="O404" s="1" t="s">
        <v>1959</v>
      </c>
      <c r="P404" s="1" t="s">
        <v>87</v>
      </c>
      <c r="Q404" s="44">
        <f>IF(L404="664",Multipliers!C240,"oops")</f>
        <v>0.87</v>
      </c>
      <c r="R404" s="44">
        <f>IF(M404="Topeka",Multipliers!C52, "GOOF")</f>
        <v>0.95</v>
      </c>
      <c r="S404" s="46">
        <f t="shared" si="187"/>
        <v>333580.05450000003</v>
      </c>
      <c r="T404" s="46">
        <f t="shared" si="188"/>
        <v>356228.929</v>
      </c>
      <c r="U404" s="46">
        <f t="shared" si="203"/>
        <v>345542.06112999999</v>
      </c>
      <c r="V404" s="46">
        <f t="shared" si="204"/>
        <v>339561.05781500001</v>
      </c>
      <c r="W404" s="47">
        <f t="shared" si="207"/>
        <v>339561.05781500001</v>
      </c>
      <c r="X404" s="47"/>
      <c r="Y404" s="48">
        <f t="shared" si="205"/>
        <v>272873.67082499998</v>
      </c>
      <c r="Z404" s="48">
        <f t="shared" si="206"/>
        <v>302529.469515</v>
      </c>
      <c r="AA404" s="48">
        <f t="shared" si="208"/>
        <v>339561.05781500001</v>
      </c>
      <c r="AB404" s="48">
        <f t="shared" si="209"/>
        <v>366634.79677999998</v>
      </c>
      <c r="AC404" s="48">
        <f t="shared" si="210"/>
        <v>395355.13051999995</v>
      </c>
      <c r="AD404" s="1"/>
      <c r="AE404" s="1"/>
      <c r="AF404" s="1"/>
      <c r="AI404" s="9"/>
      <c r="AJ404" s="1"/>
      <c r="AK404" s="1"/>
      <c r="AL404" s="1"/>
      <c r="AM404" s="1"/>
      <c r="AN404" s="1"/>
      <c r="AO404" s="1"/>
      <c r="AP404" s="9"/>
      <c r="AQ404" s="3"/>
      <c r="AR404" s="4"/>
      <c r="AS404" s="1"/>
      <c r="AT404" s="1"/>
      <c r="AU404" s="1"/>
      <c r="AV404" s="1"/>
      <c r="AW404" s="1"/>
      <c r="AX404" s="3"/>
      <c r="AY404" s="3"/>
      <c r="AZ404" s="5"/>
      <c r="BA404" s="5"/>
      <c r="BB404" s="5"/>
      <c r="BC404" s="5"/>
      <c r="BD404" s="6"/>
      <c r="BE404" s="6"/>
      <c r="BF404" s="12"/>
      <c r="BG404" s="12"/>
      <c r="BH404" s="12"/>
      <c r="BI404" s="12"/>
      <c r="BJ404" s="12"/>
    </row>
    <row r="405" spans="2:62" x14ac:dyDescent="0.25">
      <c r="B405" s="1" t="s">
        <v>72</v>
      </c>
      <c r="C405" s="1" t="s">
        <v>88</v>
      </c>
      <c r="D405" s="1" t="s">
        <v>1190</v>
      </c>
      <c r="E405" s="1" t="s">
        <v>89</v>
      </c>
      <c r="F405" s="1" t="s">
        <v>90</v>
      </c>
      <c r="G405" s="1" t="s">
        <v>91</v>
      </c>
      <c r="H405" s="1" t="s">
        <v>92</v>
      </c>
      <c r="I405" s="7" t="s">
        <v>78</v>
      </c>
      <c r="J405" s="44">
        <v>1</v>
      </c>
      <c r="K405" s="45">
        <v>1</v>
      </c>
      <c r="L405" s="7" t="s">
        <v>93</v>
      </c>
      <c r="M405" s="1" t="s">
        <v>80</v>
      </c>
      <c r="N405" s="1" t="s">
        <v>1139</v>
      </c>
      <c r="O405" s="1" t="s">
        <v>1959</v>
      </c>
      <c r="P405" s="1" t="s">
        <v>87</v>
      </c>
      <c r="Q405" s="44">
        <f>IF(L405="665",Multipliers!C241,"oops")</f>
        <v>0.87</v>
      </c>
      <c r="R405" s="44">
        <f>IF(M405="Topeka",Multipliers!C52, "GOOF")</f>
        <v>0.95</v>
      </c>
      <c r="S405" s="46">
        <f t="shared" si="187"/>
        <v>333580.05450000003</v>
      </c>
      <c r="T405" s="46">
        <f t="shared" si="188"/>
        <v>356228.929</v>
      </c>
      <c r="U405" s="46">
        <f t="shared" si="203"/>
        <v>345542.06112999999</v>
      </c>
      <c r="V405" s="46">
        <f t="shared" si="204"/>
        <v>339561.05781500001</v>
      </c>
      <c r="W405" s="47">
        <f t="shared" si="207"/>
        <v>339561.05781500001</v>
      </c>
      <c r="X405" s="47"/>
      <c r="Y405" s="48">
        <f t="shared" si="205"/>
        <v>272873.67082499998</v>
      </c>
      <c r="Z405" s="48">
        <f t="shared" si="206"/>
        <v>302529.469515</v>
      </c>
      <c r="AA405" s="48">
        <f t="shared" si="208"/>
        <v>339561.05781500001</v>
      </c>
      <c r="AB405" s="48">
        <f t="shared" si="209"/>
        <v>366634.79677999998</v>
      </c>
      <c r="AC405" s="48">
        <f t="shared" si="210"/>
        <v>395355.13051999995</v>
      </c>
      <c r="AD405" s="1"/>
      <c r="AE405" s="1"/>
      <c r="AF405" s="1"/>
      <c r="AI405" s="9"/>
      <c r="AJ405" s="1"/>
      <c r="AK405" s="1"/>
      <c r="AL405" s="1"/>
      <c r="AM405" s="1"/>
      <c r="AN405" s="1"/>
      <c r="AO405" s="1"/>
      <c r="AP405" s="9"/>
      <c r="AQ405" s="3"/>
      <c r="AR405" s="4"/>
      <c r="AS405" s="1"/>
      <c r="AT405" s="1"/>
      <c r="AU405" s="1"/>
      <c r="AV405" s="1"/>
      <c r="AW405" s="1"/>
      <c r="AX405" s="3"/>
      <c r="AY405" s="3"/>
      <c r="AZ405" s="5"/>
      <c r="BA405" s="5"/>
      <c r="BB405" s="5"/>
      <c r="BC405" s="5"/>
      <c r="BD405" s="6"/>
      <c r="BE405" s="6"/>
      <c r="BF405" s="12"/>
      <c r="BG405" s="12"/>
      <c r="BH405" s="12"/>
      <c r="BI405" s="12"/>
      <c r="BJ405" s="12"/>
    </row>
    <row r="406" spans="2:62" x14ac:dyDescent="0.25">
      <c r="B406" s="1" t="s">
        <v>72</v>
      </c>
      <c r="C406" s="1" t="s">
        <v>94</v>
      </c>
      <c r="D406" s="1" t="s">
        <v>1190</v>
      </c>
      <c r="E406" s="1" t="s">
        <v>95</v>
      </c>
      <c r="F406" s="1" t="s">
        <v>96</v>
      </c>
      <c r="G406" s="1" t="s">
        <v>97</v>
      </c>
      <c r="H406" s="1" t="s">
        <v>98</v>
      </c>
      <c r="I406" s="7" t="s">
        <v>78</v>
      </c>
      <c r="J406" s="44">
        <v>1</v>
      </c>
      <c r="K406" s="45">
        <v>1</v>
      </c>
      <c r="L406" s="1" t="s">
        <v>86</v>
      </c>
      <c r="M406" s="1" t="s">
        <v>80</v>
      </c>
      <c r="N406" s="1" t="s">
        <v>1139</v>
      </c>
      <c r="O406" s="1" t="s">
        <v>1959</v>
      </c>
      <c r="P406" s="1" t="s">
        <v>1190</v>
      </c>
      <c r="Q406" s="44">
        <f>IF(L406="664",Multipliers!C240,"oops")</f>
        <v>0.87</v>
      </c>
      <c r="R406" s="44">
        <f>IF(M406="Topeka",Multipliers!C52, "GOOF")</f>
        <v>0.95</v>
      </c>
      <c r="S406" s="46">
        <f t="shared" si="187"/>
        <v>333580.05450000003</v>
      </c>
      <c r="T406" s="46">
        <f t="shared" si="188"/>
        <v>356228.929</v>
      </c>
      <c r="U406" s="46">
        <f t="shared" si="203"/>
        <v>345542.06112999999</v>
      </c>
      <c r="V406" s="46">
        <f t="shared" si="204"/>
        <v>339561.05781500001</v>
      </c>
      <c r="W406" s="47">
        <f t="shared" si="207"/>
        <v>339561.05781500001</v>
      </c>
      <c r="X406" s="47"/>
      <c r="Y406" s="48">
        <f t="shared" si="205"/>
        <v>272873.67082499998</v>
      </c>
      <c r="Z406" s="48">
        <f t="shared" si="206"/>
        <v>302529.469515</v>
      </c>
      <c r="AA406" s="48">
        <f t="shared" si="208"/>
        <v>339561.05781500001</v>
      </c>
      <c r="AB406" s="48">
        <f t="shared" si="209"/>
        <v>366634.79677999998</v>
      </c>
      <c r="AC406" s="48">
        <f t="shared" si="210"/>
        <v>395355.13051999995</v>
      </c>
      <c r="AD406" s="1"/>
      <c r="AE406" s="1"/>
      <c r="AF406" s="1"/>
      <c r="AI406" s="9"/>
      <c r="AJ406" s="1"/>
      <c r="AK406" s="1"/>
      <c r="AL406" s="1"/>
      <c r="AM406" s="1"/>
      <c r="AN406" s="1"/>
      <c r="AO406" s="1"/>
      <c r="AP406" s="9"/>
      <c r="AQ406" s="3"/>
      <c r="AR406" s="4"/>
      <c r="AS406" s="1"/>
      <c r="AT406" s="1"/>
      <c r="AU406" s="1"/>
      <c r="AV406" s="1"/>
      <c r="AW406" s="1"/>
      <c r="AX406" s="3"/>
      <c r="AY406" s="3"/>
      <c r="AZ406" s="5"/>
      <c r="BA406" s="5"/>
      <c r="BB406" s="5"/>
      <c r="BC406" s="5"/>
      <c r="BD406" s="6"/>
      <c r="BE406" s="6"/>
      <c r="BF406" s="12"/>
      <c r="BG406" s="12"/>
      <c r="BH406" s="12"/>
      <c r="BI406" s="12"/>
      <c r="BJ406" s="12"/>
    </row>
    <row r="407" spans="2:62" x14ac:dyDescent="0.25">
      <c r="B407" s="1" t="s">
        <v>99</v>
      </c>
      <c r="C407" s="1" t="s">
        <v>100</v>
      </c>
      <c r="D407" s="1" t="s">
        <v>1190</v>
      </c>
      <c r="E407" s="1" t="s">
        <v>101</v>
      </c>
      <c r="F407" s="1" t="s">
        <v>102</v>
      </c>
      <c r="G407" s="1" t="s">
        <v>103</v>
      </c>
      <c r="H407" s="1" t="s">
        <v>104</v>
      </c>
      <c r="I407" s="7" t="s">
        <v>78</v>
      </c>
      <c r="J407" s="44">
        <v>1</v>
      </c>
      <c r="K407" s="45">
        <v>1</v>
      </c>
      <c r="L407" s="1" t="s">
        <v>105</v>
      </c>
      <c r="M407" s="1" t="s">
        <v>106</v>
      </c>
      <c r="N407" s="1" t="s">
        <v>1139</v>
      </c>
      <c r="O407" s="1" t="s">
        <v>1959</v>
      </c>
      <c r="P407" s="1" t="s">
        <v>1190</v>
      </c>
      <c r="Q407" s="44">
        <f>IF(L407="705",Multipliers!C245,"oops")</f>
        <v>0.86</v>
      </c>
      <c r="R407" s="44">
        <f>IF(M407="Lafayette",Multipliers!C55, "GOOF")</f>
        <v>0.88</v>
      </c>
      <c r="S407" s="46">
        <f t="shared" si="187"/>
        <v>329745.80100000004</v>
      </c>
      <c r="T407" s="46">
        <f t="shared" si="188"/>
        <v>329980.4816</v>
      </c>
      <c r="U407" s="46">
        <f t="shared" si="203"/>
        <v>320081.06715199997</v>
      </c>
      <c r="V407" s="46">
        <f t="shared" si="204"/>
        <v>324913.43407600001</v>
      </c>
      <c r="W407" s="47">
        <f t="shared" si="207"/>
        <v>324913.43407600001</v>
      </c>
      <c r="X407" s="47"/>
      <c r="Y407" s="48">
        <f t="shared" si="205"/>
        <v>261288.67407999997</v>
      </c>
      <c r="Z407" s="48">
        <f t="shared" si="206"/>
        <v>289560.69119600003</v>
      </c>
      <c r="AA407" s="48">
        <f t="shared" si="208"/>
        <v>324913.43407600001</v>
      </c>
      <c r="AB407" s="48">
        <f t="shared" si="209"/>
        <v>350706.21331199998</v>
      </c>
      <c r="AC407" s="48">
        <f t="shared" si="210"/>
        <v>378165.95420799998</v>
      </c>
      <c r="AD407" s="1"/>
      <c r="AE407" s="1"/>
      <c r="AF407" s="1"/>
      <c r="AI407" s="9"/>
      <c r="AJ407" s="1"/>
      <c r="AK407" s="1"/>
      <c r="AL407" s="1"/>
      <c r="AM407" s="1"/>
      <c r="AN407" s="1"/>
      <c r="AO407" s="1"/>
      <c r="AP407" s="9"/>
      <c r="AQ407" s="3"/>
      <c r="AR407" s="4"/>
      <c r="AS407" s="1"/>
      <c r="AT407" s="1"/>
      <c r="AU407" s="1"/>
      <c r="AV407" s="1"/>
      <c r="AW407" s="1"/>
      <c r="AX407" s="3"/>
      <c r="AY407" s="3"/>
      <c r="AZ407" s="5"/>
      <c r="BA407" s="5"/>
      <c r="BB407" s="5"/>
      <c r="BC407" s="5"/>
      <c r="BD407" s="6"/>
      <c r="BE407" s="6"/>
      <c r="BF407" s="12"/>
      <c r="BG407" s="12"/>
      <c r="BH407" s="12"/>
      <c r="BI407" s="12"/>
      <c r="BJ407" s="12"/>
    </row>
    <row r="408" spans="2:62" x14ac:dyDescent="0.25">
      <c r="B408" s="1" t="s">
        <v>99</v>
      </c>
      <c r="C408" s="1" t="s">
        <v>107</v>
      </c>
      <c r="D408" s="1" t="s">
        <v>1190</v>
      </c>
      <c r="E408" s="1" t="s">
        <v>108</v>
      </c>
      <c r="F408" s="1" t="s">
        <v>109</v>
      </c>
      <c r="G408" s="1" t="s">
        <v>110</v>
      </c>
      <c r="H408" s="1" t="s">
        <v>111</v>
      </c>
      <c r="I408" s="7" t="s">
        <v>78</v>
      </c>
      <c r="J408" s="44">
        <v>1</v>
      </c>
      <c r="K408" s="45">
        <v>1</v>
      </c>
      <c r="L408" s="7" t="s">
        <v>105</v>
      </c>
      <c r="M408" s="1" t="s">
        <v>112</v>
      </c>
      <c r="N408" s="1" t="s">
        <v>1139</v>
      </c>
      <c r="O408" s="1" t="s">
        <v>1959</v>
      </c>
      <c r="P408" s="1" t="s">
        <v>1190</v>
      </c>
      <c r="Q408" s="44">
        <f>IF(L408="705",Multipliers!C245,"oops")</f>
        <v>0.86</v>
      </c>
      <c r="R408" s="44">
        <f>IF(M408="LOUISIANA",Multipliers!C54, "GOOF")</f>
        <v>0.88</v>
      </c>
      <c r="S408" s="46">
        <f>IF(N408="Standard",$O$5*Q408*$O$7,IF(N408="Severe",$O$4*Q408*$O$7,IF(N408="Hostile",$O$3*Q408*$O$7)))</f>
        <v>329745.80100000004</v>
      </c>
      <c r="T408" s="46">
        <f>IF(N408="Standard",$P$5*R408*$O$7,IF(N408="Severe",$P$4*R408*$O$7,IF(N408="Hostile",$P$3*R408*$O$7)))</f>
        <v>329980.4816</v>
      </c>
      <c r="U408" s="46">
        <f t="shared" si="203"/>
        <v>320081.06715199997</v>
      </c>
      <c r="V408" s="46">
        <f t="shared" si="204"/>
        <v>324913.43407600001</v>
      </c>
      <c r="W408" s="47">
        <f t="shared" si="207"/>
        <v>324913.43407600001</v>
      </c>
      <c r="X408" s="47"/>
      <c r="Y408" s="48">
        <f t="shared" si="205"/>
        <v>261288.67407999997</v>
      </c>
      <c r="Z408" s="48">
        <f t="shared" si="206"/>
        <v>289560.69119600003</v>
      </c>
      <c r="AA408" s="48">
        <f t="shared" si="208"/>
        <v>324913.43407600001</v>
      </c>
      <c r="AB408" s="48">
        <f t="shared" si="209"/>
        <v>350706.21331199998</v>
      </c>
      <c r="AC408" s="48">
        <f t="shared" si="210"/>
        <v>378165.95420799998</v>
      </c>
      <c r="AD408" s="1"/>
      <c r="AE408" s="1"/>
      <c r="AF408" s="1"/>
      <c r="AI408" s="9"/>
      <c r="AJ408" s="1"/>
      <c r="AK408" s="1"/>
      <c r="AL408" s="1"/>
      <c r="AM408" s="1"/>
      <c r="AN408" s="1"/>
      <c r="AO408" s="1"/>
      <c r="AP408" s="9"/>
      <c r="AQ408" s="3"/>
      <c r="AR408" s="4"/>
      <c r="AS408" s="1"/>
      <c r="AT408" s="1"/>
      <c r="AU408" s="1"/>
      <c r="AV408" s="1"/>
      <c r="AW408" s="1"/>
      <c r="AX408" s="3"/>
      <c r="AY408" s="3"/>
      <c r="AZ408" s="5"/>
      <c r="BA408" s="5"/>
      <c r="BB408" s="5"/>
      <c r="BC408" s="5"/>
      <c r="BD408" s="6"/>
      <c r="BE408" s="6"/>
      <c r="BF408" s="12"/>
      <c r="BG408" s="12"/>
      <c r="BH408" s="12"/>
      <c r="BI408" s="12"/>
      <c r="BJ408" s="12"/>
    </row>
    <row r="409" spans="2:62" x14ac:dyDescent="0.25">
      <c r="B409" s="1" t="s">
        <v>99</v>
      </c>
      <c r="C409" s="1" t="s">
        <v>113</v>
      </c>
      <c r="D409" s="1" t="s">
        <v>1190</v>
      </c>
      <c r="E409" s="1" t="s">
        <v>114</v>
      </c>
      <c r="F409" s="1" t="s">
        <v>115</v>
      </c>
      <c r="G409" s="1" t="s">
        <v>1190</v>
      </c>
      <c r="H409" s="1" t="s">
        <v>1190</v>
      </c>
      <c r="I409" s="7" t="s">
        <v>78</v>
      </c>
      <c r="J409" s="44">
        <v>1</v>
      </c>
      <c r="K409" s="45">
        <v>1</v>
      </c>
      <c r="L409" s="1" t="s">
        <v>116</v>
      </c>
      <c r="M409" s="1" t="s">
        <v>112</v>
      </c>
      <c r="N409" s="1" t="s">
        <v>1139</v>
      </c>
      <c r="O409" s="1" t="s">
        <v>1959</v>
      </c>
      <c r="P409" s="1" t="s">
        <v>1190</v>
      </c>
      <c r="Q409" s="44">
        <f>IF(L409="713",Multipliers!C246,"oops")</f>
        <v>0.81</v>
      </c>
      <c r="R409" s="44">
        <f>IF(M409="LOUISIANA",Multipliers!C54, "GOOF")</f>
        <v>0.88</v>
      </c>
      <c r="S409" s="46">
        <f t="shared" si="187"/>
        <v>310574.53350000008</v>
      </c>
      <c r="T409" s="46">
        <f t="shared" si="188"/>
        <v>329980.4816</v>
      </c>
      <c r="U409" s="46">
        <f t="shared" si="203"/>
        <v>320081.06715199997</v>
      </c>
      <c r="V409" s="46">
        <f t="shared" si="204"/>
        <v>315327.80032600003</v>
      </c>
      <c r="W409" s="47">
        <f t="shared" si="207"/>
        <v>315327.80032600003</v>
      </c>
      <c r="X409" s="47"/>
      <c r="Y409" s="48">
        <f t="shared" si="205"/>
        <v>253413.76158000002</v>
      </c>
      <c r="Z409" s="48">
        <f t="shared" si="206"/>
        <v>280945.20144600002</v>
      </c>
      <c r="AA409" s="48">
        <f t="shared" si="208"/>
        <v>315327.80032599997</v>
      </c>
      <c r="AB409" s="48">
        <f t="shared" si="209"/>
        <v>340460.803312</v>
      </c>
      <c r="AC409" s="48">
        <f t="shared" si="210"/>
        <v>367129.82420800003</v>
      </c>
      <c r="AD409" s="1"/>
      <c r="AE409" s="1"/>
      <c r="AF409" s="1"/>
      <c r="AI409" s="9"/>
      <c r="AJ409" s="1"/>
      <c r="AK409" s="1"/>
      <c r="AL409" s="1"/>
      <c r="AM409" s="1"/>
      <c r="AN409" s="1"/>
      <c r="AO409" s="1"/>
      <c r="AP409" s="9"/>
      <c r="AQ409" s="3"/>
      <c r="AR409" s="4"/>
      <c r="AS409" s="1"/>
      <c r="AT409" s="1"/>
      <c r="AU409" s="1"/>
      <c r="AV409" s="1"/>
      <c r="AW409" s="1"/>
      <c r="AX409" s="3"/>
      <c r="AY409" s="3"/>
      <c r="AZ409" s="5"/>
      <c r="BA409" s="5"/>
      <c r="BB409" s="5"/>
      <c r="BC409" s="5"/>
      <c r="BD409" s="6"/>
      <c r="BE409" s="6"/>
      <c r="BF409" s="12"/>
      <c r="BG409" s="12"/>
      <c r="BH409" s="12"/>
      <c r="BI409" s="12"/>
      <c r="BJ409" s="12"/>
    </row>
    <row r="410" spans="2:62" x14ac:dyDescent="0.25">
      <c r="B410" s="1" t="s">
        <v>99</v>
      </c>
      <c r="C410" s="1" t="s">
        <v>117</v>
      </c>
      <c r="D410" s="1" t="s">
        <v>1190</v>
      </c>
      <c r="E410" s="1" t="s">
        <v>118</v>
      </c>
      <c r="F410" s="1" t="s">
        <v>119</v>
      </c>
      <c r="G410" s="1" t="s">
        <v>120</v>
      </c>
      <c r="H410" s="1" t="s">
        <v>121</v>
      </c>
      <c r="I410" s="7" t="s">
        <v>78</v>
      </c>
      <c r="J410" s="44">
        <v>1</v>
      </c>
      <c r="K410" s="45">
        <v>1</v>
      </c>
      <c r="L410" s="1" t="s">
        <v>116</v>
      </c>
      <c r="M410" s="1" t="s">
        <v>112</v>
      </c>
      <c r="N410" s="1" t="s">
        <v>1139</v>
      </c>
      <c r="O410" s="1" t="s">
        <v>1959</v>
      </c>
      <c r="P410" s="1" t="s">
        <v>1190</v>
      </c>
      <c r="Q410" s="44">
        <f>IF(L410="713",Multipliers!C246,"oops")</f>
        <v>0.81</v>
      </c>
      <c r="R410" s="44">
        <f>IF(M410="LOUISIANA",Multipliers!C54, "GOOF")</f>
        <v>0.88</v>
      </c>
      <c r="S410" s="46">
        <f t="shared" si="187"/>
        <v>310574.53350000008</v>
      </c>
      <c r="T410" s="46">
        <f t="shared" si="188"/>
        <v>329980.4816</v>
      </c>
      <c r="U410" s="46">
        <f t="shared" si="203"/>
        <v>320081.06715199997</v>
      </c>
      <c r="V410" s="46">
        <f t="shared" si="204"/>
        <v>315327.80032600003</v>
      </c>
      <c r="W410" s="47">
        <f t="shared" si="207"/>
        <v>315327.80032600003</v>
      </c>
      <c r="X410" s="47"/>
      <c r="Y410" s="48">
        <f t="shared" si="205"/>
        <v>253413.76158000002</v>
      </c>
      <c r="Z410" s="48">
        <f t="shared" si="206"/>
        <v>280945.20144600002</v>
      </c>
      <c r="AA410" s="48">
        <f t="shared" si="208"/>
        <v>315327.80032599997</v>
      </c>
      <c r="AB410" s="48">
        <f t="shared" si="209"/>
        <v>340460.803312</v>
      </c>
      <c r="AC410" s="48">
        <f t="shared" si="210"/>
        <v>367129.82420800003</v>
      </c>
      <c r="AD410" s="1"/>
      <c r="AE410" s="1"/>
      <c r="AF410" s="1"/>
      <c r="AI410" s="9"/>
      <c r="AJ410" s="1"/>
      <c r="AK410" s="1"/>
      <c r="AL410" s="1"/>
      <c r="AM410" s="1"/>
      <c r="AN410" s="1"/>
      <c r="AO410" s="1"/>
      <c r="AP410" s="9"/>
      <c r="AQ410" s="3"/>
      <c r="AR410" s="4"/>
      <c r="AS410" s="1"/>
      <c r="AT410" s="7"/>
      <c r="AU410" s="1"/>
      <c r="AV410" s="1"/>
      <c r="AW410" s="1"/>
      <c r="AX410" s="3"/>
      <c r="AY410" s="3"/>
      <c r="AZ410" s="5"/>
      <c r="BA410" s="5"/>
      <c r="BB410" s="5"/>
      <c r="BC410" s="5"/>
      <c r="BD410" s="6"/>
      <c r="BE410" s="6"/>
      <c r="BF410" s="12"/>
      <c r="BG410" s="12"/>
      <c r="BH410" s="12"/>
      <c r="BI410" s="12"/>
      <c r="BJ410" s="12"/>
    </row>
    <row r="411" spans="2:62" x14ac:dyDescent="0.25">
      <c r="B411" s="1" t="s">
        <v>122</v>
      </c>
      <c r="C411" s="1" t="s">
        <v>123</v>
      </c>
      <c r="D411" s="1" t="s">
        <v>1772</v>
      </c>
      <c r="E411" s="1" t="s">
        <v>124</v>
      </c>
      <c r="F411" s="1" t="s">
        <v>125</v>
      </c>
      <c r="G411" s="1" t="s">
        <v>126</v>
      </c>
      <c r="H411" s="1" t="s">
        <v>127</v>
      </c>
      <c r="I411" s="7" t="s">
        <v>78</v>
      </c>
      <c r="J411" s="44">
        <v>1</v>
      </c>
      <c r="K411" s="45">
        <v>1</v>
      </c>
      <c r="L411" s="1" t="s">
        <v>128</v>
      </c>
      <c r="M411" s="1" t="s">
        <v>129</v>
      </c>
      <c r="N411" s="1" t="s">
        <v>1139</v>
      </c>
      <c r="O411" s="1" t="s">
        <v>1959</v>
      </c>
      <c r="P411" s="1" t="s">
        <v>134</v>
      </c>
      <c r="Q411" s="44">
        <f>IF(L411="748",Multipliers!C340,"oops")</f>
        <v>0.79</v>
      </c>
      <c r="R411" s="44">
        <f>IF(M411="Oklahoma City",Multipliers!C121, "GOOF")</f>
        <v>0.93</v>
      </c>
      <c r="S411" s="46">
        <f t="shared" si="187"/>
        <v>302906.02650000009</v>
      </c>
      <c r="T411" s="46">
        <f t="shared" si="188"/>
        <v>348729.3726</v>
      </c>
      <c r="U411" s="46">
        <f t="shared" si="203"/>
        <v>338267.49142199999</v>
      </c>
      <c r="V411" s="46">
        <f t="shared" si="204"/>
        <v>320586.75896100001</v>
      </c>
      <c r="W411" s="47">
        <f t="shared" si="207"/>
        <v>320586.75896100001</v>
      </c>
      <c r="X411" s="47"/>
      <c r="Y411" s="48">
        <f t="shared" si="205"/>
        <v>257413.80675500006</v>
      </c>
      <c r="Z411" s="48">
        <f t="shared" si="206"/>
        <v>285531.63438100001</v>
      </c>
      <c r="AA411" s="48">
        <f t="shared" si="208"/>
        <v>320586.75896100001</v>
      </c>
      <c r="AB411" s="48">
        <f t="shared" si="209"/>
        <v>346276.56893199997</v>
      </c>
      <c r="AC411" s="48">
        <f t="shared" si="210"/>
        <v>373416.765288</v>
      </c>
      <c r="AD411" s="1"/>
      <c r="AE411" s="1"/>
      <c r="AF411" s="1"/>
      <c r="AI411" s="9"/>
      <c r="AJ411" s="1"/>
      <c r="AK411" s="1"/>
      <c r="AL411" s="1"/>
      <c r="AM411" s="1"/>
      <c r="AN411" s="1"/>
      <c r="AO411" s="1"/>
      <c r="AP411" s="9"/>
      <c r="AQ411" s="3"/>
      <c r="AR411" s="4"/>
      <c r="AS411" s="1"/>
      <c r="AT411" s="1"/>
      <c r="AU411" s="1"/>
      <c r="AV411" s="1"/>
      <c r="AW411" s="1"/>
      <c r="AX411" s="3"/>
      <c r="AY411" s="3"/>
      <c r="AZ411" s="5"/>
      <c r="BA411" s="5"/>
      <c r="BB411" s="5"/>
      <c r="BC411" s="5"/>
      <c r="BD411" s="6"/>
      <c r="BE411" s="6"/>
      <c r="BF411" s="12"/>
      <c r="BG411" s="12"/>
      <c r="BH411" s="12"/>
      <c r="BI411" s="12"/>
      <c r="BJ411" s="12"/>
    </row>
    <row r="412" spans="2:62" x14ac:dyDescent="0.25">
      <c r="B412" s="1" t="s">
        <v>122</v>
      </c>
      <c r="C412" s="1" t="s">
        <v>135</v>
      </c>
      <c r="D412" s="1" t="s">
        <v>136</v>
      </c>
      <c r="E412" s="1" t="s">
        <v>137</v>
      </c>
      <c r="F412" s="1" t="s">
        <v>138</v>
      </c>
      <c r="G412" s="1" t="s">
        <v>1190</v>
      </c>
      <c r="H412" s="1" t="s">
        <v>1190</v>
      </c>
      <c r="I412" s="7" t="s">
        <v>78</v>
      </c>
      <c r="J412" s="44">
        <v>1</v>
      </c>
      <c r="K412" s="45">
        <v>1</v>
      </c>
      <c r="L412" s="7" t="s">
        <v>139</v>
      </c>
      <c r="M412" s="1" t="s">
        <v>140</v>
      </c>
      <c r="N412" s="1" t="s">
        <v>1139</v>
      </c>
      <c r="O412" s="1" t="s">
        <v>1959</v>
      </c>
      <c r="P412" s="1" t="s">
        <v>1190</v>
      </c>
      <c r="Q412" s="44">
        <f>IF(L412="744",Multipliers!C337,"oops")</f>
        <v>0.8</v>
      </c>
      <c r="R412" s="44">
        <f>IF(M412="Tulsa",Multipliers!C122, "GOOF")</f>
        <v>0.9</v>
      </c>
      <c r="S412" s="46">
        <f t="shared" si="187"/>
        <v>306740.28000000003</v>
      </c>
      <c r="T412" s="46">
        <f t="shared" si="188"/>
        <v>337480.038</v>
      </c>
      <c r="U412" s="46">
        <f t="shared" si="203"/>
        <v>327355.63685999997</v>
      </c>
      <c r="V412" s="46">
        <f t="shared" si="204"/>
        <v>317047.95843</v>
      </c>
      <c r="W412" s="47">
        <f t="shared" si="207"/>
        <v>317047.95843</v>
      </c>
      <c r="X412" s="47"/>
      <c r="Y412" s="48">
        <f t="shared" si="205"/>
        <v>254698.78315</v>
      </c>
      <c r="Z412" s="48">
        <f t="shared" si="206"/>
        <v>282435.15502999997</v>
      </c>
      <c r="AA412" s="48">
        <f t="shared" si="208"/>
        <v>317047.95843000006</v>
      </c>
      <c r="AB412" s="48">
        <f t="shared" si="209"/>
        <v>342377.29316</v>
      </c>
      <c r="AC412" s="48">
        <f t="shared" si="210"/>
        <v>369203.15544000006</v>
      </c>
      <c r="AD412" s="1"/>
      <c r="AE412" s="1"/>
      <c r="AF412" s="1"/>
      <c r="AI412" s="9"/>
      <c r="AJ412" s="1"/>
      <c r="AK412" s="1"/>
      <c r="AL412" s="1"/>
      <c r="AM412" s="1"/>
      <c r="AN412" s="1"/>
      <c r="AO412" s="1"/>
      <c r="AP412" s="9"/>
      <c r="AQ412" s="3"/>
      <c r="AR412" s="4"/>
      <c r="AS412" s="1"/>
      <c r="AT412" s="1"/>
      <c r="AU412" s="1"/>
      <c r="AV412" s="1"/>
      <c r="AW412" s="8"/>
      <c r="AX412" s="3"/>
      <c r="AY412" s="3"/>
      <c r="AZ412" s="5"/>
      <c r="BA412" s="5"/>
      <c r="BB412" s="5"/>
      <c r="BC412" s="5"/>
      <c r="BD412" s="6"/>
      <c r="BE412" s="6"/>
      <c r="BF412" s="12"/>
      <c r="BG412" s="12"/>
      <c r="BH412" s="12"/>
      <c r="BI412" s="12"/>
      <c r="BJ412" s="12"/>
    </row>
    <row r="413" spans="2:62" x14ac:dyDescent="0.25">
      <c r="B413" s="1" t="s">
        <v>122</v>
      </c>
      <c r="C413" s="1" t="s">
        <v>141</v>
      </c>
      <c r="D413" s="1" t="s">
        <v>142</v>
      </c>
      <c r="E413" s="1" t="s">
        <v>143</v>
      </c>
      <c r="F413" s="1" t="s">
        <v>144</v>
      </c>
      <c r="G413" s="1" t="s">
        <v>145</v>
      </c>
      <c r="H413" s="1" t="s">
        <v>146</v>
      </c>
      <c r="I413" s="7" t="s">
        <v>78</v>
      </c>
      <c r="J413" s="44">
        <v>1</v>
      </c>
      <c r="K413" s="45">
        <v>1</v>
      </c>
      <c r="L413" s="1" t="s">
        <v>147</v>
      </c>
      <c r="M413" s="1" t="s">
        <v>148</v>
      </c>
      <c r="N413" s="1" t="s">
        <v>1139</v>
      </c>
      <c r="O413" s="1" t="s">
        <v>1959</v>
      </c>
      <c r="P413" s="1" t="s">
        <v>149</v>
      </c>
      <c r="Q413" s="44">
        <f>IF(L413="730",Multipliers!C332,"oops")</f>
        <v>0.83</v>
      </c>
      <c r="R413" s="44">
        <f>IF(M413="Lawton",Multipliers!C120, "GOOF")</f>
        <v>0.85</v>
      </c>
      <c r="S413" s="46">
        <f t="shared" si="187"/>
        <v>318243.04050000006</v>
      </c>
      <c r="T413" s="46">
        <f t="shared" si="188"/>
        <v>318731.147</v>
      </c>
      <c r="U413" s="46">
        <f t="shared" si="203"/>
        <v>309169.21259000001</v>
      </c>
      <c r="V413" s="46">
        <f t="shared" si="204"/>
        <v>313706.12654500001</v>
      </c>
      <c r="W413" s="47">
        <f t="shared" si="207"/>
        <v>313706.12654500001</v>
      </c>
      <c r="X413" s="47"/>
      <c r="Y413" s="48">
        <f>IF(N413="Standard",(((($Z$3*Q413)+($AD$3*R413*$T$5))/2)*$O$7),IF(N413="Severe",(((($AA$3*Q413)+($AE$3*R413*$T$5))/2)*$O$7),IF(N413="Hostile",(((($AB$3*Q413)+($AF$3*R413*$T$5))/2)*$O$7))))</f>
        <v>252273.72047499998</v>
      </c>
      <c r="Z413" s="48">
        <f>IF(N413="Standard",(((($Z$4*Q413)+($AD$4*R413*$T$5))/2)*$O$7),IF(N413="Severe",(((($AA$4*Q413)+($AE$4*R413*$T$5))/2)*$O$7),IF(N413="Hostile",(((($AB$4*Q413)+($AF$4*R413*$T$5))/2)*$O$7))))</f>
        <v>279571.820045</v>
      </c>
      <c r="AA413" s="48">
        <f t="shared" si="208"/>
        <v>313706.12654500006</v>
      </c>
      <c r="AB413" s="48">
        <f t="shared" si="209"/>
        <v>338610.60953999998</v>
      </c>
      <c r="AC413" s="48">
        <f t="shared" si="210"/>
        <v>365123.44036000001</v>
      </c>
      <c r="AD413" s="1"/>
      <c r="AE413" s="1"/>
      <c r="AF413" s="1"/>
      <c r="AI413" s="9"/>
      <c r="AJ413" s="1"/>
      <c r="AK413" s="1"/>
      <c r="AL413" s="1"/>
      <c r="AM413" s="1"/>
      <c r="AN413" s="1"/>
      <c r="AO413" s="1"/>
      <c r="AP413" s="9"/>
      <c r="AQ413" s="3"/>
      <c r="AR413" s="4"/>
      <c r="AS413" s="1"/>
      <c r="AT413" s="1"/>
      <c r="AU413" s="1"/>
      <c r="AV413" s="1"/>
      <c r="AW413" s="1"/>
      <c r="AX413" s="3"/>
      <c r="AY413" s="3"/>
      <c r="AZ413" s="5"/>
      <c r="BA413" s="5"/>
      <c r="BB413" s="5"/>
      <c r="BC413" s="5"/>
      <c r="BD413" s="6"/>
      <c r="BE413" s="6"/>
      <c r="BF413" s="12"/>
      <c r="BG413" s="12"/>
      <c r="BH413" s="12"/>
      <c r="BI413" s="12"/>
      <c r="BJ413" s="12"/>
    </row>
    <row r="414" spans="2:62" x14ac:dyDescent="0.25">
      <c r="B414" s="1" t="s">
        <v>122</v>
      </c>
      <c r="C414" s="1" t="s">
        <v>150</v>
      </c>
      <c r="D414" s="1" t="s">
        <v>1772</v>
      </c>
      <c r="E414" s="1" t="s">
        <v>151</v>
      </c>
      <c r="F414" s="1" t="s">
        <v>152</v>
      </c>
      <c r="G414" s="1" t="s">
        <v>153</v>
      </c>
      <c r="H414" s="1" t="s">
        <v>154</v>
      </c>
      <c r="I414" s="7" t="s">
        <v>78</v>
      </c>
      <c r="J414" s="44">
        <v>1</v>
      </c>
      <c r="K414" s="45">
        <v>1</v>
      </c>
      <c r="L414" s="1" t="s">
        <v>147</v>
      </c>
      <c r="M414" s="1" t="s">
        <v>148</v>
      </c>
      <c r="N414" s="1" t="s">
        <v>1139</v>
      </c>
      <c r="O414" s="1" t="s">
        <v>1959</v>
      </c>
      <c r="P414" s="1" t="s">
        <v>149</v>
      </c>
      <c r="Q414" s="44">
        <f>IF(L414="730",Multipliers!C332,"oops")</f>
        <v>0.83</v>
      </c>
      <c r="R414" s="44">
        <f>IF(M414="Lawton",Multipliers!C120, "GOOF")</f>
        <v>0.85</v>
      </c>
      <c r="S414" s="46">
        <f t="shared" si="187"/>
        <v>318243.04050000006</v>
      </c>
      <c r="T414" s="46">
        <f t="shared" si="188"/>
        <v>318731.147</v>
      </c>
      <c r="U414" s="46">
        <f t="shared" ref="U414:U429" si="211">IF(O414="E",$T$3*T414,IF(O414="C",$T$4*T414,IF(O414="W",$T$5*T414,1)))</f>
        <v>309169.21259000001</v>
      </c>
      <c r="V414" s="46">
        <f t="shared" ref="V414:V430" si="212">(S414+U414)/2</f>
        <v>313706.12654500001</v>
      </c>
      <c r="W414" s="47">
        <f t="shared" si="207"/>
        <v>313706.12654500001</v>
      </c>
      <c r="X414" s="47"/>
      <c r="Y414" s="48">
        <f>IF(N414="Standard",(((($Z$3*Q414)+($AD$3*R414*$T$5))/2)*$O$7),IF(N414="Severe",(((($AA$3*Q414)+($AE$3*R414*$T$5))/2)*$O$7),IF(N414="Hostile",(((($AB$3*Q414)+($AF$3*R414*$T$5))/2)*$O$7))))</f>
        <v>252273.72047499998</v>
      </c>
      <c r="Z414" s="48">
        <f>IF(N414="Standard",(((($Z$4*Q414)+($AD$4*R414*$T$5))/2)*$O$7),IF(N414="Severe",(((($AA$4*Q414)+($AE$4*R414*$T$5))/2)*$O$7),IF(N414="Hostile",(((($AB$4*Q414)+($AF$4*R414*$T$5))/2)*$O$7))))</f>
        <v>279571.820045</v>
      </c>
      <c r="AA414" s="48">
        <f t="shared" si="208"/>
        <v>313706.12654500006</v>
      </c>
      <c r="AB414" s="48">
        <f t="shared" si="209"/>
        <v>338610.60953999998</v>
      </c>
      <c r="AC414" s="48">
        <f t="shared" si="210"/>
        <v>365123.44036000001</v>
      </c>
      <c r="AD414" s="1"/>
      <c r="AE414" s="1"/>
      <c r="AF414" s="1"/>
      <c r="AI414" s="9"/>
      <c r="AJ414" s="1"/>
      <c r="AK414" s="1"/>
      <c r="AL414" s="1"/>
      <c r="AM414" s="1"/>
      <c r="AN414" s="1"/>
      <c r="AO414" s="1"/>
      <c r="AP414" s="9"/>
      <c r="AQ414" s="3"/>
      <c r="AR414" s="4"/>
      <c r="AS414" s="1"/>
      <c r="AT414" s="1"/>
      <c r="AU414" s="1"/>
      <c r="AV414" s="1"/>
      <c r="AW414" s="1"/>
      <c r="AX414" s="3"/>
      <c r="AY414" s="3"/>
      <c r="AZ414" s="5"/>
      <c r="BA414" s="5"/>
      <c r="BB414" s="5"/>
      <c r="BC414" s="5"/>
      <c r="BD414" s="6"/>
      <c r="BE414" s="6"/>
      <c r="BF414" s="12"/>
      <c r="BG414" s="12"/>
      <c r="BH414" s="12"/>
      <c r="BI414" s="12"/>
      <c r="BJ414" s="12"/>
    </row>
    <row r="415" spans="2:62" x14ac:dyDescent="0.25">
      <c r="B415" s="1" t="s">
        <v>122</v>
      </c>
      <c r="C415" s="1" t="s">
        <v>155</v>
      </c>
      <c r="D415" s="1" t="s">
        <v>1772</v>
      </c>
      <c r="E415" s="1" t="s">
        <v>156</v>
      </c>
      <c r="F415" s="1" t="s">
        <v>157</v>
      </c>
      <c r="G415" s="1" t="s">
        <v>158</v>
      </c>
      <c r="H415" s="1" t="s">
        <v>159</v>
      </c>
      <c r="I415" s="7" t="s">
        <v>78</v>
      </c>
      <c r="J415" s="44">
        <v>1</v>
      </c>
      <c r="K415" s="45">
        <v>1</v>
      </c>
      <c r="L415" s="1" t="s">
        <v>139</v>
      </c>
      <c r="M415" s="1" t="s">
        <v>140</v>
      </c>
      <c r="N415" s="1" t="s">
        <v>1139</v>
      </c>
      <c r="O415" s="1" t="s">
        <v>1959</v>
      </c>
      <c r="P415" s="1" t="s">
        <v>160</v>
      </c>
      <c r="Q415" s="44">
        <f>IF(L415="744",Multipliers!C337,"oops")</f>
        <v>0.8</v>
      </c>
      <c r="R415" s="44">
        <f>IF(M415="Tulsa",Multipliers!C122, "GOOF")</f>
        <v>0.9</v>
      </c>
      <c r="S415" s="46">
        <f t="shared" si="187"/>
        <v>306740.28000000003</v>
      </c>
      <c r="T415" s="46">
        <f t="shared" si="188"/>
        <v>337480.038</v>
      </c>
      <c r="U415" s="46">
        <f t="shared" si="211"/>
        <v>327355.63685999997</v>
      </c>
      <c r="V415" s="46">
        <f t="shared" si="212"/>
        <v>317047.95843</v>
      </c>
      <c r="W415" s="47">
        <f t="shared" si="207"/>
        <v>317047.95843</v>
      </c>
      <c r="X415" s="47"/>
      <c r="Y415" s="48">
        <f t="shared" ref="Y415:Y429" si="213">IF(N415="Standard",(((($Z$3*Q415)+($AD$3*R415*$T$5))/2)*$O$7),IF(N415="Severe",(((($AA$3*Q415)+($AE$3*R415*$T$5))/2)*$O$7),IF(N415="Hostile",(((($AB$3*Q415)+($AF$3*R415*$T$5))/2)*$O$7))))</f>
        <v>254698.78315</v>
      </c>
      <c r="Z415" s="48">
        <f t="shared" ref="Z415:Z429" si="214">IF(N415="Standard",(((($Z$4*Q415)+($AD$4*R415*$T$5))/2)*$O$7),IF(N415="Severe",(((($AA$4*Q415)+($AE$4*R415*$T$5))/2)*$O$7),IF(N415="Hostile",(((($AB$4*Q415)+($AF$4*R415*$T$5))/2)*$O$7))))</f>
        <v>282435.15502999997</v>
      </c>
      <c r="AA415" s="48">
        <f t="shared" si="208"/>
        <v>317047.95843000006</v>
      </c>
      <c r="AB415" s="48">
        <f t="shared" si="209"/>
        <v>342377.29316</v>
      </c>
      <c r="AC415" s="48">
        <f t="shared" si="210"/>
        <v>369203.15544000006</v>
      </c>
      <c r="AD415" s="1"/>
      <c r="AE415" s="1"/>
      <c r="AF415" s="1"/>
      <c r="AI415" s="9"/>
      <c r="AJ415" s="1"/>
      <c r="AK415" s="1"/>
      <c r="AL415" s="1"/>
      <c r="AM415" s="1"/>
      <c r="AN415" s="1"/>
      <c r="AO415" s="1"/>
      <c r="AP415" s="9"/>
      <c r="AQ415" s="3"/>
      <c r="AR415" s="4"/>
      <c r="AS415" s="1"/>
      <c r="AT415" s="1"/>
      <c r="AU415" s="1"/>
      <c r="AV415" s="1"/>
      <c r="AW415" s="1"/>
      <c r="AX415" s="3"/>
      <c r="AY415" s="3"/>
      <c r="AZ415" s="5"/>
      <c r="BA415" s="5"/>
      <c r="BB415" s="5"/>
      <c r="BC415" s="5"/>
      <c r="BD415" s="6"/>
      <c r="BE415" s="6"/>
      <c r="BF415" s="12"/>
      <c r="BG415" s="12"/>
      <c r="BH415" s="12"/>
      <c r="BI415" s="12"/>
      <c r="BJ415" s="12"/>
    </row>
    <row r="416" spans="2:62" x14ac:dyDescent="0.25">
      <c r="B416" s="1" t="s">
        <v>122</v>
      </c>
      <c r="C416" s="1" t="s">
        <v>161</v>
      </c>
      <c r="D416" s="1" t="s">
        <v>1190</v>
      </c>
      <c r="E416" s="1" t="s">
        <v>162</v>
      </c>
      <c r="F416" s="1" t="s">
        <v>163</v>
      </c>
      <c r="G416" s="1" t="s">
        <v>164</v>
      </c>
      <c r="H416" s="1" t="s">
        <v>165</v>
      </c>
      <c r="I416" s="7" t="s">
        <v>78</v>
      </c>
      <c r="J416" s="44">
        <v>1</v>
      </c>
      <c r="K416" s="45">
        <v>1</v>
      </c>
      <c r="L416" s="7" t="s">
        <v>166</v>
      </c>
      <c r="M416" s="1" t="s">
        <v>167</v>
      </c>
      <c r="N416" s="1" t="s">
        <v>1139</v>
      </c>
      <c r="O416" s="1" t="s">
        <v>1959</v>
      </c>
      <c r="P416" s="1" t="s">
        <v>168</v>
      </c>
      <c r="Q416" s="44">
        <f>IF(L416="736",Multipliers!C334,"oops")</f>
        <v>0.81</v>
      </c>
      <c r="R416" s="44">
        <f>IF(M416="Enid",Multipliers!C119, "GOOF")</f>
        <v>0.93</v>
      </c>
      <c r="S416" s="46">
        <f t="shared" si="187"/>
        <v>310574.53350000008</v>
      </c>
      <c r="T416" s="46">
        <f t="shared" si="188"/>
        <v>348729.3726</v>
      </c>
      <c r="U416" s="46">
        <f t="shared" si="211"/>
        <v>338267.49142199999</v>
      </c>
      <c r="V416" s="46">
        <f t="shared" si="212"/>
        <v>324421.01246100001</v>
      </c>
      <c r="W416" s="47">
        <f t="shared" si="207"/>
        <v>324421.01246100001</v>
      </c>
      <c r="X416" s="47"/>
      <c r="Y416" s="48">
        <f t="shared" si="213"/>
        <v>260563.77175500002</v>
      </c>
      <c r="Z416" s="48">
        <f t="shared" si="214"/>
        <v>288977.830281</v>
      </c>
      <c r="AA416" s="48">
        <f t="shared" si="208"/>
        <v>324421.01246100006</v>
      </c>
      <c r="AB416" s="48">
        <f t="shared" si="209"/>
        <v>350374.73293200001</v>
      </c>
      <c r="AC416" s="48">
        <f t="shared" si="210"/>
        <v>377831.21728800004</v>
      </c>
      <c r="AD416" s="1"/>
      <c r="AE416" s="1"/>
      <c r="AF416" s="1"/>
      <c r="AI416" s="9"/>
      <c r="AJ416" s="1"/>
      <c r="AK416" s="1"/>
      <c r="AL416" s="1"/>
      <c r="AM416" s="7"/>
      <c r="AN416" s="1"/>
      <c r="AO416" s="1"/>
      <c r="AP416" s="9"/>
      <c r="AQ416" s="3"/>
      <c r="AR416" s="4"/>
      <c r="AS416" s="7"/>
      <c r="AT416" s="1"/>
      <c r="AU416" s="1"/>
      <c r="AV416" s="1"/>
      <c r="AW416" s="1"/>
      <c r="AX416" s="3"/>
      <c r="AY416" s="3"/>
      <c r="AZ416" s="5"/>
      <c r="BA416" s="5"/>
      <c r="BB416" s="5"/>
      <c r="BC416" s="5"/>
      <c r="BD416" s="6"/>
      <c r="BE416" s="6"/>
      <c r="BF416" s="12"/>
      <c r="BG416" s="12"/>
      <c r="BH416" s="12"/>
      <c r="BI416" s="12"/>
      <c r="BJ416" s="12"/>
    </row>
    <row r="417" spans="2:62" x14ac:dyDescent="0.25">
      <c r="B417" s="1" t="s">
        <v>122</v>
      </c>
      <c r="C417" s="1" t="s">
        <v>169</v>
      </c>
      <c r="D417" s="1" t="s">
        <v>1190</v>
      </c>
      <c r="E417" s="1" t="s">
        <v>170</v>
      </c>
      <c r="F417" s="1" t="s">
        <v>171</v>
      </c>
      <c r="G417" s="1" t="s">
        <v>172</v>
      </c>
      <c r="H417" s="1" t="s">
        <v>173</v>
      </c>
      <c r="I417" s="7" t="s">
        <v>78</v>
      </c>
      <c r="J417" s="44">
        <v>1</v>
      </c>
      <c r="K417" s="45">
        <v>1</v>
      </c>
      <c r="L417" s="7" t="s">
        <v>128</v>
      </c>
      <c r="M417" s="1" t="s">
        <v>148</v>
      </c>
      <c r="N417" s="1" t="s">
        <v>1139</v>
      </c>
      <c r="O417" s="1" t="s">
        <v>1959</v>
      </c>
      <c r="P417" s="1" t="s">
        <v>174</v>
      </c>
      <c r="Q417" s="44">
        <f>IF(L417="748",Multipliers!C340,"oops")</f>
        <v>0.79</v>
      </c>
      <c r="R417" s="44">
        <f>IF(M417="Lawton",Multipliers!C120, "GOOF")</f>
        <v>0.85</v>
      </c>
      <c r="S417" s="46">
        <f t="shared" si="187"/>
        <v>302906.02650000009</v>
      </c>
      <c r="T417" s="46">
        <f t="shared" si="188"/>
        <v>318731.147</v>
      </c>
      <c r="U417" s="46">
        <f t="shared" si="211"/>
        <v>309169.21259000001</v>
      </c>
      <c r="V417" s="46">
        <f t="shared" si="212"/>
        <v>306037.61954500002</v>
      </c>
      <c r="W417" s="47">
        <f t="shared" si="207"/>
        <v>306037.61954500002</v>
      </c>
      <c r="X417" s="47"/>
      <c r="Y417" s="48">
        <f t="shared" si="213"/>
        <v>245973.79047500002</v>
      </c>
      <c r="Z417" s="48">
        <f t="shared" si="214"/>
        <v>272679.42824500002</v>
      </c>
      <c r="AA417" s="48">
        <f t="shared" si="208"/>
        <v>306037.61954500002</v>
      </c>
      <c r="AB417" s="48">
        <f t="shared" si="209"/>
        <v>330414.28154</v>
      </c>
      <c r="AC417" s="48">
        <f t="shared" si="210"/>
        <v>356294.53636000003</v>
      </c>
      <c r="AD417" s="1"/>
      <c r="AE417" s="1"/>
      <c r="AF417" s="1"/>
      <c r="AI417" s="9"/>
      <c r="AJ417" s="1"/>
      <c r="AK417" s="1"/>
      <c r="AL417" s="1"/>
      <c r="AM417" s="1"/>
      <c r="AN417" s="1"/>
      <c r="AO417" s="1"/>
      <c r="AP417" s="9"/>
      <c r="AQ417" s="3"/>
      <c r="AR417" s="4"/>
      <c r="AS417" s="1"/>
      <c r="AT417" s="1"/>
      <c r="AU417" s="1"/>
      <c r="AV417" s="1"/>
      <c r="AW417" s="1"/>
      <c r="AX417" s="3"/>
      <c r="AY417" s="3"/>
      <c r="AZ417" s="5"/>
      <c r="BA417" s="5"/>
      <c r="BB417" s="5"/>
      <c r="BC417" s="5"/>
      <c r="BD417" s="6"/>
      <c r="BE417" s="6"/>
      <c r="BF417" s="12"/>
      <c r="BG417" s="12"/>
      <c r="BH417" s="12"/>
      <c r="BI417" s="12"/>
      <c r="BJ417" s="12"/>
    </row>
    <row r="418" spans="2:62" x14ac:dyDescent="0.25">
      <c r="B418" s="1" t="s">
        <v>122</v>
      </c>
      <c r="C418" s="1" t="s">
        <v>175</v>
      </c>
      <c r="D418" s="1" t="s">
        <v>1190</v>
      </c>
      <c r="E418" s="1" t="s">
        <v>176</v>
      </c>
      <c r="F418" s="1" t="s">
        <v>177</v>
      </c>
      <c r="G418" s="1" t="s">
        <v>178</v>
      </c>
      <c r="H418" s="1" t="s">
        <v>179</v>
      </c>
      <c r="I418" s="7" t="s">
        <v>78</v>
      </c>
      <c r="J418" s="44">
        <v>1</v>
      </c>
      <c r="K418" s="45">
        <v>1</v>
      </c>
      <c r="L418" s="7" t="s">
        <v>180</v>
      </c>
      <c r="M418" s="1" t="s">
        <v>140</v>
      </c>
      <c r="N418" s="1" t="s">
        <v>1139</v>
      </c>
      <c r="O418" s="1" t="s">
        <v>1959</v>
      </c>
      <c r="P418" s="1" t="s">
        <v>181</v>
      </c>
      <c r="Q418" s="44">
        <f>IF(L418="747",Multipliers!C339,"oops")</f>
        <v>0.78</v>
      </c>
      <c r="R418" s="44">
        <f>IF(M418="Tulsa",Multipliers!C122, "GOOF")</f>
        <v>0.9</v>
      </c>
      <c r="S418" s="46">
        <f t="shared" ref="S418:S449" si="215">IF(N418="Standard",$O$5*Q418*$O$7,IF(N418="Severe",$O$4*Q418*$O$7,IF(N418="Hostile",$O$3*Q418*$O$7)))</f>
        <v>299071.7730000001</v>
      </c>
      <c r="T418" s="46">
        <f t="shared" ref="T418:T449" si="216">IF(N418="Standard",$P$5*R418*$O$7,IF(N418="Severe",$P$4*R418*$O$7,IF(N418="Hostile",$P$3*R418*$O$7)))</f>
        <v>337480.038</v>
      </c>
      <c r="U418" s="46">
        <f t="shared" si="211"/>
        <v>327355.63685999997</v>
      </c>
      <c r="V418" s="46">
        <f t="shared" si="212"/>
        <v>313213.70493000001</v>
      </c>
      <c r="W418" s="47">
        <f t="shared" si="207"/>
        <v>313213.70493000001</v>
      </c>
      <c r="X418" s="47"/>
      <c r="Y418" s="48">
        <f t="shared" si="213"/>
        <v>251548.81815000004</v>
      </c>
      <c r="Z418" s="48">
        <f t="shared" si="214"/>
        <v>278988.95912999997</v>
      </c>
      <c r="AA418" s="48">
        <f t="shared" si="208"/>
        <v>313213.70493000007</v>
      </c>
      <c r="AB418" s="48">
        <f t="shared" si="209"/>
        <v>338279.12916000001</v>
      </c>
      <c r="AC418" s="48">
        <f t="shared" si="210"/>
        <v>364788.70344000001</v>
      </c>
      <c r="AD418" s="1"/>
      <c r="AE418" s="1"/>
      <c r="AF418" s="1"/>
      <c r="AI418" s="9"/>
      <c r="AJ418" s="1"/>
      <c r="AK418" s="1"/>
      <c r="AL418" s="1"/>
      <c r="AM418" s="1"/>
      <c r="AN418" s="1"/>
      <c r="AO418" s="1"/>
      <c r="AP418" s="9"/>
      <c r="AQ418" s="3"/>
      <c r="AR418" s="4"/>
      <c r="AS418" s="1"/>
      <c r="AT418" s="1"/>
      <c r="AU418" s="1"/>
      <c r="AV418" s="1"/>
      <c r="AW418" s="1"/>
      <c r="AX418" s="3"/>
      <c r="AY418" s="3"/>
      <c r="AZ418" s="5"/>
      <c r="BA418" s="5"/>
      <c r="BB418" s="5"/>
      <c r="BC418" s="5"/>
      <c r="BD418" s="6"/>
      <c r="BE418" s="6"/>
      <c r="BF418" s="12"/>
      <c r="BG418" s="12"/>
      <c r="BH418" s="12"/>
      <c r="BI418" s="12"/>
      <c r="BJ418" s="12"/>
    </row>
    <row r="419" spans="2:62" x14ac:dyDescent="0.25">
      <c r="B419" s="1" t="s">
        <v>122</v>
      </c>
      <c r="C419" s="1" t="s">
        <v>123</v>
      </c>
      <c r="D419" s="1" t="s">
        <v>1766</v>
      </c>
      <c r="E419" s="1" t="s">
        <v>182</v>
      </c>
      <c r="F419" s="1" t="s">
        <v>183</v>
      </c>
      <c r="G419" s="1" t="s">
        <v>1190</v>
      </c>
      <c r="H419" s="1" t="s">
        <v>1190</v>
      </c>
      <c r="I419" s="7" t="s">
        <v>78</v>
      </c>
      <c r="J419" s="44">
        <v>1</v>
      </c>
      <c r="K419" s="45">
        <v>1</v>
      </c>
      <c r="L419" s="1" t="s">
        <v>128</v>
      </c>
      <c r="M419" s="1" t="s">
        <v>129</v>
      </c>
      <c r="N419" s="1" t="s">
        <v>1139</v>
      </c>
      <c r="O419" s="1" t="s">
        <v>1959</v>
      </c>
      <c r="P419" s="1" t="s">
        <v>134</v>
      </c>
      <c r="Q419" s="44">
        <f>IF(L419="748",Multipliers!C340,"oops")</f>
        <v>0.79</v>
      </c>
      <c r="R419" s="44">
        <f>IF(M419="Oklahoma City",Multipliers!C121, "GOOF")</f>
        <v>0.93</v>
      </c>
      <c r="S419" s="46">
        <f t="shared" si="215"/>
        <v>302906.02650000009</v>
      </c>
      <c r="T419" s="46">
        <f t="shared" si="216"/>
        <v>348729.3726</v>
      </c>
      <c r="U419" s="46">
        <f t="shared" si="211"/>
        <v>338267.49142199999</v>
      </c>
      <c r="V419" s="46">
        <f t="shared" si="212"/>
        <v>320586.75896100001</v>
      </c>
      <c r="W419" s="47">
        <f t="shared" si="207"/>
        <v>320586.75896100001</v>
      </c>
      <c r="X419" s="47"/>
      <c r="Y419" s="48">
        <f t="shared" si="213"/>
        <v>257413.80675500006</v>
      </c>
      <c r="Z419" s="48">
        <f t="shared" si="214"/>
        <v>285531.63438100001</v>
      </c>
      <c r="AA419" s="48">
        <f t="shared" si="208"/>
        <v>320586.75896100001</v>
      </c>
      <c r="AB419" s="48">
        <f t="shared" si="209"/>
        <v>346276.56893199997</v>
      </c>
      <c r="AC419" s="48">
        <f t="shared" si="210"/>
        <v>373416.765288</v>
      </c>
      <c r="AD419" s="1"/>
      <c r="AE419" s="1"/>
      <c r="AF419" s="1"/>
      <c r="AI419" s="9"/>
      <c r="AJ419" s="1"/>
      <c r="AK419" s="1"/>
      <c r="AL419" s="1"/>
      <c r="AM419" s="1"/>
      <c r="AN419" s="1"/>
      <c r="AO419" s="1"/>
      <c r="AP419" s="9"/>
      <c r="AQ419" s="3"/>
      <c r="AR419" s="4"/>
      <c r="AS419" s="1"/>
      <c r="AT419" s="1"/>
      <c r="AU419" s="1"/>
      <c r="AV419" s="1"/>
      <c r="AW419" s="1"/>
      <c r="AX419" s="3"/>
      <c r="AY419" s="3"/>
      <c r="AZ419" s="5"/>
      <c r="BA419" s="5"/>
      <c r="BB419" s="5"/>
      <c r="BC419" s="5"/>
      <c r="BD419" s="6"/>
      <c r="BE419" s="6"/>
      <c r="BF419" s="12"/>
      <c r="BG419" s="12"/>
      <c r="BH419" s="12"/>
      <c r="BI419" s="12"/>
      <c r="BJ419" s="12"/>
    </row>
    <row r="420" spans="2:62" x14ac:dyDescent="0.25">
      <c r="B420" s="1" t="s">
        <v>122</v>
      </c>
      <c r="C420" s="1" t="s">
        <v>141</v>
      </c>
      <c r="D420" s="1" t="s">
        <v>1766</v>
      </c>
      <c r="E420" s="1" t="s">
        <v>184</v>
      </c>
      <c r="F420" s="1" t="s">
        <v>185</v>
      </c>
      <c r="G420" s="1" t="s">
        <v>186</v>
      </c>
      <c r="H420" s="1" t="s">
        <v>187</v>
      </c>
      <c r="I420" s="7" t="s">
        <v>78</v>
      </c>
      <c r="J420" s="44">
        <v>1</v>
      </c>
      <c r="K420" s="45">
        <v>1</v>
      </c>
      <c r="L420" s="7" t="s">
        <v>188</v>
      </c>
      <c r="M420" s="1" t="s">
        <v>148</v>
      </c>
      <c r="N420" s="1" t="s">
        <v>1139</v>
      </c>
      <c r="O420" s="1" t="s">
        <v>1959</v>
      </c>
      <c r="P420" s="1" t="s">
        <v>149</v>
      </c>
      <c r="Q420" s="44">
        <f>IF(L420="735",Multipliers!C333,"oops")</f>
        <v>0.82</v>
      </c>
      <c r="R420" s="44">
        <f>IF(M420="Lawton",Multipliers!C120, "GOOF")</f>
        <v>0.85</v>
      </c>
      <c r="S420" s="46">
        <f t="shared" si="215"/>
        <v>314408.78700000001</v>
      </c>
      <c r="T420" s="46">
        <f t="shared" si="216"/>
        <v>318731.147</v>
      </c>
      <c r="U420" s="46">
        <f t="shared" si="211"/>
        <v>309169.21259000001</v>
      </c>
      <c r="V420" s="46">
        <f t="shared" si="212"/>
        <v>311788.99979500001</v>
      </c>
      <c r="W420" s="47">
        <f t="shared" si="207"/>
        <v>311788.99979500001</v>
      </c>
      <c r="X420" s="47"/>
      <c r="Y420" s="48">
        <f t="shared" si="213"/>
        <v>250698.737975</v>
      </c>
      <c r="Z420" s="48">
        <f t="shared" si="214"/>
        <v>277848.72209499998</v>
      </c>
      <c r="AA420" s="48">
        <f t="shared" si="208"/>
        <v>311788.99979500001</v>
      </c>
      <c r="AB420" s="48">
        <f t="shared" si="209"/>
        <v>336561.52753999998</v>
      </c>
      <c r="AC420" s="48">
        <f t="shared" si="210"/>
        <v>362916.21435999998</v>
      </c>
      <c r="AD420" s="1"/>
      <c r="AE420" s="1"/>
      <c r="AF420" s="1"/>
      <c r="AI420" s="9"/>
      <c r="AJ420" s="1"/>
      <c r="AK420" s="1"/>
      <c r="AL420" s="1"/>
      <c r="AM420" s="1"/>
      <c r="AN420" s="1"/>
      <c r="AO420" s="1"/>
      <c r="AP420" s="9"/>
      <c r="AQ420" s="3"/>
      <c r="AR420" s="4"/>
      <c r="AS420" s="1"/>
      <c r="AT420" s="1"/>
      <c r="AU420" s="1"/>
      <c r="AV420" s="1"/>
      <c r="AW420" s="1"/>
      <c r="AX420" s="3"/>
      <c r="AY420" s="3"/>
      <c r="AZ420" s="5"/>
      <c r="BA420" s="5"/>
      <c r="BB420" s="5"/>
      <c r="BC420" s="5"/>
      <c r="BD420" s="6"/>
      <c r="BE420" s="6"/>
      <c r="BF420" s="12"/>
      <c r="BG420" s="12"/>
      <c r="BH420" s="12"/>
      <c r="BI420" s="12"/>
      <c r="BJ420" s="12"/>
    </row>
    <row r="421" spans="2:62" x14ac:dyDescent="0.25">
      <c r="B421" s="1" t="s">
        <v>122</v>
      </c>
      <c r="C421" s="1" t="s">
        <v>150</v>
      </c>
      <c r="D421" s="1" t="s">
        <v>142</v>
      </c>
      <c r="E421" s="1" t="s">
        <v>189</v>
      </c>
      <c r="F421" s="1" t="s">
        <v>190</v>
      </c>
      <c r="G421" s="1" t="s">
        <v>1190</v>
      </c>
      <c r="H421" s="1" t="s">
        <v>1190</v>
      </c>
      <c r="I421" s="7" t="s">
        <v>78</v>
      </c>
      <c r="J421" s="44">
        <v>1</v>
      </c>
      <c r="K421" s="45">
        <v>1</v>
      </c>
      <c r="L421" s="7" t="s">
        <v>147</v>
      </c>
      <c r="M421" s="1" t="s">
        <v>148</v>
      </c>
      <c r="N421" s="1" t="s">
        <v>1139</v>
      </c>
      <c r="O421" s="1" t="s">
        <v>1959</v>
      </c>
      <c r="P421" s="1" t="s">
        <v>149</v>
      </c>
      <c r="Q421" s="44">
        <f>IF(L421="730",Multipliers!C332,"oops")</f>
        <v>0.83</v>
      </c>
      <c r="R421" s="44">
        <f>IF(M421="Lawton",Multipliers!C120, "GOOF")</f>
        <v>0.85</v>
      </c>
      <c r="S421" s="46">
        <f t="shared" si="215"/>
        <v>318243.04050000006</v>
      </c>
      <c r="T421" s="46">
        <f t="shared" si="216"/>
        <v>318731.147</v>
      </c>
      <c r="U421" s="46">
        <f t="shared" si="211"/>
        <v>309169.21259000001</v>
      </c>
      <c r="V421" s="46">
        <f t="shared" si="212"/>
        <v>313706.12654500001</v>
      </c>
      <c r="W421" s="47">
        <f t="shared" si="207"/>
        <v>313706.12654500001</v>
      </c>
      <c r="X421" s="47"/>
      <c r="Y421" s="48">
        <f t="shared" si="213"/>
        <v>252273.72047499998</v>
      </c>
      <c r="Z421" s="48">
        <f t="shared" si="214"/>
        <v>279571.820045</v>
      </c>
      <c r="AA421" s="48">
        <f t="shared" si="208"/>
        <v>313706.12654500006</v>
      </c>
      <c r="AB421" s="48">
        <f t="shared" si="209"/>
        <v>338610.60953999998</v>
      </c>
      <c r="AC421" s="48">
        <f t="shared" si="210"/>
        <v>365123.44036000001</v>
      </c>
      <c r="AD421" s="1"/>
      <c r="AE421" s="1"/>
      <c r="AF421" s="1"/>
      <c r="AI421" s="9"/>
      <c r="AJ421" s="1"/>
      <c r="AK421" s="1"/>
      <c r="AL421" s="1"/>
      <c r="AM421" s="1"/>
      <c r="AN421" s="1"/>
      <c r="AO421" s="1"/>
      <c r="AP421" s="9"/>
      <c r="AQ421" s="3"/>
      <c r="AR421" s="4"/>
      <c r="AS421" s="1"/>
      <c r="AT421" s="1"/>
      <c r="AU421" s="1"/>
      <c r="AV421" s="1"/>
      <c r="AW421" s="1"/>
      <c r="AX421" s="3"/>
      <c r="AY421" s="3"/>
      <c r="AZ421" s="5"/>
      <c r="BA421" s="5"/>
      <c r="BB421" s="5"/>
      <c r="BC421" s="5"/>
      <c r="BD421" s="6"/>
      <c r="BE421" s="6"/>
      <c r="BF421" s="12"/>
      <c r="BG421" s="12"/>
      <c r="BH421" s="12"/>
      <c r="BI421" s="12"/>
      <c r="BJ421" s="12"/>
    </row>
    <row r="422" spans="2:62" x14ac:dyDescent="0.25">
      <c r="B422" s="1" t="s">
        <v>122</v>
      </c>
      <c r="C422" s="1" t="s">
        <v>155</v>
      </c>
      <c r="D422" s="1" t="s">
        <v>1766</v>
      </c>
      <c r="E422" s="1" t="s">
        <v>189</v>
      </c>
      <c r="F422" s="1" t="s">
        <v>191</v>
      </c>
      <c r="G422" s="1" t="s">
        <v>192</v>
      </c>
      <c r="H422" s="1" t="s">
        <v>193</v>
      </c>
      <c r="I422" s="7" t="s">
        <v>78</v>
      </c>
      <c r="J422" s="44">
        <v>1</v>
      </c>
      <c r="K422" s="45">
        <v>1</v>
      </c>
      <c r="L422" s="1" t="s">
        <v>139</v>
      </c>
      <c r="M422" s="1" t="s">
        <v>140</v>
      </c>
      <c r="N422" s="1" t="s">
        <v>1139</v>
      </c>
      <c r="O422" s="1" t="s">
        <v>1959</v>
      </c>
      <c r="P422" s="1" t="s">
        <v>160</v>
      </c>
      <c r="Q422" s="44">
        <f>IF(L422="744",Multipliers!C337,"oops")</f>
        <v>0.8</v>
      </c>
      <c r="R422" s="44">
        <f>IF(M422="Tulsa",Multipliers!C122, "GOOF")</f>
        <v>0.9</v>
      </c>
      <c r="S422" s="46">
        <f t="shared" si="215"/>
        <v>306740.28000000003</v>
      </c>
      <c r="T422" s="46">
        <f t="shared" si="216"/>
        <v>337480.038</v>
      </c>
      <c r="U422" s="46">
        <f t="shared" si="211"/>
        <v>327355.63685999997</v>
      </c>
      <c r="V422" s="46">
        <f t="shared" si="212"/>
        <v>317047.95843</v>
      </c>
      <c r="W422" s="47">
        <f t="shared" si="207"/>
        <v>317047.95843</v>
      </c>
      <c r="X422" s="47"/>
      <c r="Y422" s="48">
        <f t="shared" si="213"/>
        <v>254698.78315</v>
      </c>
      <c r="Z422" s="48">
        <f t="shared" si="214"/>
        <v>282435.15502999997</v>
      </c>
      <c r="AA422" s="48">
        <f t="shared" si="208"/>
        <v>317047.95843000006</v>
      </c>
      <c r="AB422" s="48">
        <f t="shared" si="209"/>
        <v>342377.29316</v>
      </c>
      <c r="AC422" s="48">
        <f t="shared" si="210"/>
        <v>369203.15544000006</v>
      </c>
      <c r="AD422" s="1"/>
      <c r="AE422" s="1"/>
      <c r="AF422" s="1"/>
      <c r="AI422" s="9"/>
      <c r="AJ422" s="1"/>
      <c r="AK422" s="1"/>
      <c r="AL422" s="1"/>
      <c r="AM422" s="1"/>
      <c r="AN422" s="1"/>
      <c r="AO422" s="1"/>
      <c r="AP422" s="9"/>
      <c r="AQ422" s="3"/>
      <c r="AR422" s="4"/>
      <c r="AS422" s="1"/>
      <c r="AT422" s="1"/>
      <c r="AU422" s="1"/>
      <c r="AV422" s="1"/>
      <c r="AW422" s="1"/>
      <c r="AX422" s="3"/>
      <c r="AY422" s="3"/>
      <c r="AZ422" s="5"/>
      <c r="BA422" s="5"/>
      <c r="BB422" s="5"/>
      <c r="BC422" s="5"/>
      <c r="BD422" s="6"/>
      <c r="BE422" s="6"/>
      <c r="BF422" s="12"/>
      <c r="BG422" s="12"/>
      <c r="BH422" s="12"/>
      <c r="BI422" s="12"/>
      <c r="BJ422" s="12"/>
    </row>
    <row r="423" spans="2:62" x14ac:dyDescent="0.25">
      <c r="B423" s="1" t="s">
        <v>122</v>
      </c>
      <c r="C423" s="1" t="s">
        <v>194</v>
      </c>
      <c r="D423" s="1" t="s">
        <v>1772</v>
      </c>
      <c r="E423" s="1" t="s">
        <v>195</v>
      </c>
      <c r="F423" s="1" t="s">
        <v>196</v>
      </c>
      <c r="G423" s="1" t="s">
        <v>1190</v>
      </c>
      <c r="H423" s="1" t="s">
        <v>1190</v>
      </c>
      <c r="I423" s="7" t="s">
        <v>78</v>
      </c>
      <c r="J423" s="44">
        <v>1</v>
      </c>
      <c r="K423" s="45">
        <v>1</v>
      </c>
      <c r="L423" s="1" t="s">
        <v>197</v>
      </c>
      <c r="M423" s="1" t="s">
        <v>198</v>
      </c>
      <c r="N423" s="1" t="s">
        <v>1139</v>
      </c>
      <c r="O423" s="1" t="s">
        <v>1959</v>
      </c>
      <c r="P423" s="1" t="s">
        <v>1190</v>
      </c>
      <c r="Q423" s="44">
        <f>IF(L423="743",Multipliers!C336,"oops")</f>
        <v>0.8</v>
      </c>
      <c r="R423" s="44">
        <f>IF(M423="OKLAHOMA",Multipliers!C117, "GOOF")</f>
        <v>0.9</v>
      </c>
      <c r="S423" s="46">
        <f t="shared" si="215"/>
        <v>306740.28000000003</v>
      </c>
      <c r="T423" s="46">
        <f t="shared" si="216"/>
        <v>337480.038</v>
      </c>
      <c r="U423" s="46">
        <f t="shared" si="211"/>
        <v>327355.63685999997</v>
      </c>
      <c r="V423" s="46">
        <f t="shared" si="212"/>
        <v>317047.95843</v>
      </c>
      <c r="W423" s="47">
        <f t="shared" si="207"/>
        <v>317047.95843</v>
      </c>
      <c r="X423" s="47"/>
      <c r="Y423" s="48">
        <f t="shared" si="213"/>
        <v>254698.78315</v>
      </c>
      <c r="Z423" s="48">
        <f t="shared" si="214"/>
        <v>282435.15502999997</v>
      </c>
      <c r="AA423" s="48">
        <f t="shared" si="208"/>
        <v>317047.95843000006</v>
      </c>
      <c r="AB423" s="48">
        <f t="shared" si="209"/>
        <v>342377.29316</v>
      </c>
      <c r="AC423" s="48">
        <f t="shared" si="210"/>
        <v>369203.15544000006</v>
      </c>
      <c r="AD423" s="1"/>
      <c r="AE423" s="1"/>
      <c r="AF423" s="1"/>
      <c r="AI423" s="9"/>
      <c r="AJ423" s="1"/>
      <c r="AK423" s="1"/>
      <c r="AL423" s="1"/>
      <c r="AM423" s="1"/>
      <c r="AN423" s="1"/>
      <c r="AO423" s="1"/>
      <c r="AP423" s="9"/>
      <c r="AQ423" s="3"/>
      <c r="AR423" s="4"/>
      <c r="AS423" s="1"/>
      <c r="AT423" s="1"/>
      <c r="AU423" s="1"/>
      <c r="AV423" s="1"/>
      <c r="AW423" s="1"/>
      <c r="AX423" s="3"/>
      <c r="AY423" s="3"/>
      <c r="AZ423" s="5"/>
      <c r="BA423" s="5"/>
      <c r="BB423" s="5"/>
      <c r="BC423" s="5"/>
      <c r="BD423" s="6"/>
      <c r="BE423" s="6"/>
      <c r="BF423" s="12"/>
      <c r="BG423" s="12"/>
      <c r="BH423" s="12"/>
      <c r="BI423" s="12"/>
      <c r="BJ423" s="12"/>
    </row>
    <row r="424" spans="2:62" x14ac:dyDescent="0.25">
      <c r="B424" s="1" t="s">
        <v>122</v>
      </c>
      <c r="C424" s="1" t="s">
        <v>141</v>
      </c>
      <c r="D424" s="1" t="s">
        <v>136</v>
      </c>
      <c r="E424" s="1" t="s">
        <v>199</v>
      </c>
      <c r="F424" s="1" t="s">
        <v>200</v>
      </c>
      <c r="G424" s="1" t="s">
        <v>201</v>
      </c>
      <c r="H424" s="1" t="s">
        <v>202</v>
      </c>
      <c r="I424" s="7" t="s">
        <v>78</v>
      </c>
      <c r="J424" s="44">
        <v>1</v>
      </c>
      <c r="K424" s="45">
        <v>1</v>
      </c>
      <c r="L424" s="1" t="s">
        <v>147</v>
      </c>
      <c r="M424" s="1" t="s">
        <v>148</v>
      </c>
      <c r="N424" s="1" t="s">
        <v>1139</v>
      </c>
      <c r="O424" s="1" t="s">
        <v>1959</v>
      </c>
      <c r="P424" s="1" t="s">
        <v>149</v>
      </c>
      <c r="Q424" s="44">
        <f>IF(L424="730",Multipliers!C332,"oops")</f>
        <v>0.83</v>
      </c>
      <c r="R424" s="44">
        <f>IF(M424="Lawton",Multipliers!C120, "GOOF")</f>
        <v>0.85</v>
      </c>
      <c r="S424" s="46">
        <f t="shared" si="215"/>
        <v>318243.04050000006</v>
      </c>
      <c r="T424" s="46">
        <f t="shared" si="216"/>
        <v>318731.147</v>
      </c>
      <c r="U424" s="46">
        <f t="shared" si="211"/>
        <v>309169.21259000001</v>
      </c>
      <c r="V424" s="46">
        <f t="shared" si="212"/>
        <v>313706.12654500001</v>
      </c>
      <c r="W424" s="47">
        <f t="shared" si="207"/>
        <v>313706.12654500001</v>
      </c>
      <c r="X424" s="47"/>
      <c r="Y424" s="48">
        <f t="shared" si="213"/>
        <v>252273.72047499998</v>
      </c>
      <c r="Z424" s="48">
        <f t="shared" si="214"/>
        <v>279571.820045</v>
      </c>
      <c r="AA424" s="48">
        <f t="shared" si="208"/>
        <v>313706.12654500006</v>
      </c>
      <c r="AB424" s="48">
        <f t="shared" si="209"/>
        <v>338610.60953999998</v>
      </c>
      <c r="AC424" s="48">
        <f t="shared" si="210"/>
        <v>365123.44036000001</v>
      </c>
      <c r="AD424" s="1"/>
      <c r="AE424" s="1"/>
      <c r="AF424" s="1"/>
      <c r="AI424" s="9"/>
      <c r="AJ424" s="1"/>
      <c r="AK424" s="1"/>
      <c r="AL424" s="1"/>
      <c r="AM424" s="1"/>
      <c r="AN424" s="1"/>
      <c r="AO424" s="1"/>
      <c r="AP424" s="9"/>
      <c r="AQ424" s="3"/>
      <c r="AR424" s="4"/>
      <c r="AS424" s="1"/>
      <c r="AT424" s="1"/>
      <c r="AU424" s="1"/>
      <c r="AV424" s="1"/>
      <c r="AW424" s="1"/>
      <c r="AX424" s="3"/>
      <c r="AY424" s="3"/>
      <c r="AZ424" s="5"/>
      <c r="BA424" s="5"/>
      <c r="BB424" s="5"/>
      <c r="BC424" s="5"/>
      <c r="BD424" s="6"/>
      <c r="BE424" s="6"/>
      <c r="BF424" s="12"/>
      <c r="BG424" s="12"/>
      <c r="BH424" s="12"/>
      <c r="BI424" s="12"/>
      <c r="BJ424" s="12"/>
    </row>
    <row r="425" spans="2:62" x14ac:dyDescent="0.25">
      <c r="B425" s="1" t="s">
        <v>122</v>
      </c>
      <c r="C425" s="1" t="s">
        <v>203</v>
      </c>
      <c r="D425" s="1" t="s">
        <v>1190</v>
      </c>
      <c r="E425" s="1" t="s">
        <v>204</v>
      </c>
      <c r="F425" s="1" t="s">
        <v>205</v>
      </c>
      <c r="G425" s="1" t="s">
        <v>206</v>
      </c>
      <c r="H425" s="1" t="s">
        <v>207</v>
      </c>
      <c r="I425" s="7" t="s">
        <v>78</v>
      </c>
      <c r="J425" s="44">
        <v>1</v>
      </c>
      <c r="K425" s="45">
        <v>1</v>
      </c>
      <c r="L425" s="7" t="s">
        <v>208</v>
      </c>
      <c r="M425" s="1" t="s">
        <v>129</v>
      </c>
      <c r="N425" s="1" t="s">
        <v>1139</v>
      </c>
      <c r="O425" s="1" t="s">
        <v>1959</v>
      </c>
      <c r="P425" s="1" t="s">
        <v>1190</v>
      </c>
      <c r="Q425" s="44">
        <f>IF(L425="740",Multipliers!C335,"oops")</f>
        <v>0.82</v>
      </c>
      <c r="R425" s="44">
        <f>IF(M425="Oklahoma City",Multipliers!C121, "GOOF")</f>
        <v>0.93</v>
      </c>
      <c r="S425" s="46">
        <f t="shared" si="215"/>
        <v>314408.78700000001</v>
      </c>
      <c r="T425" s="46">
        <f t="shared" si="216"/>
        <v>348729.3726</v>
      </c>
      <c r="U425" s="46">
        <f t="shared" si="211"/>
        <v>338267.49142199999</v>
      </c>
      <c r="V425" s="46">
        <f t="shared" si="212"/>
        <v>326338.139211</v>
      </c>
      <c r="W425" s="47">
        <f t="shared" si="207"/>
        <v>326338.139211</v>
      </c>
      <c r="X425" s="47"/>
      <c r="Y425" s="48">
        <f t="shared" si="213"/>
        <v>262138.75425500001</v>
      </c>
      <c r="Z425" s="48">
        <f t="shared" si="214"/>
        <v>290700.92823100003</v>
      </c>
      <c r="AA425" s="48">
        <f t="shared" si="208"/>
        <v>326338.13921100006</v>
      </c>
      <c r="AB425" s="48">
        <f t="shared" si="209"/>
        <v>352423.81493200001</v>
      </c>
      <c r="AC425" s="48">
        <f t="shared" si="210"/>
        <v>380038.44328799995</v>
      </c>
      <c r="AD425" s="1"/>
      <c r="AE425" s="1"/>
      <c r="AF425" s="1"/>
      <c r="AI425" s="9"/>
      <c r="AJ425" s="1"/>
      <c r="AK425" s="1"/>
      <c r="AL425" s="1"/>
      <c r="AM425" s="1"/>
      <c r="AN425" s="1"/>
      <c r="AO425" s="1"/>
      <c r="AP425" s="9"/>
      <c r="AQ425" s="3"/>
      <c r="AR425" s="4"/>
      <c r="AS425" s="1"/>
      <c r="AT425" s="1"/>
      <c r="AU425" s="1"/>
      <c r="AV425" s="1"/>
      <c r="AW425" s="1"/>
      <c r="AX425" s="3"/>
      <c r="AY425" s="3"/>
      <c r="AZ425" s="5"/>
      <c r="BA425" s="5"/>
      <c r="BB425" s="5"/>
      <c r="BC425" s="5"/>
      <c r="BD425" s="6"/>
      <c r="BE425" s="6"/>
      <c r="BF425" s="12"/>
      <c r="BG425" s="12"/>
      <c r="BH425" s="12"/>
      <c r="BI425" s="12"/>
      <c r="BJ425" s="12"/>
    </row>
    <row r="426" spans="2:62" x14ac:dyDescent="0.25">
      <c r="B426" s="1" t="s">
        <v>122</v>
      </c>
      <c r="C426" s="1" t="s">
        <v>209</v>
      </c>
      <c r="D426" s="1" t="s">
        <v>1190</v>
      </c>
      <c r="E426" s="1" t="s">
        <v>210</v>
      </c>
      <c r="F426" s="1" t="s">
        <v>211</v>
      </c>
      <c r="G426" s="1" t="s">
        <v>212</v>
      </c>
      <c r="H426" s="1" t="s">
        <v>213</v>
      </c>
      <c r="I426" s="7" t="s">
        <v>78</v>
      </c>
      <c r="J426" s="44">
        <v>1</v>
      </c>
      <c r="K426" s="45">
        <v>1</v>
      </c>
      <c r="L426" s="1" t="s">
        <v>214</v>
      </c>
      <c r="M426" s="1" t="s">
        <v>167</v>
      </c>
      <c r="N426" s="1" t="s">
        <v>1139</v>
      </c>
      <c r="O426" s="1" t="s">
        <v>1959</v>
      </c>
      <c r="P426" s="1" t="s">
        <v>168</v>
      </c>
      <c r="Q426" s="44">
        <f>IF(L426="746",Multipliers!C338,"oops")</f>
        <v>0.79</v>
      </c>
      <c r="R426" s="44">
        <f>IF(M426="Enid",Multipliers!C119, "GOOF")</f>
        <v>0.93</v>
      </c>
      <c r="S426" s="46">
        <f t="shared" si="215"/>
        <v>302906.02650000009</v>
      </c>
      <c r="T426" s="46">
        <f t="shared" si="216"/>
        <v>348729.3726</v>
      </c>
      <c r="U426" s="46">
        <f t="shared" si="211"/>
        <v>338267.49142199999</v>
      </c>
      <c r="V426" s="46">
        <f t="shared" si="212"/>
        <v>320586.75896100001</v>
      </c>
      <c r="W426" s="47">
        <f t="shared" si="207"/>
        <v>320586.75896100001</v>
      </c>
      <c r="X426" s="47"/>
      <c r="Y426" s="48">
        <f t="shared" si="213"/>
        <v>257413.80675500006</v>
      </c>
      <c r="Z426" s="48">
        <f t="shared" si="214"/>
        <v>285531.63438100001</v>
      </c>
      <c r="AA426" s="48">
        <f t="shared" si="208"/>
        <v>320586.75896100001</v>
      </c>
      <c r="AB426" s="48">
        <f t="shared" si="209"/>
        <v>346276.56893199997</v>
      </c>
      <c r="AC426" s="48">
        <f t="shared" si="210"/>
        <v>373416.765288</v>
      </c>
      <c r="AD426" s="1"/>
      <c r="AE426" s="1"/>
      <c r="AF426" s="1"/>
      <c r="AI426" s="9"/>
      <c r="AJ426" s="1"/>
      <c r="AK426" s="1"/>
      <c r="AL426" s="1"/>
      <c r="AM426" s="1"/>
      <c r="AN426" s="1"/>
      <c r="AO426" s="1"/>
      <c r="AP426" s="9"/>
      <c r="AQ426" s="3"/>
      <c r="AR426" s="4"/>
      <c r="AS426" s="1"/>
      <c r="AT426" s="1"/>
      <c r="AU426" s="1"/>
      <c r="AV426" s="1"/>
      <c r="AW426" s="1"/>
      <c r="AX426" s="3"/>
      <c r="AY426" s="3"/>
      <c r="AZ426" s="5"/>
      <c r="BA426" s="5"/>
      <c r="BB426" s="5"/>
      <c r="BC426" s="5"/>
      <c r="BD426" s="6"/>
      <c r="BE426" s="6"/>
      <c r="BF426" s="12"/>
      <c r="BG426" s="12"/>
      <c r="BH426" s="12"/>
      <c r="BI426" s="12"/>
      <c r="BJ426" s="12"/>
    </row>
    <row r="427" spans="2:62" x14ac:dyDescent="0.25">
      <c r="B427" s="1" t="s">
        <v>122</v>
      </c>
      <c r="C427" s="1" t="s">
        <v>135</v>
      </c>
      <c r="D427" s="1" t="s">
        <v>142</v>
      </c>
      <c r="E427" s="1" t="s">
        <v>215</v>
      </c>
      <c r="F427" s="1" t="s">
        <v>216</v>
      </c>
      <c r="G427" s="1" t="s">
        <v>1190</v>
      </c>
      <c r="H427" s="1" t="s">
        <v>1190</v>
      </c>
      <c r="I427" s="7" t="s">
        <v>78</v>
      </c>
      <c r="J427" s="44">
        <v>1</v>
      </c>
      <c r="K427" s="45">
        <v>1</v>
      </c>
      <c r="L427" s="7" t="s">
        <v>128</v>
      </c>
      <c r="M427" s="1" t="s">
        <v>140</v>
      </c>
      <c r="N427" s="1" t="s">
        <v>1139</v>
      </c>
      <c r="O427" s="1" t="s">
        <v>1959</v>
      </c>
      <c r="P427" s="1" t="s">
        <v>160</v>
      </c>
      <c r="Q427" s="44">
        <f>IF(L427="748",Multipliers!C340,"oops")</f>
        <v>0.79</v>
      </c>
      <c r="R427" s="44">
        <f>IF(M427="Tulsa",Multipliers!C122, "GOOF")</f>
        <v>0.9</v>
      </c>
      <c r="S427" s="46">
        <f t="shared" si="215"/>
        <v>302906.02650000009</v>
      </c>
      <c r="T427" s="46">
        <f t="shared" si="216"/>
        <v>337480.038</v>
      </c>
      <c r="U427" s="46">
        <f t="shared" si="211"/>
        <v>327355.63685999997</v>
      </c>
      <c r="V427" s="46">
        <f t="shared" si="212"/>
        <v>315130.83168000006</v>
      </c>
      <c r="W427" s="47">
        <f t="shared" si="207"/>
        <v>315130.83168000006</v>
      </c>
      <c r="X427" s="47"/>
      <c r="Y427" s="48">
        <f t="shared" si="213"/>
        <v>253123.80065000002</v>
      </c>
      <c r="Z427" s="48">
        <f t="shared" si="214"/>
        <v>280712.05708</v>
      </c>
      <c r="AA427" s="48">
        <f t="shared" si="208"/>
        <v>315130.83168000006</v>
      </c>
      <c r="AB427" s="48">
        <f t="shared" si="209"/>
        <v>340328.21116000001</v>
      </c>
      <c r="AC427" s="48">
        <f t="shared" si="210"/>
        <v>366995.92943999998</v>
      </c>
      <c r="AD427" s="1"/>
      <c r="AE427" s="1"/>
      <c r="AF427" s="1"/>
      <c r="AI427" s="9"/>
      <c r="AJ427" s="1"/>
      <c r="AK427" s="1"/>
      <c r="AL427" s="1"/>
      <c r="AM427" s="1"/>
      <c r="AN427" s="1"/>
      <c r="AO427" s="1"/>
      <c r="AP427" s="9"/>
      <c r="AQ427" s="3"/>
      <c r="AR427" s="4"/>
      <c r="AS427" s="1"/>
      <c r="AT427" s="1"/>
      <c r="AU427" s="1"/>
      <c r="AV427" s="1"/>
      <c r="AW427" s="1"/>
      <c r="AX427" s="3"/>
      <c r="AY427" s="3"/>
      <c r="AZ427" s="5"/>
      <c r="BA427" s="5"/>
      <c r="BB427" s="5"/>
      <c r="BC427" s="5"/>
      <c r="BD427" s="6"/>
      <c r="BE427" s="6"/>
      <c r="BF427" s="12"/>
      <c r="BG427" s="12"/>
      <c r="BH427" s="12"/>
      <c r="BI427" s="12"/>
      <c r="BJ427" s="12"/>
    </row>
    <row r="428" spans="2:62" x14ac:dyDescent="0.25">
      <c r="B428" s="1" t="s">
        <v>122</v>
      </c>
      <c r="C428" s="1" t="s">
        <v>217</v>
      </c>
      <c r="D428" s="1" t="s">
        <v>1190</v>
      </c>
      <c r="E428" s="1" t="s">
        <v>218</v>
      </c>
      <c r="F428" s="1" t="s">
        <v>219</v>
      </c>
      <c r="G428" s="1" t="s">
        <v>220</v>
      </c>
      <c r="H428" s="1" t="s">
        <v>221</v>
      </c>
      <c r="I428" s="7" t="s">
        <v>78</v>
      </c>
      <c r="J428" s="44">
        <v>1</v>
      </c>
      <c r="K428" s="45">
        <v>1</v>
      </c>
      <c r="L428" s="1" t="s">
        <v>128</v>
      </c>
      <c r="M428" s="1" t="s">
        <v>198</v>
      </c>
      <c r="N428" s="1" t="s">
        <v>1139</v>
      </c>
      <c r="O428" s="1" t="s">
        <v>1959</v>
      </c>
      <c r="P428" s="1" t="s">
        <v>1190</v>
      </c>
      <c r="Q428" s="44">
        <f>IF(L428="748",Multipliers!C340,"oops")</f>
        <v>0.79</v>
      </c>
      <c r="R428" s="44">
        <f>IF(M428="OKLAHOMA",Multipliers!C117, "GOOF")</f>
        <v>0.9</v>
      </c>
      <c r="S428" s="46">
        <f t="shared" si="215"/>
        <v>302906.02650000009</v>
      </c>
      <c r="T428" s="46">
        <f t="shared" si="216"/>
        <v>337480.038</v>
      </c>
      <c r="U428" s="46">
        <f t="shared" si="211"/>
        <v>327355.63685999997</v>
      </c>
      <c r="V428" s="46">
        <f t="shared" si="212"/>
        <v>315130.83168000006</v>
      </c>
      <c r="W428" s="47">
        <f t="shared" si="207"/>
        <v>315130.83168000006</v>
      </c>
      <c r="X428" s="47"/>
      <c r="Y428" s="48">
        <f t="shared" si="213"/>
        <v>253123.80065000002</v>
      </c>
      <c r="Z428" s="48">
        <f t="shared" si="214"/>
        <v>280712.05708</v>
      </c>
      <c r="AA428" s="48">
        <f t="shared" si="208"/>
        <v>315130.83168000006</v>
      </c>
      <c r="AB428" s="48">
        <f t="shared" si="209"/>
        <v>340328.21116000001</v>
      </c>
      <c r="AC428" s="48">
        <f t="shared" si="210"/>
        <v>366995.92943999998</v>
      </c>
      <c r="AD428" s="1"/>
      <c r="AE428" s="1"/>
      <c r="AF428" s="1"/>
      <c r="AI428" s="9"/>
      <c r="AJ428" s="1"/>
      <c r="AK428" s="1"/>
      <c r="AL428" s="1"/>
      <c r="AM428" s="1"/>
      <c r="AN428" s="1"/>
      <c r="AO428" s="1"/>
      <c r="AP428" s="9"/>
      <c r="AQ428" s="3"/>
      <c r="AR428" s="4"/>
      <c r="AS428" s="1"/>
      <c r="AT428" s="1"/>
      <c r="AU428" s="1"/>
      <c r="AV428" s="1"/>
      <c r="AW428" s="1"/>
      <c r="AX428" s="3"/>
      <c r="AY428" s="3"/>
      <c r="AZ428" s="5"/>
      <c r="BA428" s="5"/>
      <c r="BB428" s="5"/>
      <c r="BC428" s="5"/>
      <c r="BD428" s="6"/>
      <c r="BE428" s="6"/>
      <c r="BF428" s="12"/>
      <c r="BG428" s="12"/>
      <c r="BH428" s="12"/>
      <c r="BI428" s="12"/>
      <c r="BJ428" s="12"/>
    </row>
    <row r="429" spans="2:62" x14ac:dyDescent="0.25">
      <c r="B429" s="1" t="s">
        <v>122</v>
      </c>
      <c r="C429" s="1" t="s">
        <v>141</v>
      </c>
      <c r="D429" s="1" t="s">
        <v>1772</v>
      </c>
      <c r="E429" s="1" t="s">
        <v>222</v>
      </c>
      <c r="F429" s="1" t="s">
        <v>223</v>
      </c>
      <c r="G429" s="1" t="s">
        <v>224</v>
      </c>
      <c r="H429" s="1" t="s">
        <v>225</v>
      </c>
      <c r="I429" s="7" t="s">
        <v>78</v>
      </c>
      <c r="J429" s="44">
        <v>1</v>
      </c>
      <c r="K429" s="45">
        <v>1</v>
      </c>
      <c r="L429" s="1" t="s">
        <v>147</v>
      </c>
      <c r="M429" s="1" t="s">
        <v>148</v>
      </c>
      <c r="N429" s="1" t="s">
        <v>1139</v>
      </c>
      <c r="O429" s="1" t="s">
        <v>1959</v>
      </c>
      <c r="P429" s="1" t="s">
        <v>149</v>
      </c>
      <c r="Q429" s="44">
        <f>IF(L429="730",Multipliers!C332,"oops")</f>
        <v>0.83</v>
      </c>
      <c r="R429" s="44">
        <f>IF(M429="Lawton",Multipliers!C120, "GOOF")</f>
        <v>0.85</v>
      </c>
      <c r="S429" s="46">
        <f t="shared" si="215"/>
        <v>318243.04050000006</v>
      </c>
      <c r="T429" s="46">
        <f t="shared" si="216"/>
        <v>318731.147</v>
      </c>
      <c r="U429" s="46">
        <f t="shared" si="211"/>
        <v>309169.21259000001</v>
      </c>
      <c r="V429" s="46">
        <f t="shared" si="212"/>
        <v>313706.12654500001</v>
      </c>
      <c r="W429" s="47">
        <f>IF(F429=F431,(V429+V431)/2,IF(F429=F428,(V429+V428)/2,IF(F429&lt;&gt;F428,V429)))</f>
        <v>313706.12654500001</v>
      </c>
      <c r="X429" s="47"/>
      <c r="Y429" s="48">
        <f t="shared" si="213"/>
        <v>252273.72047499998</v>
      </c>
      <c r="Z429" s="48">
        <f t="shared" si="214"/>
        <v>279571.820045</v>
      </c>
      <c r="AA429" s="48">
        <f t="shared" si="208"/>
        <v>313706.12654500006</v>
      </c>
      <c r="AB429" s="48">
        <f t="shared" si="209"/>
        <v>338610.60953999998</v>
      </c>
      <c r="AC429" s="48">
        <f t="shared" si="210"/>
        <v>365123.44036000001</v>
      </c>
      <c r="AD429" s="1"/>
      <c r="AE429" s="1"/>
      <c r="AF429" s="1"/>
      <c r="AI429" s="9"/>
      <c r="AJ429" s="1"/>
      <c r="AK429" s="1"/>
      <c r="AL429" s="1"/>
      <c r="AM429" s="1"/>
      <c r="AN429" s="1"/>
      <c r="AO429" s="1"/>
      <c r="AP429" s="9"/>
      <c r="AQ429" s="3"/>
      <c r="AR429" s="4"/>
      <c r="AS429" s="1"/>
      <c r="AT429" s="1"/>
      <c r="AU429" s="1"/>
      <c r="AV429" s="1"/>
      <c r="AW429" s="1"/>
      <c r="AX429" s="3"/>
      <c r="AY429" s="3"/>
      <c r="AZ429" s="5"/>
      <c r="BA429" s="5"/>
      <c r="BB429" s="5"/>
      <c r="BC429" s="5"/>
      <c r="BD429" s="6"/>
      <c r="BE429" s="6"/>
      <c r="BF429" s="12"/>
      <c r="BG429" s="12"/>
      <c r="BH429" s="12"/>
      <c r="BI429" s="12"/>
      <c r="BJ429" s="12"/>
    </row>
    <row r="430" spans="2:62" x14ac:dyDescent="0.25">
      <c r="B430" s="1" t="s">
        <v>122</v>
      </c>
      <c r="C430" s="1"/>
      <c r="D430" s="1"/>
      <c r="E430" s="1"/>
      <c r="F430" s="1" t="s">
        <v>226</v>
      </c>
      <c r="G430" s="1" t="s">
        <v>1190</v>
      </c>
      <c r="H430" s="1" t="s">
        <v>1190</v>
      </c>
      <c r="I430" s="7" t="s">
        <v>78</v>
      </c>
      <c r="J430" s="44">
        <v>1</v>
      </c>
      <c r="K430" s="45">
        <v>1</v>
      </c>
      <c r="L430" s="1" t="s">
        <v>197</v>
      </c>
      <c r="M430" s="1" t="s">
        <v>140</v>
      </c>
      <c r="N430" s="1" t="s">
        <v>1139</v>
      </c>
      <c r="O430" s="1" t="s">
        <v>1959</v>
      </c>
      <c r="P430" s="1" t="s">
        <v>1190</v>
      </c>
      <c r="Q430" s="44">
        <f>IF(L430="743",Multipliers!C336,"oops")</f>
        <v>0.8</v>
      </c>
      <c r="R430" s="44">
        <f>IF(M430="Tulsa",Multipliers!C122, "GOOF")</f>
        <v>0.9</v>
      </c>
      <c r="S430" s="46">
        <f t="shared" si="215"/>
        <v>306740.28000000003</v>
      </c>
      <c r="T430" s="46">
        <f t="shared" si="216"/>
        <v>337480.038</v>
      </c>
      <c r="U430" s="46">
        <f t="shared" ref="U430:U445" si="217">IF(O430="E",$T$3*T430,IF(O430="C",$T$4*T430,IF(O430="W",$T$5*T430,1)))</f>
        <v>327355.63685999997</v>
      </c>
      <c r="V430" s="46">
        <f t="shared" si="212"/>
        <v>317047.95843</v>
      </c>
      <c r="W430" s="47">
        <f>IF(F430=F504,(V430+V504)/2,IF(F430=F673,(V430+V673)/2,IF(F430&lt;&gt;F673,V430)))</f>
        <v>158523.979215</v>
      </c>
      <c r="X430" s="47"/>
      <c r="Y430" s="48">
        <f>IF(N430="Standard",(((($Z$3*Q430)+($AD$3*R430*$T$5))/2)*$O$7),IF(N430="Severe",(((($AA$3*Q430)+($AE$3*R430*$T$5))/2)*$O$7),IF(N430="Hostile",(((($AB$3*Q430)+($AF$3*R430*$T$5))/2)*$O$7))))</f>
        <v>254698.78315</v>
      </c>
      <c r="Z430" s="48">
        <f>IF(N430="Standard",(((($Z$4*Q430)+($AD$4*R430*$T$5))/2)*$O$7),IF(N430="Severe",(((($AA$4*Q430)+($AE$4*R430*$T$5))/2)*$O$7),IF(N430="Hostile",(((($AB$4*Q430)+($AF$4*R430*$T$5))/2)*$O$7))))</f>
        <v>282435.15502999997</v>
      </c>
      <c r="AA430" s="48">
        <f t="shared" si="208"/>
        <v>317047.95843000006</v>
      </c>
      <c r="AB430" s="48">
        <f t="shared" si="209"/>
        <v>342377.29316</v>
      </c>
      <c r="AC430" s="48">
        <f t="shared" si="210"/>
        <v>369203.15544000006</v>
      </c>
      <c r="AD430" s="1"/>
      <c r="AE430" s="1"/>
      <c r="AF430" s="1"/>
      <c r="AI430" s="9"/>
      <c r="AJ430" s="1"/>
      <c r="AK430" s="1"/>
      <c r="AL430" s="1"/>
      <c r="AM430" s="1"/>
      <c r="AN430" s="1"/>
      <c r="AO430" s="1"/>
      <c r="AP430" s="9"/>
      <c r="AQ430" s="3"/>
      <c r="AR430" s="4"/>
      <c r="AS430" s="7"/>
      <c r="AT430" s="1"/>
      <c r="AU430" s="1"/>
      <c r="AV430" s="1"/>
      <c r="AW430" s="1"/>
      <c r="AX430" s="3"/>
      <c r="AY430" s="3"/>
      <c r="AZ430" s="5"/>
      <c r="BA430" s="5"/>
      <c r="BB430" s="5"/>
      <c r="BC430" s="5"/>
      <c r="BD430" s="6"/>
      <c r="BE430" s="6"/>
      <c r="BF430" s="12"/>
      <c r="BG430" s="12"/>
      <c r="BH430" s="12"/>
      <c r="BI430" s="12"/>
      <c r="BJ430" s="12"/>
    </row>
    <row r="431" spans="2:62" x14ac:dyDescent="0.25">
      <c r="B431" s="1" t="s">
        <v>122</v>
      </c>
      <c r="C431" s="1" t="s">
        <v>227</v>
      </c>
      <c r="D431" s="1" t="s">
        <v>1190</v>
      </c>
      <c r="E431" s="1" t="s">
        <v>228</v>
      </c>
      <c r="F431" s="1" t="s">
        <v>229</v>
      </c>
      <c r="G431" s="1" t="s">
        <v>230</v>
      </c>
      <c r="H431" s="1" t="s">
        <v>231</v>
      </c>
      <c r="I431" s="7" t="s">
        <v>78</v>
      </c>
      <c r="J431" s="44">
        <v>1</v>
      </c>
      <c r="K431" s="45">
        <v>1</v>
      </c>
      <c r="L431" s="1" t="s">
        <v>197</v>
      </c>
      <c r="M431" s="1" t="s">
        <v>198</v>
      </c>
      <c r="N431" s="1" t="s">
        <v>1139</v>
      </c>
      <c r="O431" s="1" t="s">
        <v>1959</v>
      </c>
      <c r="P431" s="1" t="s">
        <v>1190</v>
      </c>
      <c r="Q431" s="44">
        <f>IF(L431="743",Multipliers!C336,"oops")</f>
        <v>0.8</v>
      </c>
      <c r="R431" s="44">
        <f>IF(M431="OKLAHOMA",Multipliers!C117, "GOOF")</f>
        <v>0.9</v>
      </c>
      <c r="S431" s="46">
        <f t="shared" si="215"/>
        <v>306740.28000000003</v>
      </c>
      <c r="T431" s="46">
        <f t="shared" si="216"/>
        <v>337480.038</v>
      </c>
      <c r="U431" s="46">
        <f t="shared" si="217"/>
        <v>327355.63685999997</v>
      </c>
      <c r="V431" s="46">
        <f t="shared" ref="V431:V445" si="218">(S431+U431)/2</f>
        <v>317047.95843</v>
      </c>
      <c r="W431" s="47">
        <f>IF(F431=F432,(V431+V432)/2,IF(F431=F429,(V431+V429)/2,IF(F431&lt;&gt;F429,V431)))</f>
        <v>317047.95843</v>
      </c>
      <c r="X431" s="47"/>
      <c r="Y431" s="48">
        <f t="shared" ref="Y431:Y445" si="219">IF(N431="Standard",(((($Z$3*Q431)+($AD$3*R431*$T$5))/2)*$O$7),IF(N431="Severe",(((($AA$3*Q431)+($AE$3*R431*$T$5))/2)*$O$7),IF(N431="Hostile",(((($AB$3*Q431)+($AF$3*R431*$T$5))/2)*$O$7))))</f>
        <v>254698.78315</v>
      </c>
      <c r="Z431" s="48">
        <f t="shared" ref="Z431:Z445" si="220">IF(N431="Standard",(((($Z$4*Q431)+($AD$4*R431*$T$5))/2)*$O$7),IF(N431="Severe",(((($AA$4*Q431)+($AE$4*R431*$T$5))/2)*$O$7),IF(N431="Hostile",(((($AB$4*Q431)+($AF$4*R431*$T$5))/2)*$O$7))))</f>
        <v>282435.15502999997</v>
      </c>
      <c r="AA431" s="48">
        <f t="shared" si="208"/>
        <v>317047.95843000006</v>
      </c>
      <c r="AB431" s="48">
        <f t="shared" si="209"/>
        <v>342377.29316</v>
      </c>
      <c r="AC431" s="48">
        <f t="shared" si="210"/>
        <v>369203.15544000006</v>
      </c>
      <c r="AD431" s="1"/>
      <c r="AE431" s="1"/>
      <c r="AF431" s="1"/>
      <c r="AI431" s="9"/>
      <c r="AJ431" s="1"/>
      <c r="AK431" s="1"/>
      <c r="AL431" s="1"/>
      <c r="AM431" s="1"/>
      <c r="AN431" s="1"/>
      <c r="AO431" s="1"/>
      <c r="AP431" s="9"/>
      <c r="AQ431" s="3"/>
      <c r="AR431" s="4"/>
      <c r="AS431" s="1"/>
      <c r="AT431" s="1"/>
      <c r="AU431" s="1"/>
      <c r="AV431" s="1"/>
      <c r="AW431" s="1"/>
      <c r="AX431" s="3"/>
      <c r="AY431" s="3"/>
      <c r="AZ431" s="5"/>
      <c r="BA431" s="5"/>
      <c r="BB431" s="5"/>
      <c r="BC431" s="5"/>
      <c r="BD431" s="6"/>
      <c r="BE431" s="6"/>
      <c r="BF431" s="12"/>
      <c r="BG431" s="12"/>
      <c r="BH431" s="12"/>
      <c r="BI431" s="12"/>
      <c r="BJ431" s="12"/>
    </row>
    <row r="432" spans="2:62" x14ac:dyDescent="0.25">
      <c r="B432" s="1" t="s">
        <v>122</v>
      </c>
      <c r="C432" s="1" t="s">
        <v>194</v>
      </c>
      <c r="D432" s="1" t="s">
        <v>232</v>
      </c>
      <c r="E432" s="1" t="s">
        <v>233</v>
      </c>
      <c r="F432" s="1" t="s">
        <v>234</v>
      </c>
      <c r="G432" s="1" t="s">
        <v>1190</v>
      </c>
      <c r="H432" s="1" t="s">
        <v>1190</v>
      </c>
      <c r="I432" s="7" t="s">
        <v>78</v>
      </c>
      <c r="J432" s="44">
        <v>1</v>
      </c>
      <c r="K432" s="45">
        <v>1</v>
      </c>
      <c r="L432" s="1" t="s">
        <v>197</v>
      </c>
      <c r="M432" s="1" t="s">
        <v>198</v>
      </c>
      <c r="N432" s="1" t="s">
        <v>1139</v>
      </c>
      <c r="O432" s="1" t="s">
        <v>1959</v>
      </c>
      <c r="P432" s="1" t="s">
        <v>1190</v>
      </c>
      <c r="Q432" s="44">
        <f>IF(L432="743",Multipliers!C336,"oops")</f>
        <v>0.8</v>
      </c>
      <c r="R432" s="44">
        <f>IF(M432="OKLAHOMA",Multipliers!C117, "GOOF")</f>
        <v>0.9</v>
      </c>
      <c r="S432" s="46">
        <f t="shared" si="215"/>
        <v>306740.28000000003</v>
      </c>
      <c r="T432" s="46">
        <f t="shared" si="216"/>
        <v>337480.038</v>
      </c>
      <c r="U432" s="46">
        <f t="shared" si="217"/>
        <v>327355.63685999997</v>
      </c>
      <c r="V432" s="46">
        <f t="shared" si="218"/>
        <v>317047.95843</v>
      </c>
      <c r="W432" s="47">
        <f>IF(F432=F433,(V432+V433)/2,IF(F432=F431,(V432+V431)/2,IF(F432&lt;&gt;F431,V432)))</f>
        <v>317047.95843</v>
      </c>
      <c r="X432" s="47"/>
      <c r="Y432" s="48">
        <f t="shared" si="219"/>
        <v>254698.78315</v>
      </c>
      <c r="Z432" s="48">
        <f t="shared" si="220"/>
        <v>282435.15502999997</v>
      </c>
      <c r="AA432" s="48">
        <f t="shared" si="208"/>
        <v>317047.95843000006</v>
      </c>
      <c r="AB432" s="48">
        <f t="shared" si="209"/>
        <v>342377.29316</v>
      </c>
      <c r="AC432" s="48">
        <f t="shared" si="210"/>
        <v>369203.15544000006</v>
      </c>
      <c r="AD432" s="1"/>
      <c r="AE432" s="1"/>
      <c r="AF432" s="1"/>
      <c r="AI432" s="9"/>
      <c r="AJ432" s="1"/>
      <c r="AK432" s="1"/>
      <c r="AL432" s="1"/>
      <c r="AM432" s="1"/>
      <c r="AN432" s="1"/>
      <c r="AO432" s="1"/>
      <c r="AP432" s="9"/>
      <c r="AQ432" s="3"/>
      <c r="AR432" s="4"/>
      <c r="AS432" s="1"/>
      <c r="AT432" s="1"/>
      <c r="AU432" s="1"/>
      <c r="AV432" s="1"/>
      <c r="AW432" s="1"/>
      <c r="AX432" s="3"/>
      <c r="AY432" s="3"/>
      <c r="AZ432" s="5"/>
      <c r="BA432" s="5"/>
      <c r="BB432" s="5"/>
      <c r="BC432" s="5"/>
      <c r="BD432" s="6"/>
      <c r="BE432" s="6"/>
      <c r="BF432" s="12"/>
      <c r="BG432" s="12"/>
      <c r="BH432" s="12"/>
      <c r="BI432" s="12"/>
      <c r="BJ432" s="12"/>
    </row>
    <row r="433" spans="2:62" x14ac:dyDescent="0.25">
      <c r="B433" s="1" t="s">
        <v>122</v>
      </c>
      <c r="C433" s="1" t="s">
        <v>135</v>
      </c>
      <c r="D433" s="1" t="s">
        <v>1772</v>
      </c>
      <c r="E433" s="1" t="s">
        <v>235</v>
      </c>
      <c r="F433" s="1" t="s">
        <v>236</v>
      </c>
      <c r="G433" s="1" t="s">
        <v>237</v>
      </c>
      <c r="H433" s="1" t="s">
        <v>238</v>
      </c>
      <c r="I433" s="7" t="s">
        <v>78</v>
      </c>
      <c r="J433" s="44">
        <v>1</v>
      </c>
      <c r="K433" s="45">
        <v>1</v>
      </c>
      <c r="L433" s="1" t="s">
        <v>139</v>
      </c>
      <c r="M433" s="1" t="s">
        <v>140</v>
      </c>
      <c r="N433" s="1" t="s">
        <v>1139</v>
      </c>
      <c r="O433" s="1" t="s">
        <v>1959</v>
      </c>
      <c r="P433" s="1" t="s">
        <v>160</v>
      </c>
      <c r="Q433" s="44">
        <f>IF(L433="744",Multipliers!C337,"oops")</f>
        <v>0.8</v>
      </c>
      <c r="R433" s="44">
        <f>IF(M433="Tulsa",Multipliers!C122, "GOOF")</f>
        <v>0.9</v>
      </c>
      <c r="S433" s="46">
        <f t="shared" si="215"/>
        <v>306740.28000000003</v>
      </c>
      <c r="T433" s="46">
        <f t="shared" si="216"/>
        <v>337480.038</v>
      </c>
      <c r="U433" s="46">
        <f t="shared" si="217"/>
        <v>327355.63685999997</v>
      </c>
      <c r="V433" s="46">
        <f t="shared" si="218"/>
        <v>317047.95843</v>
      </c>
      <c r="W433" s="47">
        <f>IF(F433=F434,(V433+V434)/2,IF(F433=F432,(V433+V432)/2,IF(F433&lt;&gt;F432,V433)))</f>
        <v>317047.95843</v>
      </c>
      <c r="X433" s="47"/>
      <c r="Y433" s="48">
        <f t="shared" si="219"/>
        <v>254698.78315</v>
      </c>
      <c r="Z433" s="48">
        <f t="shared" si="220"/>
        <v>282435.15502999997</v>
      </c>
      <c r="AA433" s="48">
        <f t="shared" si="208"/>
        <v>317047.95843000006</v>
      </c>
      <c r="AB433" s="48">
        <f t="shared" si="209"/>
        <v>342377.29316</v>
      </c>
      <c r="AC433" s="48">
        <f t="shared" si="210"/>
        <v>369203.15544000006</v>
      </c>
      <c r="AD433" s="1"/>
      <c r="AE433" s="1"/>
      <c r="AF433" s="1"/>
      <c r="AI433" s="9"/>
      <c r="AJ433" s="1"/>
      <c r="AK433" s="1"/>
      <c r="AL433" s="1"/>
      <c r="AM433" s="1"/>
      <c r="AN433" s="1"/>
      <c r="AO433" s="1"/>
      <c r="AP433" s="9"/>
      <c r="AQ433" s="3"/>
      <c r="AR433" s="4"/>
      <c r="AS433" s="1"/>
      <c r="AT433" s="1"/>
      <c r="AU433" s="1"/>
      <c r="AV433" s="1"/>
      <c r="AW433" s="1"/>
      <c r="AX433" s="3"/>
      <c r="AY433" s="3"/>
      <c r="AZ433" s="5"/>
      <c r="BA433" s="5"/>
      <c r="BB433" s="5"/>
      <c r="BC433" s="5"/>
      <c r="BD433" s="6"/>
      <c r="BE433" s="6"/>
      <c r="BF433" s="12"/>
      <c r="BG433" s="12"/>
      <c r="BH433" s="12"/>
      <c r="BI433" s="12"/>
      <c r="BJ433" s="12"/>
    </row>
    <row r="434" spans="2:62" x14ac:dyDescent="0.25">
      <c r="B434" s="1" t="s">
        <v>122</v>
      </c>
      <c r="C434" s="1" t="s">
        <v>239</v>
      </c>
      <c r="D434" s="1" t="s">
        <v>1190</v>
      </c>
      <c r="E434" s="1" t="s">
        <v>240</v>
      </c>
      <c r="F434" s="1" t="s">
        <v>241</v>
      </c>
      <c r="G434" s="1" t="s">
        <v>242</v>
      </c>
      <c r="H434" s="1" t="s">
        <v>243</v>
      </c>
      <c r="I434" s="7" t="s">
        <v>78</v>
      </c>
      <c r="J434" s="44">
        <v>1</v>
      </c>
      <c r="K434" s="45">
        <v>1</v>
      </c>
      <c r="L434" s="1" t="s">
        <v>208</v>
      </c>
      <c r="M434" s="1" t="s">
        <v>244</v>
      </c>
      <c r="N434" s="1" t="s">
        <v>1139</v>
      </c>
      <c r="O434" s="1" t="s">
        <v>1959</v>
      </c>
      <c r="P434" s="1" t="s">
        <v>245</v>
      </c>
      <c r="Q434" s="44">
        <f>IF(L434="740",Multipliers!C335,"oops")</f>
        <v>0.82</v>
      </c>
      <c r="R434" s="44">
        <f>IF(M434="Bartlesville",Multipliers!C118, "GOOF")</f>
        <v>0.86</v>
      </c>
      <c r="S434" s="46">
        <f t="shared" si="215"/>
        <v>314408.78700000001</v>
      </c>
      <c r="T434" s="46">
        <f t="shared" si="216"/>
        <v>322480.9252</v>
      </c>
      <c r="U434" s="46">
        <f t="shared" si="217"/>
        <v>312806.49744399998</v>
      </c>
      <c r="V434" s="46">
        <f t="shared" si="218"/>
        <v>313607.64222199999</v>
      </c>
      <c r="W434" s="47">
        <f>IF(F434=F435,(V434+V435)/2,IF(F434=F433,(V434+V433)/2,IF(F434&lt;&gt;F433,V434)))</f>
        <v>313607.64222199999</v>
      </c>
      <c r="X434" s="47"/>
      <c r="Y434" s="48">
        <f t="shared" si="219"/>
        <v>252128.74001000001</v>
      </c>
      <c r="Z434" s="48">
        <f t="shared" si="220"/>
        <v>279455.24786200002</v>
      </c>
      <c r="AA434" s="48">
        <f t="shared" si="208"/>
        <v>313607.64222200005</v>
      </c>
      <c r="AB434" s="48">
        <f t="shared" si="209"/>
        <v>338544.31346399995</v>
      </c>
      <c r="AC434" s="48">
        <f t="shared" si="210"/>
        <v>365056.49297600001</v>
      </c>
      <c r="AD434" s="1"/>
      <c r="AE434" s="1"/>
      <c r="AF434" s="1"/>
      <c r="AI434" s="9"/>
      <c r="AJ434" s="1"/>
      <c r="AK434" s="1"/>
      <c r="AL434" s="1"/>
      <c r="AM434" s="1"/>
      <c r="AN434" s="1"/>
      <c r="AO434" s="1"/>
      <c r="AP434" s="9"/>
      <c r="AQ434" s="3"/>
      <c r="AR434" s="4"/>
      <c r="AS434" s="1"/>
      <c r="AT434" s="1"/>
      <c r="AU434" s="1"/>
      <c r="AV434" s="1"/>
      <c r="AW434" s="1"/>
      <c r="AX434" s="3"/>
      <c r="AY434" s="3"/>
      <c r="AZ434" s="5"/>
      <c r="BA434" s="5"/>
      <c r="BB434" s="5"/>
      <c r="BC434" s="5"/>
      <c r="BD434" s="6"/>
      <c r="BE434" s="6"/>
      <c r="BF434" s="12"/>
      <c r="BG434" s="12"/>
      <c r="BH434" s="12"/>
      <c r="BI434" s="12"/>
      <c r="BJ434" s="12"/>
    </row>
    <row r="435" spans="2:62" x14ac:dyDescent="0.25">
      <c r="B435" s="1" t="s">
        <v>122</v>
      </c>
      <c r="C435" s="1" t="s">
        <v>246</v>
      </c>
      <c r="D435" s="1" t="s">
        <v>1190</v>
      </c>
      <c r="E435" s="1" t="s">
        <v>247</v>
      </c>
      <c r="F435" s="1" t="s">
        <v>248</v>
      </c>
      <c r="G435" s="1" t="s">
        <v>249</v>
      </c>
      <c r="H435" s="1" t="s">
        <v>250</v>
      </c>
      <c r="I435" s="7" t="s">
        <v>78</v>
      </c>
      <c r="J435" s="44">
        <v>1</v>
      </c>
      <c r="K435" s="45">
        <v>1</v>
      </c>
      <c r="L435" s="1" t="s">
        <v>214</v>
      </c>
      <c r="M435" s="1" t="s">
        <v>167</v>
      </c>
      <c r="N435" s="1" t="s">
        <v>1139</v>
      </c>
      <c r="O435" s="1" t="s">
        <v>1959</v>
      </c>
      <c r="P435" s="1" t="s">
        <v>168</v>
      </c>
      <c r="Q435" s="44">
        <f>IF(L435="746",Multipliers!C338,"oops")</f>
        <v>0.79</v>
      </c>
      <c r="R435" s="44">
        <f>IF(M435="Enid",Multipliers!C119, "GOOF")</f>
        <v>0.93</v>
      </c>
      <c r="S435" s="46">
        <f t="shared" si="215"/>
        <v>302906.02650000009</v>
      </c>
      <c r="T435" s="46">
        <f t="shared" si="216"/>
        <v>348729.3726</v>
      </c>
      <c r="U435" s="46">
        <f t="shared" si="217"/>
        <v>338267.49142199999</v>
      </c>
      <c r="V435" s="46">
        <f t="shared" si="218"/>
        <v>320586.75896100001</v>
      </c>
      <c r="W435" s="47">
        <f t="shared" ref="W435:W447" si="221">IF(F435=F436,(V435+V436)/2,IF(F435=F434,(V435+V434)/2,IF(F435&lt;&gt;F434,V435)))</f>
        <v>320586.75896100001</v>
      </c>
      <c r="X435" s="47"/>
      <c r="Y435" s="48">
        <f t="shared" si="219"/>
        <v>257413.80675500006</v>
      </c>
      <c r="Z435" s="48">
        <f t="shared" si="220"/>
        <v>285531.63438100001</v>
      </c>
      <c r="AA435" s="48">
        <f t="shared" si="208"/>
        <v>320586.75896100001</v>
      </c>
      <c r="AB435" s="48">
        <f t="shared" si="209"/>
        <v>346276.56893199997</v>
      </c>
      <c r="AC435" s="48">
        <f t="shared" si="210"/>
        <v>373416.765288</v>
      </c>
      <c r="AD435" s="1"/>
      <c r="AE435" s="1"/>
      <c r="AF435" s="1"/>
      <c r="AI435" s="9"/>
      <c r="AJ435" s="1"/>
      <c r="AK435" s="1"/>
      <c r="AL435" s="1"/>
      <c r="AM435" s="1"/>
      <c r="AN435" s="1"/>
      <c r="AO435" s="1"/>
      <c r="AP435" s="9"/>
      <c r="AQ435" s="3"/>
      <c r="AR435" s="4"/>
      <c r="AS435" s="1"/>
      <c r="AT435" s="1"/>
      <c r="AU435" s="1"/>
      <c r="AV435" s="1"/>
      <c r="AW435" s="1"/>
      <c r="AX435" s="3"/>
      <c r="AY435" s="3"/>
      <c r="AZ435" s="5"/>
      <c r="BA435" s="5"/>
      <c r="BB435" s="5"/>
      <c r="BC435" s="5"/>
      <c r="BD435" s="6"/>
      <c r="BE435" s="6"/>
      <c r="BF435" s="12"/>
      <c r="BG435" s="12"/>
      <c r="BH435" s="12"/>
      <c r="BI435" s="12"/>
      <c r="BJ435" s="12"/>
    </row>
    <row r="436" spans="2:62" x14ac:dyDescent="0.25">
      <c r="B436" s="1" t="s">
        <v>122</v>
      </c>
      <c r="C436" s="1" t="s">
        <v>194</v>
      </c>
      <c r="D436" s="1" t="s">
        <v>251</v>
      </c>
      <c r="E436" s="1" t="s">
        <v>252</v>
      </c>
      <c r="F436" s="1" t="s">
        <v>253</v>
      </c>
      <c r="G436" s="1" t="s">
        <v>1190</v>
      </c>
      <c r="H436" s="1" t="s">
        <v>1190</v>
      </c>
      <c r="I436" s="7" t="s">
        <v>78</v>
      </c>
      <c r="J436" s="44">
        <v>1</v>
      </c>
      <c r="K436" s="45">
        <v>1</v>
      </c>
      <c r="L436" s="1" t="s">
        <v>197</v>
      </c>
      <c r="M436" s="1" t="s">
        <v>198</v>
      </c>
      <c r="N436" s="1" t="s">
        <v>1139</v>
      </c>
      <c r="O436" s="1" t="s">
        <v>1959</v>
      </c>
      <c r="P436" s="1" t="s">
        <v>1190</v>
      </c>
      <c r="Q436" s="44">
        <f>IF(L436="743",Multipliers!C336,"oops")</f>
        <v>0.8</v>
      </c>
      <c r="R436" s="44">
        <f>IF(M436="OKLAHOMA",Multipliers!C117, "GOOF")</f>
        <v>0.9</v>
      </c>
      <c r="S436" s="46">
        <f t="shared" si="215"/>
        <v>306740.28000000003</v>
      </c>
      <c r="T436" s="46">
        <f t="shared" si="216"/>
        <v>337480.038</v>
      </c>
      <c r="U436" s="46">
        <f t="shared" si="217"/>
        <v>327355.63685999997</v>
      </c>
      <c r="V436" s="46">
        <f t="shared" si="218"/>
        <v>317047.95843</v>
      </c>
      <c r="W436" s="47">
        <f t="shared" si="221"/>
        <v>317047.95843</v>
      </c>
      <c r="X436" s="47"/>
      <c r="Y436" s="48">
        <f t="shared" si="219"/>
        <v>254698.78315</v>
      </c>
      <c r="Z436" s="48">
        <f t="shared" si="220"/>
        <v>282435.15502999997</v>
      </c>
      <c r="AA436" s="48">
        <f t="shared" si="208"/>
        <v>317047.95843000006</v>
      </c>
      <c r="AB436" s="48">
        <f t="shared" si="209"/>
        <v>342377.29316</v>
      </c>
      <c r="AC436" s="48">
        <f t="shared" si="210"/>
        <v>369203.15544000006</v>
      </c>
      <c r="AD436" s="1"/>
      <c r="AE436" s="1"/>
      <c r="AF436" s="1"/>
      <c r="AI436" s="9"/>
      <c r="AJ436" s="1"/>
      <c r="AK436" s="1"/>
      <c r="AL436" s="1"/>
      <c r="AM436" s="1"/>
      <c r="AN436" s="1"/>
      <c r="AO436" s="1"/>
      <c r="AP436" s="9"/>
      <c r="AQ436" s="3"/>
      <c r="AR436" s="4"/>
      <c r="AS436" s="1"/>
      <c r="AT436" s="1"/>
      <c r="AU436" s="1"/>
      <c r="AV436" s="1"/>
      <c r="AW436" s="1"/>
      <c r="AX436" s="3"/>
      <c r="AY436" s="3"/>
      <c r="AZ436" s="5"/>
      <c r="BA436" s="5"/>
      <c r="BB436" s="5"/>
      <c r="BC436" s="5"/>
      <c r="BD436" s="6"/>
      <c r="BE436" s="6"/>
      <c r="BF436" s="12"/>
      <c r="BG436" s="12"/>
      <c r="BH436" s="12"/>
      <c r="BI436" s="12"/>
      <c r="BJ436" s="12"/>
    </row>
    <row r="437" spans="2:62" x14ac:dyDescent="0.25">
      <c r="B437" s="1" t="s">
        <v>122</v>
      </c>
      <c r="C437" s="1" t="s">
        <v>254</v>
      </c>
      <c r="D437" s="1" t="s">
        <v>1190</v>
      </c>
      <c r="E437" s="1" t="s">
        <v>255</v>
      </c>
      <c r="F437" s="1" t="s">
        <v>256</v>
      </c>
      <c r="G437" s="1" t="s">
        <v>257</v>
      </c>
      <c r="H437" s="1" t="s">
        <v>258</v>
      </c>
      <c r="I437" s="7" t="s">
        <v>78</v>
      </c>
      <c r="J437" s="44">
        <v>1</v>
      </c>
      <c r="K437" s="45">
        <v>1</v>
      </c>
      <c r="L437" s="1" t="s">
        <v>208</v>
      </c>
      <c r="M437" s="1" t="s">
        <v>167</v>
      </c>
      <c r="N437" s="1" t="s">
        <v>1139</v>
      </c>
      <c r="O437" s="1" t="s">
        <v>1959</v>
      </c>
      <c r="P437" s="1" t="s">
        <v>259</v>
      </c>
      <c r="Q437" s="44">
        <f>IF(L437="740",Multipliers!C335,"oops")</f>
        <v>0.82</v>
      </c>
      <c r="R437" s="44">
        <f>IF(M437="Enid",Multipliers!C119, "GOOF")</f>
        <v>0.93</v>
      </c>
      <c r="S437" s="46">
        <f t="shared" si="215"/>
        <v>314408.78700000001</v>
      </c>
      <c r="T437" s="46">
        <f t="shared" si="216"/>
        <v>348729.3726</v>
      </c>
      <c r="U437" s="46">
        <f t="shared" si="217"/>
        <v>338267.49142199999</v>
      </c>
      <c r="V437" s="46">
        <f t="shared" si="218"/>
        <v>326338.139211</v>
      </c>
      <c r="W437" s="47">
        <f t="shared" si="221"/>
        <v>326338.139211</v>
      </c>
      <c r="X437" s="47"/>
      <c r="Y437" s="48">
        <f t="shared" si="219"/>
        <v>262138.75425500001</v>
      </c>
      <c r="Z437" s="48">
        <f t="shared" si="220"/>
        <v>290700.92823100003</v>
      </c>
      <c r="AA437" s="48">
        <f t="shared" si="208"/>
        <v>326338.13921100006</v>
      </c>
      <c r="AB437" s="48">
        <f t="shared" si="209"/>
        <v>352423.81493200001</v>
      </c>
      <c r="AC437" s="48">
        <f t="shared" si="210"/>
        <v>380038.44328799995</v>
      </c>
      <c r="AD437" s="1"/>
      <c r="AE437" s="1"/>
      <c r="AF437" s="1"/>
      <c r="AI437" s="9"/>
      <c r="AJ437" s="1"/>
      <c r="AK437" s="1"/>
      <c r="AL437" s="1"/>
      <c r="AM437" s="1"/>
      <c r="AN437" s="1"/>
      <c r="AO437" s="1"/>
      <c r="AP437" s="9"/>
      <c r="AQ437" s="3"/>
      <c r="AR437" s="4"/>
      <c r="AS437" s="1"/>
      <c r="AT437" s="1"/>
      <c r="AU437" s="1"/>
      <c r="AV437" s="1"/>
      <c r="AW437" s="1"/>
      <c r="AX437" s="3"/>
      <c r="AY437" s="3"/>
      <c r="AZ437" s="5"/>
      <c r="BA437" s="5"/>
      <c r="BB437" s="5"/>
      <c r="BC437" s="5"/>
      <c r="BD437" s="6"/>
      <c r="BE437" s="6"/>
      <c r="BF437" s="12"/>
      <c r="BG437" s="12"/>
      <c r="BH437" s="12"/>
      <c r="BI437" s="12"/>
      <c r="BJ437" s="12"/>
    </row>
    <row r="438" spans="2:62" x14ac:dyDescent="0.25">
      <c r="B438" s="1" t="s">
        <v>122</v>
      </c>
      <c r="C438" s="1" t="s">
        <v>194</v>
      </c>
      <c r="D438" s="1" t="s">
        <v>260</v>
      </c>
      <c r="E438" s="1" t="s">
        <v>261</v>
      </c>
      <c r="F438" s="1" t="s">
        <v>262</v>
      </c>
      <c r="G438" s="1" t="s">
        <v>263</v>
      </c>
      <c r="H438" s="1" t="s">
        <v>264</v>
      </c>
      <c r="I438" s="7" t="s">
        <v>78</v>
      </c>
      <c r="J438" s="44">
        <v>1</v>
      </c>
      <c r="K438" s="45">
        <v>1</v>
      </c>
      <c r="L438" s="1" t="s">
        <v>197</v>
      </c>
      <c r="M438" s="1" t="s">
        <v>198</v>
      </c>
      <c r="N438" s="1" t="s">
        <v>1139</v>
      </c>
      <c r="O438" s="1" t="s">
        <v>1959</v>
      </c>
      <c r="P438" s="1" t="s">
        <v>1190</v>
      </c>
      <c r="Q438" s="44">
        <f>IF(L438="743",Multipliers!C336,"oops")</f>
        <v>0.8</v>
      </c>
      <c r="R438" s="44">
        <f>IF(M438="OKLAHOMA",Multipliers!C117, "GOOF")</f>
        <v>0.9</v>
      </c>
      <c r="S438" s="46">
        <f t="shared" si="215"/>
        <v>306740.28000000003</v>
      </c>
      <c r="T438" s="46">
        <f t="shared" si="216"/>
        <v>337480.038</v>
      </c>
      <c r="U438" s="46">
        <f t="shared" si="217"/>
        <v>327355.63685999997</v>
      </c>
      <c r="V438" s="46">
        <f t="shared" si="218"/>
        <v>317047.95843</v>
      </c>
      <c r="W438" s="47">
        <f t="shared" si="221"/>
        <v>317047.95843</v>
      </c>
      <c r="X438" s="47"/>
      <c r="Y438" s="48">
        <f t="shared" si="219"/>
        <v>254698.78315</v>
      </c>
      <c r="Z438" s="48">
        <f t="shared" si="220"/>
        <v>282435.15502999997</v>
      </c>
      <c r="AA438" s="48">
        <f t="shared" si="208"/>
        <v>317047.95843000006</v>
      </c>
      <c r="AB438" s="48">
        <f t="shared" si="209"/>
        <v>342377.29316</v>
      </c>
      <c r="AC438" s="48">
        <f t="shared" si="210"/>
        <v>369203.15544000006</v>
      </c>
      <c r="AD438" s="1"/>
      <c r="AE438" s="1"/>
      <c r="AF438" s="1"/>
      <c r="AI438" s="9"/>
      <c r="AJ438" s="1"/>
      <c r="AK438" s="1"/>
      <c r="AL438" s="1"/>
      <c r="AM438" s="1"/>
      <c r="AN438" s="1"/>
      <c r="AO438" s="1"/>
      <c r="AP438" s="9"/>
      <c r="AQ438" s="3"/>
      <c r="AR438" s="4"/>
      <c r="AS438" s="1"/>
      <c r="AT438" s="1"/>
      <c r="AU438" s="1"/>
      <c r="AV438" s="1"/>
      <c r="AW438" s="1"/>
      <c r="AX438" s="3"/>
      <c r="AY438" s="3"/>
      <c r="AZ438" s="5"/>
      <c r="BA438" s="5"/>
      <c r="BB438" s="5"/>
      <c r="BC438" s="5"/>
      <c r="BD438" s="6"/>
      <c r="BE438" s="6"/>
      <c r="BF438" s="12"/>
      <c r="BG438" s="12"/>
      <c r="BH438" s="12"/>
      <c r="BI438" s="12"/>
      <c r="BJ438" s="12"/>
    </row>
    <row r="439" spans="2:62" x14ac:dyDescent="0.25">
      <c r="B439" s="1" t="s">
        <v>122</v>
      </c>
      <c r="C439" s="1" t="s">
        <v>265</v>
      </c>
      <c r="D439" s="1" t="s">
        <v>1190</v>
      </c>
      <c r="E439" s="1" t="s">
        <v>266</v>
      </c>
      <c r="F439" s="1" t="s">
        <v>267</v>
      </c>
      <c r="G439" s="1" t="s">
        <v>268</v>
      </c>
      <c r="H439" s="1" t="s">
        <v>269</v>
      </c>
      <c r="I439" s="7" t="s">
        <v>78</v>
      </c>
      <c r="J439" s="44">
        <v>1</v>
      </c>
      <c r="K439" s="45">
        <v>1</v>
      </c>
      <c r="L439" s="1" t="s">
        <v>214</v>
      </c>
      <c r="M439" s="1" t="s">
        <v>167</v>
      </c>
      <c r="N439" s="1" t="s">
        <v>1139</v>
      </c>
      <c r="O439" s="1" t="s">
        <v>1959</v>
      </c>
      <c r="P439" s="1" t="s">
        <v>168</v>
      </c>
      <c r="Q439" s="44">
        <f>IF(L439="746",Multipliers!C338,"oops")</f>
        <v>0.79</v>
      </c>
      <c r="R439" s="44">
        <f>IF(M439="Enid",Multipliers!C119, "GOOF")</f>
        <v>0.93</v>
      </c>
      <c r="S439" s="46">
        <f t="shared" si="215"/>
        <v>302906.02650000009</v>
      </c>
      <c r="T439" s="46">
        <f t="shared" si="216"/>
        <v>348729.3726</v>
      </c>
      <c r="U439" s="46">
        <f t="shared" si="217"/>
        <v>338267.49142199999</v>
      </c>
      <c r="V439" s="46">
        <f t="shared" si="218"/>
        <v>320586.75896100001</v>
      </c>
      <c r="W439" s="47">
        <f t="shared" si="221"/>
        <v>320586.75896100001</v>
      </c>
      <c r="X439" s="47"/>
      <c r="Y439" s="48">
        <f t="shared" si="219"/>
        <v>257413.80675500006</v>
      </c>
      <c r="Z439" s="48">
        <f t="shared" si="220"/>
        <v>285531.63438100001</v>
      </c>
      <c r="AA439" s="48">
        <f t="shared" si="208"/>
        <v>320586.75896100001</v>
      </c>
      <c r="AB439" s="48">
        <f t="shared" si="209"/>
        <v>346276.56893199997</v>
      </c>
      <c r="AC439" s="48">
        <f t="shared" si="210"/>
        <v>373416.765288</v>
      </c>
      <c r="AD439" s="1"/>
      <c r="AE439" s="1"/>
      <c r="AF439" s="1"/>
      <c r="AI439" s="9"/>
      <c r="AJ439" s="1"/>
      <c r="AK439" s="1"/>
      <c r="AL439" s="1"/>
      <c r="AM439" s="1"/>
      <c r="AN439" s="1"/>
      <c r="AO439" s="1"/>
      <c r="AP439" s="9"/>
      <c r="AQ439" s="3"/>
      <c r="AR439" s="4"/>
      <c r="AS439" s="1"/>
      <c r="AT439" s="1"/>
      <c r="AU439" s="1"/>
      <c r="AV439" s="1"/>
      <c r="AW439" s="1"/>
      <c r="AX439" s="3"/>
      <c r="AY439" s="3"/>
      <c r="AZ439" s="5"/>
      <c r="BA439" s="5"/>
      <c r="BB439" s="5"/>
      <c r="BC439" s="5"/>
      <c r="BD439" s="6"/>
      <c r="BE439" s="6"/>
      <c r="BF439" s="12"/>
      <c r="BG439" s="12"/>
      <c r="BH439" s="12"/>
      <c r="BI439" s="12"/>
      <c r="BJ439" s="12"/>
    </row>
    <row r="440" spans="2:62" x14ac:dyDescent="0.25">
      <c r="B440" s="1" t="s">
        <v>122</v>
      </c>
      <c r="C440" s="1" t="s">
        <v>194</v>
      </c>
      <c r="D440" s="1" t="s">
        <v>136</v>
      </c>
      <c r="E440" s="1" t="s">
        <v>270</v>
      </c>
      <c r="F440" s="1" t="s">
        <v>271</v>
      </c>
      <c r="G440" s="1" t="s">
        <v>1190</v>
      </c>
      <c r="H440" s="1" t="s">
        <v>1190</v>
      </c>
      <c r="I440" s="7" t="s">
        <v>78</v>
      </c>
      <c r="J440" s="44">
        <v>1</v>
      </c>
      <c r="K440" s="45">
        <v>1</v>
      </c>
      <c r="L440" s="1" t="s">
        <v>197</v>
      </c>
      <c r="M440" s="1" t="s">
        <v>198</v>
      </c>
      <c r="N440" s="1" t="s">
        <v>1139</v>
      </c>
      <c r="O440" s="1" t="s">
        <v>1959</v>
      </c>
      <c r="P440" s="1" t="s">
        <v>1190</v>
      </c>
      <c r="Q440" s="44">
        <f>IF(L440="743",Multipliers!C336,"oops")</f>
        <v>0.8</v>
      </c>
      <c r="R440" s="44">
        <f>IF(M440="OKLAHOMA",Multipliers!C117, "GOOF")</f>
        <v>0.9</v>
      </c>
      <c r="S440" s="46">
        <f t="shared" si="215"/>
        <v>306740.28000000003</v>
      </c>
      <c r="T440" s="46">
        <f t="shared" si="216"/>
        <v>337480.038</v>
      </c>
      <c r="U440" s="46">
        <f t="shared" si="217"/>
        <v>327355.63685999997</v>
      </c>
      <c r="V440" s="46">
        <f t="shared" si="218"/>
        <v>317047.95843</v>
      </c>
      <c r="W440" s="47">
        <f>IF(F440=F441,(V440+V441)/2,IF(F440=F439,(V440+V439)/2,IF(F440&lt;&gt;F439,V440)))</f>
        <v>317047.95843</v>
      </c>
      <c r="X440" s="47"/>
      <c r="Y440" s="48">
        <f t="shared" si="219"/>
        <v>254698.78315</v>
      </c>
      <c r="Z440" s="48">
        <f t="shared" si="220"/>
        <v>282435.15502999997</v>
      </c>
      <c r="AA440" s="48">
        <f t="shared" si="208"/>
        <v>317047.95843000006</v>
      </c>
      <c r="AB440" s="48">
        <f t="shared" si="209"/>
        <v>342377.29316</v>
      </c>
      <c r="AC440" s="48">
        <f t="shared" si="210"/>
        <v>369203.15544000006</v>
      </c>
      <c r="AD440" s="1"/>
      <c r="AE440" s="1"/>
      <c r="AF440" s="1"/>
      <c r="AI440" s="9"/>
      <c r="AJ440" s="1"/>
      <c r="AK440" s="1"/>
      <c r="AL440" s="1"/>
      <c r="AM440" s="1"/>
      <c r="AN440" s="1"/>
      <c r="AO440" s="1"/>
      <c r="AP440" s="9"/>
      <c r="AQ440" s="3"/>
      <c r="AR440" s="4"/>
      <c r="AS440" s="1"/>
      <c r="AT440" s="1"/>
      <c r="AU440" s="1"/>
      <c r="AV440" s="1"/>
      <c r="AW440" s="1"/>
      <c r="AX440" s="3"/>
      <c r="AY440" s="3"/>
      <c r="AZ440" s="5"/>
      <c r="BA440" s="5"/>
      <c r="BB440" s="5"/>
      <c r="BC440" s="5"/>
      <c r="BD440" s="6"/>
      <c r="BE440" s="6"/>
      <c r="BF440" s="12"/>
      <c r="BG440" s="12"/>
      <c r="BH440" s="12"/>
      <c r="BI440" s="12"/>
      <c r="BJ440" s="12"/>
    </row>
    <row r="441" spans="2:62" x14ac:dyDescent="0.25">
      <c r="B441" s="1" t="s">
        <v>122</v>
      </c>
      <c r="C441" s="1" t="s">
        <v>272</v>
      </c>
      <c r="D441" s="1" t="s">
        <v>1190</v>
      </c>
      <c r="E441" s="1" t="s">
        <v>273</v>
      </c>
      <c r="F441" s="1" t="s">
        <v>274</v>
      </c>
      <c r="G441" s="1" t="s">
        <v>206</v>
      </c>
      <c r="H441" s="1" t="s">
        <v>207</v>
      </c>
      <c r="I441" s="7" t="s">
        <v>78</v>
      </c>
      <c r="J441" s="44">
        <v>1</v>
      </c>
      <c r="K441" s="45">
        <v>1</v>
      </c>
      <c r="L441" s="7" t="s">
        <v>128</v>
      </c>
      <c r="M441" s="1" t="s">
        <v>129</v>
      </c>
      <c r="N441" s="1" t="s">
        <v>1139</v>
      </c>
      <c r="O441" s="1" t="s">
        <v>1959</v>
      </c>
      <c r="P441" s="1" t="s">
        <v>1190</v>
      </c>
      <c r="Q441" s="44">
        <f>IF(L441="748",Multipliers!C340,"oops")</f>
        <v>0.79</v>
      </c>
      <c r="R441" s="44">
        <f>IF(M441="Oklahoma City",Multipliers!C121, "GOOF")</f>
        <v>0.93</v>
      </c>
      <c r="S441" s="46">
        <f t="shared" si="215"/>
        <v>302906.02650000009</v>
      </c>
      <c r="T441" s="46">
        <f t="shared" si="216"/>
        <v>348729.3726</v>
      </c>
      <c r="U441" s="46">
        <f t="shared" si="217"/>
        <v>338267.49142199999</v>
      </c>
      <c r="V441" s="46">
        <f t="shared" si="218"/>
        <v>320586.75896100001</v>
      </c>
      <c r="W441" s="47">
        <f>IF(F441=F442,(V441+V442)/2,IF(F441=F440,(V441+V440)/2,IF(F441&lt;&gt;F440,V441)))</f>
        <v>320586.75896100001</v>
      </c>
      <c r="X441" s="47"/>
      <c r="Y441" s="48">
        <f t="shared" si="219"/>
        <v>257413.80675500006</v>
      </c>
      <c r="Z441" s="48">
        <f t="shared" si="220"/>
        <v>285531.63438100001</v>
      </c>
      <c r="AA441" s="48">
        <f t="shared" si="208"/>
        <v>320586.75896100001</v>
      </c>
      <c r="AB441" s="48">
        <f t="shared" si="209"/>
        <v>346276.56893199997</v>
      </c>
      <c r="AC441" s="48">
        <f t="shared" si="210"/>
        <v>373416.765288</v>
      </c>
      <c r="AD441" s="1"/>
      <c r="AE441" s="1"/>
      <c r="AF441" s="1"/>
      <c r="AI441" s="9"/>
      <c r="AJ441" s="1"/>
      <c r="AK441" s="1"/>
      <c r="AL441" s="1"/>
      <c r="AM441" s="1"/>
      <c r="AN441" s="1"/>
      <c r="AO441" s="1"/>
      <c r="AP441" s="9"/>
      <c r="AQ441" s="3"/>
      <c r="AR441" s="4"/>
      <c r="AS441" s="1"/>
      <c r="AT441" s="1"/>
      <c r="AU441" s="1"/>
      <c r="AV441" s="1"/>
      <c r="AW441" s="1"/>
      <c r="AX441" s="3"/>
      <c r="AY441" s="3"/>
      <c r="AZ441" s="5"/>
      <c r="BA441" s="5"/>
      <c r="BB441" s="5"/>
      <c r="BC441" s="5"/>
      <c r="BD441" s="6"/>
      <c r="BE441" s="6"/>
      <c r="BF441" s="12"/>
      <c r="BG441" s="12"/>
      <c r="BH441" s="12"/>
      <c r="BI441" s="12"/>
      <c r="BJ441" s="12"/>
    </row>
    <row r="442" spans="2:62" x14ac:dyDescent="0.25">
      <c r="B442" s="1" t="s">
        <v>122</v>
      </c>
      <c r="C442" s="1" t="s">
        <v>275</v>
      </c>
      <c r="D442" s="1" t="s">
        <v>1190</v>
      </c>
      <c r="E442" s="1" t="s">
        <v>276</v>
      </c>
      <c r="F442" s="1" t="s">
        <v>277</v>
      </c>
      <c r="G442" s="1" t="s">
        <v>278</v>
      </c>
      <c r="H442" s="1" t="s">
        <v>279</v>
      </c>
      <c r="I442" s="7" t="s">
        <v>78</v>
      </c>
      <c r="J442" s="44">
        <v>1</v>
      </c>
      <c r="K442" s="45">
        <v>1</v>
      </c>
      <c r="L442" s="1" t="s">
        <v>128</v>
      </c>
      <c r="M442" s="1" t="s">
        <v>198</v>
      </c>
      <c r="N442" s="1" t="s">
        <v>1139</v>
      </c>
      <c r="O442" s="1" t="s">
        <v>1959</v>
      </c>
      <c r="P442" s="1" t="s">
        <v>1190</v>
      </c>
      <c r="Q442" s="44">
        <f>IF(L442="748",Multipliers!C340,"oops")</f>
        <v>0.79</v>
      </c>
      <c r="R442" s="44">
        <f>IF(M442="OKLAHOMA",Multipliers!C117, "GOOF")</f>
        <v>0.9</v>
      </c>
      <c r="S442" s="46">
        <f t="shared" si="215"/>
        <v>302906.02650000009</v>
      </c>
      <c r="T442" s="46">
        <f t="shared" si="216"/>
        <v>337480.038</v>
      </c>
      <c r="U442" s="46">
        <f t="shared" si="217"/>
        <v>327355.63685999997</v>
      </c>
      <c r="V442" s="46">
        <f t="shared" si="218"/>
        <v>315130.83168000006</v>
      </c>
      <c r="W442" s="47">
        <f>IF(F442=F443,(V442+V443)/2,IF(F442=F441,(V442+V441)/2,IF(F442&lt;&gt;F441,V442)))</f>
        <v>315130.83168000006</v>
      </c>
      <c r="X442" s="47"/>
      <c r="Y442" s="48">
        <f t="shared" si="219"/>
        <v>253123.80065000002</v>
      </c>
      <c r="Z442" s="48">
        <f t="shared" si="220"/>
        <v>280712.05708</v>
      </c>
      <c r="AA442" s="48">
        <f t="shared" si="208"/>
        <v>315130.83168000006</v>
      </c>
      <c r="AB442" s="48">
        <f t="shared" si="209"/>
        <v>340328.21116000001</v>
      </c>
      <c r="AC442" s="48">
        <f t="shared" si="210"/>
        <v>366995.92943999998</v>
      </c>
      <c r="AD442" s="1"/>
      <c r="AE442" s="1"/>
      <c r="AF442" s="1"/>
      <c r="AI442" s="9"/>
      <c r="AJ442" s="1"/>
      <c r="AK442" s="1"/>
      <c r="AL442" s="1"/>
      <c r="AM442" s="1"/>
      <c r="AN442" s="1"/>
      <c r="AO442" s="1"/>
      <c r="AP442" s="9"/>
      <c r="AQ442" s="3"/>
      <c r="AR442" s="4"/>
      <c r="AS442" s="1"/>
      <c r="AT442" s="1"/>
      <c r="AU442" s="1"/>
      <c r="AV442" s="1"/>
      <c r="AW442" s="1"/>
      <c r="AX442" s="3"/>
      <c r="AY442" s="3"/>
      <c r="AZ442" s="5"/>
      <c r="BA442" s="5"/>
      <c r="BB442" s="5"/>
      <c r="BC442" s="5"/>
      <c r="BD442" s="6"/>
      <c r="BE442" s="6"/>
      <c r="BF442" s="12"/>
      <c r="BG442" s="12"/>
      <c r="BH442" s="12"/>
      <c r="BI442" s="12"/>
      <c r="BJ442" s="12"/>
    </row>
    <row r="443" spans="2:62" x14ac:dyDescent="0.25">
      <c r="B443" s="1" t="s">
        <v>122</v>
      </c>
      <c r="C443" s="1" t="s">
        <v>194</v>
      </c>
      <c r="D443" s="1" t="s">
        <v>142</v>
      </c>
      <c r="E443" s="1" t="s">
        <v>280</v>
      </c>
      <c r="F443" s="1" t="s">
        <v>281</v>
      </c>
      <c r="G443" s="1" t="s">
        <v>1190</v>
      </c>
      <c r="H443" s="1" t="s">
        <v>1190</v>
      </c>
      <c r="I443" s="7" t="s">
        <v>78</v>
      </c>
      <c r="J443" s="44">
        <v>1</v>
      </c>
      <c r="K443" s="45">
        <v>1</v>
      </c>
      <c r="L443" s="1" t="s">
        <v>197</v>
      </c>
      <c r="M443" s="1" t="s">
        <v>198</v>
      </c>
      <c r="N443" s="1" t="s">
        <v>1139</v>
      </c>
      <c r="O443" s="1" t="s">
        <v>1959</v>
      </c>
      <c r="P443" s="1" t="s">
        <v>1190</v>
      </c>
      <c r="Q443" s="44">
        <f>IF(L443="743",Multipliers!C336,"oops")</f>
        <v>0.8</v>
      </c>
      <c r="R443" s="44">
        <f>IF(M443="OKLAHOMA",Multipliers!C117, "GOOF")</f>
        <v>0.9</v>
      </c>
      <c r="S443" s="46">
        <f t="shared" si="215"/>
        <v>306740.28000000003</v>
      </c>
      <c r="T443" s="46">
        <f t="shared" si="216"/>
        <v>337480.038</v>
      </c>
      <c r="U443" s="46">
        <f t="shared" si="217"/>
        <v>327355.63685999997</v>
      </c>
      <c r="V443" s="46">
        <f t="shared" si="218"/>
        <v>317047.95843</v>
      </c>
      <c r="W443" s="47">
        <f>IF(F443=F444,(V443+V444)/2,IF(F443=F442,(V443+V442)/2,IF(F443&lt;&gt;F442,V443)))</f>
        <v>317047.95843</v>
      </c>
      <c r="X443" s="47"/>
      <c r="Y443" s="48">
        <f t="shared" si="219"/>
        <v>254698.78315</v>
      </c>
      <c r="Z443" s="48">
        <f t="shared" si="220"/>
        <v>282435.15502999997</v>
      </c>
      <c r="AA443" s="48">
        <f t="shared" si="208"/>
        <v>317047.95843000006</v>
      </c>
      <c r="AB443" s="48">
        <f t="shared" si="209"/>
        <v>342377.29316</v>
      </c>
      <c r="AC443" s="48">
        <f t="shared" si="210"/>
        <v>369203.15544000006</v>
      </c>
      <c r="AD443" s="1"/>
      <c r="AE443" s="1"/>
      <c r="AF443" s="1"/>
      <c r="AI443" s="9"/>
      <c r="AJ443" s="1"/>
      <c r="AK443" s="1"/>
      <c r="AL443" s="1"/>
      <c r="AM443" s="1"/>
      <c r="AN443" s="1"/>
      <c r="AO443" s="1"/>
      <c r="AP443" s="9"/>
      <c r="AQ443" s="3"/>
      <c r="AR443" s="4"/>
      <c r="AS443" s="1"/>
      <c r="AT443" s="1"/>
      <c r="AU443" s="1"/>
      <c r="AV443" s="1"/>
      <c r="AW443" s="1"/>
      <c r="AX443" s="3"/>
      <c r="AY443" s="3"/>
      <c r="AZ443" s="5"/>
      <c r="BA443" s="5"/>
      <c r="BB443" s="5"/>
      <c r="BC443" s="5"/>
      <c r="BD443" s="6"/>
      <c r="BE443" s="6"/>
      <c r="BF443" s="12"/>
      <c r="BG443" s="12"/>
      <c r="BH443" s="12"/>
      <c r="BI443" s="12"/>
      <c r="BJ443" s="12"/>
    </row>
    <row r="444" spans="2:62" x14ac:dyDescent="0.25">
      <c r="B444" s="1" t="s">
        <v>122</v>
      </c>
      <c r="C444" s="1" t="s">
        <v>135</v>
      </c>
      <c r="D444" s="1" t="s">
        <v>1766</v>
      </c>
      <c r="E444" s="1" t="s">
        <v>282</v>
      </c>
      <c r="F444" s="1" t="s">
        <v>283</v>
      </c>
      <c r="G444" s="1" t="s">
        <v>1190</v>
      </c>
      <c r="H444" s="1" t="s">
        <v>1190</v>
      </c>
      <c r="I444" s="7" t="s">
        <v>78</v>
      </c>
      <c r="J444" s="44">
        <v>1</v>
      </c>
      <c r="K444" s="45">
        <v>1</v>
      </c>
      <c r="L444" s="7" t="s">
        <v>128</v>
      </c>
      <c r="M444" s="1" t="s">
        <v>140</v>
      </c>
      <c r="N444" s="1" t="s">
        <v>1139</v>
      </c>
      <c r="O444" s="1" t="s">
        <v>1959</v>
      </c>
      <c r="P444" s="1" t="s">
        <v>160</v>
      </c>
      <c r="Q444" s="44">
        <f>IF(L444="748",Multipliers!C340,"oops")</f>
        <v>0.79</v>
      </c>
      <c r="R444" s="44">
        <f>IF(M444="Tulsa",Multipliers!C122, "GOOF")</f>
        <v>0.9</v>
      </c>
      <c r="S444" s="46">
        <f t="shared" si="215"/>
        <v>302906.02650000009</v>
      </c>
      <c r="T444" s="46">
        <f t="shared" si="216"/>
        <v>337480.038</v>
      </c>
      <c r="U444" s="46">
        <f t="shared" si="217"/>
        <v>327355.63685999997</v>
      </c>
      <c r="V444" s="46">
        <f t="shared" si="218"/>
        <v>315130.83168000006</v>
      </c>
      <c r="W444" s="47">
        <f t="shared" si="221"/>
        <v>315130.83168000006</v>
      </c>
      <c r="X444" s="47"/>
      <c r="Y444" s="48">
        <f t="shared" si="219"/>
        <v>253123.80065000002</v>
      </c>
      <c r="Z444" s="48">
        <f t="shared" si="220"/>
        <v>280712.05708</v>
      </c>
      <c r="AA444" s="48">
        <f t="shared" si="208"/>
        <v>315130.83168000006</v>
      </c>
      <c r="AB444" s="48">
        <f t="shared" si="209"/>
        <v>340328.21116000001</v>
      </c>
      <c r="AC444" s="48">
        <f t="shared" si="210"/>
        <v>366995.92943999998</v>
      </c>
      <c r="AD444" s="1"/>
      <c r="AE444" s="1"/>
      <c r="AF444" s="1"/>
      <c r="AI444" s="9"/>
      <c r="AJ444" s="1"/>
      <c r="AK444" s="1"/>
      <c r="AL444" s="1"/>
      <c r="AM444" s="1"/>
      <c r="AN444" s="1"/>
      <c r="AO444" s="1"/>
      <c r="AP444" s="9"/>
      <c r="AQ444" s="3"/>
      <c r="AR444" s="4"/>
      <c r="AS444" s="1"/>
      <c r="AT444" s="1"/>
      <c r="AU444" s="1"/>
      <c r="AV444" s="1"/>
      <c r="AW444" s="1"/>
      <c r="AX444" s="3"/>
      <c r="AY444" s="3"/>
      <c r="AZ444" s="5"/>
      <c r="BA444" s="5"/>
      <c r="BB444" s="5"/>
      <c r="BC444" s="5"/>
      <c r="BD444" s="6"/>
      <c r="BE444" s="6"/>
      <c r="BF444" s="12"/>
      <c r="BG444" s="12"/>
      <c r="BH444" s="12"/>
      <c r="BI444" s="12"/>
      <c r="BJ444" s="12"/>
    </row>
    <row r="445" spans="2:62" x14ac:dyDescent="0.25">
      <c r="B445" s="1" t="s">
        <v>122</v>
      </c>
      <c r="C445" s="1" t="s">
        <v>284</v>
      </c>
      <c r="D445" s="1" t="s">
        <v>1190</v>
      </c>
      <c r="E445" s="1" t="s">
        <v>285</v>
      </c>
      <c r="F445" s="1" t="s">
        <v>286</v>
      </c>
      <c r="G445" s="1" t="s">
        <v>287</v>
      </c>
      <c r="H445" s="1" t="s">
        <v>291</v>
      </c>
      <c r="I445" s="7" t="s">
        <v>78</v>
      </c>
      <c r="J445" s="44">
        <v>1</v>
      </c>
      <c r="K445" s="45">
        <v>1</v>
      </c>
      <c r="L445" s="1" t="s">
        <v>214</v>
      </c>
      <c r="M445" s="1" t="s">
        <v>167</v>
      </c>
      <c r="N445" s="1" t="s">
        <v>1139</v>
      </c>
      <c r="O445" s="1" t="s">
        <v>1959</v>
      </c>
      <c r="P445" s="1" t="s">
        <v>168</v>
      </c>
      <c r="Q445" s="44">
        <f>IF(L445="746",Multipliers!C338,"oops")</f>
        <v>0.79</v>
      </c>
      <c r="R445" s="44">
        <f>IF(M445="Enid",Multipliers!C119, "GOOF")</f>
        <v>0.93</v>
      </c>
      <c r="S445" s="46">
        <f t="shared" si="215"/>
        <v>302906.02650000009</v>
      </c>
      <c r="T445" s="46">
        <f t="shared" si="216"/>
        <v>348729.3726</v>
      </c>
      <c r="U445" s="46">
        <f t="shared" si="217"/>
        <v>338267.49142199999</v>
      </c>
      <c r="V445" s="46">
        <f t="shared" si="218"/>
        <v>320586.75896100001</v>
      </c>
      <c r="W445" s="47">
        <f t="shared" si="221"/>
        <v>320586.75896100001</v>
      </c>
      <c r="X445" s="47"/>
      <c r="Y445" s="48">
        <f t="shared" si="219"/>
        <v>257413.80675500006</v>
      </c>
      <c r="Z445" s="48">
        <f t="shared" si="220"/>
        <v>285531.63438100001</v>
      </c>
      <c r="AA445" s="48">
        <f t="shared" si="208"/>
        <v>320586.75896100001</v>
      </c>
      <c r="AB445" s="48">
        <f t="shared" si="209"/>
        <v>346276.56893199997</v>
      </c>
      <c r="AC445" s="48">
        <f t="shared" si="210"/>
        <v>373416.765288</v>
      </c>
      <c r="AD445" s="1"/>
      <c r="AE445" s="1"/>
      <c r="AF445" s="1"/>
      <c r="AI445" s="9"/>
      <c r="AJ445" s="1"/>
      <c r="AK445" s="1"/>
      <c r="AL445" s="1"/>
      <c r="AM445" s="1"/>
      <c r="AN445" s="1"/>
      <c r="AO445" s="1"/>
      <c r="AP445" s="9"/>
      <c r="AQ445" s="3"/>
      <c r="AR445" s="4"/>
      <c r="AS445" s="1"/>
      <c r="AT445" s="1"/>
      <c r="AU445" s="1"/>
      <c r="AV445" s="1"/>
      <c r="AW445" s="1"/>
      <c r="AX445" s="3"/>
      <c r="AY445" s="3"/>
      <c r="AZ445" s="5"/>
      <c r="BA445" s="5"/>
      <c r="BB445" s="5"/>
      <c r="BC445" s="5"/>
      <c r="BD445" s="6"/>
      <c r="BE445" s="6"/>
      <c r="BF445" s="12"/>
      <c r="BG445" s="12"/>
      <c r="BH445" s="12"/>
      <c r="BI445" s="12"/>
      <c r="BJ445" s="12"/>
    </row>
    <row r="446" spans="2:62" x14ac:dyDescent="0.25">
      <c r="B446" s="1" t="s">
        <v>122</v>
      </c>
      <c r="C446" s="1" t="s">
        <v>155</v>
      </c>
      <c r="D446" s="1" t="s">
        <v>142</v>
      </c>
      <c r="E446" s="1" t="s">
        <v>156</v>
      </c>
      <c r="F446" s="1" t="s">
        <v>292</v>
      </c>
      <c r="G446" s="1" t="s">
        <v>1190</v>
      </c>
      <c r="H446" s="1" t="s">
        <v>1190</v>
      </c>
      <c r="I446" s="7" t="s">
        <v>78</v>
      </c>
      <c r="J446" s="44">
        <v>1</v>
      </c>
      <c r="K446" s="45">
        <v>1</v>
      </c>
      <c r="L446" s="1" t="s">
        <v>139</v>
      </c>
      <c r="M446" s="1" t="s">
        <v>140</v>
      </c>
      <c r="N446" s="1" t="s">
        <v>1139</v>
      </c>
      <c r="O446" s="1" t="s">
        <v>1959</v>
      </c>
      <c r="P446" s="1" t="s">
        <v>160</v>
      </c>
      <c r="Q446" s="44">
        <f>IF(L446="744",Multipliers!C337,"oops")</f>
        <v>0.8</v>
      </c>
      <c r="R446" s="44">
        <f>IF(M446="Tulsa",Multipliers!C122, "GOOF")</f>
        <v>0.9</v>
      </c>
      <c r="S446" s="46">
        <f t="shared" si="215"/>
        <v>306740.28000000003</v>
      </c>
      <c r="T446" s="46">
        <f t="shared" si="216"/>
        <v>337480.038</v>
      </c>
      <c r="U446" s="46">
        <f t="shared" ref="U446:U461" si="222">IF(O446="E",$T$3*T446,IF(O446="C",$T$4*T446,IF(O446="W",$T$5*T446,1)))</f>
        <v>327355.63685999997</v>
      </c>
      <c r="V446" s="46">
        <f t="shared" ref="V446:V455" si="223">(S446+U446)/2</f>
        <v>317047.95843</v>
      </c>
      <c r="W446" s="47">
        <f>IF(F446=F447,(V446+V447)/2,IF(F446=F445,(V446+V445)/2,IF(F446&lt;&gt;F445,V446)))</f>
        <v>317047.95843</v>
      </c>
      <c r="X446" s="47"/>
      <c r="Y446" s="48">
        <f t="shared" ref="Y446:Y455" si="224">IF(N446="Standard",(((($Z$3*Q446)+($AD$3*R446*$T$5))/2)*$O$7),IF(N446="Severe",(((($AA$3*Q446)+($AE$3*R446*$T$5))/2)*$O$7),IF(N446="Hostile",(((($AB$3*Q446)+($AF$3*R446*$T$5))/2)*$O$7))))</f>
        <v>254698.78315</v>
      </c>
      <c r="Z446" s="48">
        <f t="shared" ref="Z446:Z455" si="225">IF(N446="Standard",(((($Z$4*Q446)+($AD$4*R446*$T$5))/2)*$O$7),IF(N446="Severe",(((($AA$4*Q446)+($AE$4*R446*$T$5))/2)*$O$7),IF(N446="Hostile",(((($AB$4*Q446)+($AF$4*R446*$T$5))/2)*$O$7))))</f>
        <v>282435.15502999997</v>
      </c>
      <c r="AA446" s="48">
        <f t="shared" si="208"/>
        <v>317047.95843000006</v>
      </c>
      <c r="AB446" s="48">
        <f t="shared" si="209"/>
        <v>342377.29316</v>
      </c>
      <c r="AC446" s="48">
        <f t="shared" si="210"/>
        <v>369203.15544000006</v>
      </c>
      <c r="AD446" s="1"/>
      <c r="AE446" s="1"/>
      <c r="AF446" s="1"/>
      <c r="AI446" s="9"/>
      <c r="AJ446" s="1"/>
      <c r="AK446" s="1"/>
      <c r="AL446" s="1"/>
      <c r="AM446" s="1"/>
      <c r="AN446" s="1"/>
      <c r="AO446" s="1"/>
      <c r="AP446" s="9"/>
      <c r="AQ446" s="3"/>
      <c r="AR446" s="4"/>
      <c r="AS446" s="1"/>
      <c r="AT446" s="1"/>
      <c r="AU446" s="1"/>
      <c r="AV446" s="1"/>
      <c r="AW446" s="1"/>
      <c r="AX446" s="3"/>
      <c r="AY446" s="3"/>
      <c r="AZ446" s="5"/>
      <c r="BA446" s="5"/>
      <c r="BB446" s="5"/>
      <c r="BC446" s="5"/>
      <c r="BD446" s="6"/>
      <c r="BE446" s="6"/>
      <c r="BF446" s="12"/>
      <c r="BG446" s="12"/>
      <c r="BH446" s="12"/>
      <c r="BI446" s="12"/>
      <c r="BJ446" s="12"/>
    </row>
    <row r="447" spans="2:62" x14ac:dyDescent="0.25">
      <c r="B447" s="1" t="s">
        <v>122</v>
      </c>
      <c r="C447" s="1" t="s">
        <v>150</v>
      </c>
      <c r="D447" s="1" t="s">
        <v>1766</v>
      </c>
      <c r="E447" s="1" t="s">
        <v>293</v>
      </c>
      <c r="F447" s="1" t="s">
        <v>294</v>
      </c>
      <c r="G447" s="1" t="s">
        <v>295</v>
      </c>
      <c r="H447" s="1" t="s">
        <v>296</v>
      </c>
      <c r="I447" s="7" t="s">
        <v>78</v>
      </c>
      <c r="J447" s="44">
        <v>1</v>
      </c>
      <c r="K447" s="45">
        <v>1</v>
      </c>
      <c r="L447" s="1" t="s">
        <v>147</v>
      </c>
      <c r="M447" s="1" t="s">
        <v>148</v>
      </c>
      <c r="N447" s="1" t="s">
        <v>1139</v>
      </c>
      <c r="O447" s="1" t="s">
        <v>1959</v>
      </c>
      <c r="P447" s="1" t="s">
        <v>149</v>
      </c>
      <c r="Q447" s="44">
        <f>IF(L447="730",Multipliers!C332,"oops")</f>
        <v>0.83</v>
      </c>
      <c r="R447" s="44">
        <f>IF(M447="Lawton",Multipliers!C120, "GOOF")</f>
        <v>0.85</v>
      </c>
      <c r="S447" s="46">
        <f t="shared" si="215"/>
        <v>318243.04050000006</v>
      </c>
      <c r="T447" s="46">
        <f t="shared" si="216"/>
        <v>318731.147</v>
      </c>
      <c r="U447" s="46">
        <f t="shared" si="222"/>
        <v>309169.21259000001</v>
      </c>
      <c r="V447" s="46">
        <f t="shared" si="223"/>
        <v>313706.12654500001</v>
      </c>
      <c r="W447" s="47">
        <f t="shared" si="221"/>
        <v>313706.12654500001</v>
      </c>
      <c r="X447" s="47"/>
      <c r="Y447" s="48">
        <f t="shared" si="224"/>
        <v>252273.72047499998</v>
      </c>
      <c r="Z447" s="48">
        <f t="shared" si="225"/>
        <v>279571.820045</v>
      </c>
      <c r="AA447" s="48">
        <f t="shared" si="208"/>
        <v>313706.12654500006</v>
      </c>
      <c r="AB447" s="48">
        <f t="shared" si="209"/>
        <v>338610.60953999998</v>
      </c>
      <c r="AC447" s="48">
        <f t="shared" si="210"/>
        <v>365123.44036000001</v>
      </c>
      <c r="AD447" s="1"/>
      <c r="AE447" s="1"/>
      <c r="AF447" s="1"/>
      <c r="AI447" s="9"/>
      <c r="AJ447" s="1"/>
      <c r="AK447" s="1"/>
      <c r="AL447" s="1"/>
      <c r="AM447" s="1"/>
      <c r="AN447" s="1"/>
      <c r="AO447" s="1"/>
      <c r="AP447" s="9"/>
      <c r="AQ447" s="3"/>
      <c r="AR447" s="4"/>
      <c r="AS447" s="1"/>
      <c r="AT447" s="1"/>
      <c r="AU447" s="1"/>
      <c r="AV447" s="1"/>
      <c r="AW447" s="1"/>
      <c r="AX447" s="3"/>
      <c r="AY447" s="3"/>
      <c r="AZ447" s="5"/>
      <c r="BA447" s="5"/>
      <c r="BB447" s="5"/>
      <c r="BC447" s="5"/>
      <c r="BD447" s="6"/>
      <c r="BE447" s="6"/>
      <c r="BF447" s="12"/>
      <c r="BG447" s="12"/>
      <c r="BH447" s="12"/>
      <c r="BI447" s="12"/>
      <c r="BJ447" s="12"/>
    </row>
    <row r="448" spans="2:62" x14ac:dyDescent="0.25">
      <c r="B448" s="1" t="s">
        <v>122</v>
      </c>
      <c r="C448" s="1" t="s">
        <v>194</v>
      </c>
      <c r="D448" s="1" t="s">
        <v>1766</v>
      </c>
      <c r="E448" s="1" t="s">
        <v>297</v>
      </c>
      <c r="F448" s="1" t="s">
        <v>298</v>
      </c>
      <c r="G448" s="1" t="s">
        <v>1190</v>
      </c>
      <c r="H448" s="1" t="s">
        <v>1190</v>
      </c>
      <c r="I448" s="7" t="s">
        <v>78</v>
      </c>
      <c r="J448" s="44">
        <v>1</v>
      </c>
      <c r="K448" s="45">
        <v>1</v>
      </c>
      <c r="L448" s="1" t="s">
        <v>197</v>
      </c>
      <c r="M448" s="1" t="s">
        <v>198</v>
      </c>
      <c r="N448" s="1" t="s">
        <v>1139</v>
      </c>
      <c r="O448" s="1" t="s">
        <v>1959</v>
      </c>
      <c r="P448" s="1" t="s">
        <v>1190</v>
      </c>
      <c r="Q448" s="44">
        <f>IF(L448="743",Multipliers!C336,"oops")</f>
        <v>0.8</v>
      </c>
      <c r="R448" s="44">
        <f>IF(M448="OKLAHOMA",Multipliers!C117, "GOOF")</f>
        <v>0.9</v>
      </c>
      <c r="S448" s="46">
        <f t="shared" si="215"/>
        <v>306740.28000000003</v>
      </c>
      <c r="T448" s="46">
        <f t="shared" si="216"/>
        <v>337480.038</v>
      </c>
      <c r="U448" s="46">
        <f t="shared" si="222"/>
        <v>327355.63685999997</v>
      </c>
      <c r="V448" s="46">
        <f t="shared" si="223"/>
        <v>317047.95843</v>
      </c>
      <c r="W448" s="47">
        <f t="shared" ref="W448:W460" si="226">IF(F448=F449,(V448+V449)/2,IF(F448=F447,(V448+V447)/2,IF(F448&lt;&gt;F447,V448)))</f>
        <v>317047.95843</v>
      </c>
      <c r="X448" s="47"/>
      <c r="Y448" s="48">
        <f t="shared" si="224"/>
        <v>254698.78315</v>
      </c>
      <c r="Z448" s="48">
        <f t="shared" si="225"/>
        <v>282435.15502999997</v>
      </c>
      <c r="AA448" s="48">
        <f t="shared" si="208"/>
        <v>317047.95843000006</v>
      </c>
      <c r="AB448" s="48">
        <f t="shared" si="209"/>
        <v>342377.29316</v>
      </c>
      <c r="AC448" s="48">
        <f t="shared" si="210"/>
        <v>369203.15544000006</v>
      </c>
      <c r="AD448" s="1"/>
      <c r="AE448" s="1"/>
      <c r="AF448" s="1"/>
      <c r="AI448" s="9"/>
      <c r="AJ448" s="1"/>
      <c r="AK448" s="1"/>
      <c r="AL448" s="1"/>
      <c r="AM448" s="1"/>
      <c r="AN448" s="1"/>
      <c r="AO448" s="1"/>
      <c r="AP448" s="9"/>
      <c r="AQ448" s="3"/>
      <c r="AR448" s="4"/>
      <c r="AS448" s="1"/>
      <c r="AT448" s="1"/>
      <c r="AU448" s="1"/>
      <c r="AV448" s="1"/>
      <c r="AW448" s="1"/>
      <c r="AX448" s="3"/>
      <c r="AY448" s="3"/>
      <c r="AZ448" s="5"/>
      <c r="BA448" s="5"/>
      <c r="BB448" s="5"/>
      <c r="BC448" s="5"/>
      <c r="BD448" s="6"/>
      <c r="BE448" s="6"/>
      <c r="BF448" s="12"/>
      <c r="BG448" s="12"/>
      <c r="BH448" s="12"/>
      <c r="BI448" s="12"/>
      <c r="BJ448" s="12"/>
    </row>
    <row r="449" spans="2:62" x14ac:dyDescent="0.25">
      <c r="B449" s="1" t="s">
        <v>299</v>
      </c>
      <c r="C449" s="1" t="s">
        <v>300</v>
      </c>
      <c r="D449" s="1" t="s">
        <v>1190</v>
      </c>
      <c r="E449" s="1" t="s">
        <v>301</v>
      </c>
      <c r="F449" s="1" t="s">
        <v>302</v>
      </c>
      <c r="G449" s="1" t="s">
        <v>303</v>
      </c>
      <c r="H449" s="1" t="s">
        <v>304</v>
      </c>
      <c r="I449" s="7" t="s">
        <v>78</v>
      </c>
      <c r="J449" s="44">
        <v>1</v>
      </c>
      <c r="K449" s="45">
        <v>1</v>
      </c>
      <c r="L449" s="1" t="s">
        <v>305</v>
      </c>
      <c r="M449" s="1" t="s">
        <v>306</v>
      </c>
      <c r="N449" s="1" t="s">
        <v>1139</v>
      </c>
      <c r="O449" s="1" t="s">
        <v>1959</v>
      </c>
      <c r="P449" s="1" t="s">
        <v>307</v>
      </c>
      <c r="Q449" s="44">
        <f>IF(L449="773",Multipliers!C364,"oops")</f>
        <v>0.8</v>
      </c>
      <c r="R449" s="44">
        <f>IF(M449="Houston",Multipliers!C141, "GOOF")</f>
        <v>0.89</v>
      </c>
      <c r="S449" s="46">
        <f t="shared" si="215"/>
        <v>306740.28000000003</v>
      </c>
      <c r="T449" s="46">
        <f t="shared" si="216"/>
        <v>333730.2598</v>
      </c>
      <c r="U449" s="46">
        <f t="shared" si="222"/>
        <v>323718.352006</v>
      </c>
      <c r="V449" s="46">
        <f t="shared" si="223"/>
        <v>315229.31600300001</v>
      </c>
      <c r="W449" s="47">
        <f t="shared" si="226"/>
        <v>315229.31600300001</v>
      </c>
      <c r="X449" s="47"/>
      <c r="Y449" s="48">
        <f t="shared" si="224"/>
        <v>253268.78111499999</v>
      </c>
      <c r="Z449" s="48">
        <f t="shared" si="225"/>
        <v>280828.62926300004</v>
      </c>
      <c r="AA449" s="48">
        <f t="shared" si="208"/>
        <v>315229.31600300001</v>
      </c>
      <c r="AB449" s="48">
        <f t="shared" si="209"/>
        <v>340394.50723599998</v>
      </c>
      <c r="AC449" s="48">
        <f t="shared" si="210"/>
        <v>367062.87682400004</v>
      </c>
      <c r="AD449" s="1"/>
      <c r="AE449" s="1"/>
      <c r="AF449" s="1"/>
      <c r="AI449" s="9"/>
      <c r="AJ449" s="1"/>
      <c r="AK449" s="1"/>
      <c r="AL449" s="1"/>
      <c r="AM449" s="1"/>
      <c r="AN449" s="1"/>
      <c r="AO449" s="1"/>
      <c r="AP449" s="9"/>
      <c r="AQ449" s="3"/>
      <c r="AR449" s="4"/>
      <c r="AS449" s="1"/>
      <c r="AT449" s="1"/>
      <c r="AU449" s="1"/>
      <c r="AV449" s="1"/>
      <c r="AW449" s="1"/>
      <c r="AX449" s="3"/>
      <c r="AY449" s="3"/>
      <c r="AZ449" s="5"/>
      <c r="BA449" s="5"/>
      <c r="BB449" s="5"/>
      <c r="BC449" s="5"/>
      <c r="BD449" s="6"/>
      <c r="BE449" s="6"/>
      <c r="BF449" s="12"/>
      <c r="BG449" s="12"/>
      <c r="BH449" s="12"/>
      <c r="BI449" s="12"/>
      <c r="BJ449" s="12"/>
    </row>
    <row r="450" spans="2:62" x14ac:dyDescent="0.25">
      <c r="B450" s="1" t="s">
        <v>299</v>
      </c>
      <c r="C450" s="1" t="s">
        <v>308</v>
      </c>
      <c r="D450" s="1" t="s">
        <v>1190</v>
      </c>
      <c r="E450" s="1" t="s">
        <v>309</v>
      </c>
      <c r="F450" s="1" t="s">
        <v>310</v>
      </c>
      <c r="G450" s="1" t="s">
        <v>311</v>
      </c>
      <c r="H450" s="1" t="s">
        <v>312</v>
      </c>
      <c r="I450" s="7" t="s">
        <v>78</v>
      </c>
      <c r="J450" s="44">
        <v>1</v>
      </c>
      <c r="K450" s="45">
        <v>1</v>
      </c>
      <c r="L450" s="1" t="s">
        <v>313</v>
      </c>
      <c r="M450" s="1" t="s">
        <v>314</v>
      </c>
      <c r="N450" s="1" t="s">
        <v>1139</v>
      </c>
      <c r="O450" s="1" t="s">
        <v>1959</v>
      </c>
      <c r="P450" s="1" t="s">
        <v>315</v>
      </c>
      <c r="Q450" s="44">
        <f>IF(L450="788",Multipliers!C365,"oops")</f>
        <v>0.8</v>
      </c>
      <c r="R450" s="44">
        <f>IF(M450="San Antonio",Multipliers!C142, "GOOF")</f>
        <v>0.8</v>
      </c>
      <c r="S450" s="46">
        <f t="shared" ref="S450:S481" si="227">IF(N450="Standard",$O$5*Q450*$O$7,IF(N450="Severe",$O$4*Q450*$O$7,IF(N450="Hostile",$O$3*Q450*$O$7)))</f>
        <v>306740.28000000003</v>
      </c>
      <c r="T450" s="46">
        <f t="shared" ref="T450:T481" si="228">IF(N450="Standard",$P$5*R450*$O$7,IF(N450="Severe",$P$4*R450*$O$7,IF(N450="Hostile",$P$3*R450*$O$7)))</f>
        <v>299982.25600000005</v>
      </c>
      <c r="U450" s="46">
        <f t="shared" si="222"/>
        <v>290982.78832000005</v>
      </c>
      <c r="V450" s="46">
        <f t="shared" si="223"/>
        <v>298861.53416000004</v>
      </c>
      <c r="W450" s="47">
        <f t="shared" si="226"/>
        <v>298861.53416000004</v>
      </c>
      <c r="X450" s="47"/>
      <c r="Y450" s="48">
        <f t="shared" si="224"/>
        <v>240398.76279999997</v>
      </c>
      <c r="Z450" s="48">
        <f t="shared" si="225"/>
        <v>266369.89736000006</v>
      </c>
      <c r="AA450" s="48">
        <f>IF(N450="Standard",((($Z$5*Q450)+($AD$5*R450*$T$5))/2)*$O$7,IF(N450="Severe",((($AA$5*Q450)+($AE$5*R450*$T$5))/2)*$O$7,IF(N450="Hostile",((($AB$5*Q450)+($AF$5*R450*$T$5))/2)*$O$7)))</f>
        <v>301861.35672000004</v>
      </c>
      <c r="AB450" s="48">
        <f>IF(N450="Standard",((($Z$6*Q450)+($AD$6*R450*$T$5))/2)*$O$7,IF(N450="Severe",((($AA$6*Q450)+($AE$6*R450*$T$5))/2)*$O$7,IF(N450="Hostile",((($AB$6*Q450)+($AF$6*R450*$T$5))/2)*$O$7)))</f>
        <v>325820.00864000001</v>
      </c>
      <c r="AC450" s="48">
        <f>IF(N450="Standard",((($Z$7*Q450)+($AD$7*R450*$T$5))/2)*$O$7,IF(N450="Severe",((($AA$7*Q450)+($AE$7*R450*$T$5))/2)*$O$7,IF(N450="Hostile",((($AB$7*Q450)+($AF$7*R450*$T$5))/2)*$O$7)))</f>
        <v>351330.72576</v>
      </c>
      <c r="AD450" s="1"/>
      <c r="AE450" s="1"/>
      <c r="AF450" s="1"/>
      <c r="AI450" s="9"/>
      <c r="AJ450" s="1"/>
      <c r="AK450" s="1"/>
      <c r="AL450" s="1"/>
      <c r="AM450" s="1"/>
      <c r="AN450" s="1"/>
      <c r="AO450" s="1"/>
      <c r="AP450" s="9"/>
      <c r="AQ450" s="3"/>
      <c r="AR450" s="4"/>
      <c r="AS450" s="1"/>
      <c r="AT450" s="1"/>
      <c r="AU450" s="1"/>
      <c r="AV450" s="1"/>
      <c r="AW450" s="1"/>
      <c r="AX450" s="3"/>
      <c r="AY450" s="3"/>
      <c r="AZ450" s="5"/>
      <c r="BA450" s="5"/>
      <c r="BB450" s="5"/>
      <c r="BC450" s="5"/>
      <c r="BD450" s="6"/>
      <c r="BE450" s="6"/>
      <c r="BF450" s="12"/>
      <c r="BG450" s="12"/>
      <c r="BH450" s="12"/>
      <c r="BI450" s="12"/>
      <c r="BJ450" s="12"/>
    </row>
    <row r="451" spans="2:62" x14ac:dyDescent="0.25">
      <c r="B451" s="1" t="s">
        <v>316</v>
      </c>
      <c r="C451" s="1" t="s">
        <v>317</v>
      </c>
      <c r="D451" s="1" t="s">
        <v>1190</v>
      </c>
      <c r="E451" s="1" t="s">
        <v>318</v>
      </c>
      <c r="F451" s="1" t="s">
        <v>319</v>
      </c>
      <c r="G451" s="1" t="s">
        <v>320</v>
      </c>
      <c r="H451" s="1" t="s">
        <v>321</v>
      </c>
      <c r="I451" s="7" t="s">
        <v>322</v>
      </c>
      <c r="J451" s="44">
        <v>1</v>
      </c>
      <c r="K451" s="45">
        <v>1</v>
      </c>
      <c r="L451" s="1" t="s">
        <v>323</v>
      </c>
      <c r="M451" s="1" t="s">
        <v>324</v>
      </c>
      <c r="N451" s="1" t="s">
        <v>1140</v>
      </c>
      <c r="O451" s="1" t="s">
        <v>1189</v>
      </c>
      <c r="P451" s="1" t="s">
        <v>1190</v>
      </c>
      <c r="Q451" s="44">
        <f>IF(L451="852",Multipliers!C180,"oops")</f>
        <v>0.85</v>
      </c>
      <c r="R451" s="44">
        <f>IF(M451="Phoenix",Multipliers!C9, "GOOF")</f>
        <v>0.93</v>
      </c>
      <c r="S451" s="46">
        <f t="shared" si="227"/>
        <v>345161.04700000002</v>
      </c>
      <c r="T451" s="46">
        <f t="shared" si="228"/>
        <v>363606.35010000004</v>
      </c>
      <c r="U451" s="46">
        <f t="shared" si="222"/>
        <v>359970.28659900004</v>
      </c>
      <c r="V451" s="46">
        <f t="shared" si="223"/>
        <v>352565.6667995</v>
      </c>
      <c r="W451" s="47">
        <f t="shared" si="226"/>
        <v>352565.6667995</v>
      </c>
      <c r="X451" s="47"/>
      <c r="Y451" s="48">
        <f t="shared" si="224"/>
        <v>281376.33100500004</v>
      </c>
      <c r="Z451" s="48">
        <f t="shared" si="225"/>
        <v>310981.33523099998</v>
      </c>
      <c r="AA451" s="48">
        <f>IF(N451="Standard",((($Z$5*Q451)+($AD$5*R451*$T$5))/2)*$O$7,IF(N451="Severe",((($AA$5*Q451)+($AE$5*R451*$T$5))/2)*$O$7,IF(N451="Hostile",((($AB$5*Q451)+($AF$5*R451*$T$5))/2)*$O$7)))</f>
        <v>352565.66679950006</v>
      </c>
      <c r="AB451" s="48">
        <f>IF(N451="Standard",((($Z$6*Q451)+($AD$6*R451*$T$5))/2)*$O$7,IF(N451="Severe",((($AA$6*Q451)+($AE$6*R451*$T$5))/2)*$O$7,IF(N451="Hostile",((($AB$6*Q451)+($AF$6*R451*$T$5))/2)*$O$7)))</f>
        <v>381951.95231900003</v>
      </c>
      <c r="AC451" s="48">
        <f>IF(N451="Standard",((($Z$7*Q451)+($AD$7*R451*$T$5))/2)*$O$7,IF(N451="Severe",((($AA$7*Q451)+($AE$7*R451*$T$5))/2)*$O$7,IF(N451="Hostile",((($AB$7*Q451)+($AF$7*R451*$T$5))/2)*$O$7)))</f>
        <v>411765.13107100001</v>
      </c>
      <c r="AD451" s="1"/>
      <c r="AE451" s="1"/>
      <c r="AF451" s="1"/>
      <c r="AI451" s="9"/>
      <c r="AJ451" s="1"/>
      <c r="AK451" s="1"/>
      <c r="AL451" s="1"/>
      <c r="AM451" s="1"/>
      <c r="AN451" s="1"/>
      <c r="AO451" s="1"/>
      <c r="AP451" s="9"/>
      <c r="AQ451" s="3"/>
      <c r="AR451" s="4"/>
      <c r="AS451" s="1"/>
      <c r="AT451" s="1"/>
      <c r="AU451" s="1"/>
      <c r="AV451" s="1"/>
      <c r="AW451" s="1"/>
      <c r="AX451" s="3"/>
      <c r="AY451" s="3"/>
      <c r="AZ451" s="5"/>
      <c r="BA451" s="5"/>
      <c r="BB451" s="5"/>
      <c r="BC451" s="5"/>
      <c r="BD451" s="6"/>
      <c r="BE451" s="6"/>
      <c r="BF451" s="12"/>
      <c r="BG451" s="12"/>
      <c r="BH451" s="12"/>
      <c r="BI451" s="12"/>
      <c r="BJ451" s="12"/>
    </row>
    <row r="452" spans="2:62" x14ac:dyDescent="0.25">
      <c r="B452" s="1" t="s">
        <v>316</v>
      </c>
      <c r="C452" s="1" t="s">
        <v>325</v>
      </c>
      <c r="D452" s="1" t="s">
        <v>1190</v>
      </c>
      <c r="E452" s="1" t="s">
        <v>326</v>
      </c>
      <c r="F452" s="1" t="s">
        <v>327</v>
      </c>
      <c r="G452" s="1" t="s">
        <v>328</v>
      </c>
      <c r="H452" s="1" t="s">
        <v>329</v>
      </c>
      <c r="I452" s="7" t="s">
        <v>322</v>
      </c>
      <c r="J452" s="44">
        <v>1</v>
      </c>
      <c r="K452" s="45">
        <v>1</v>
      </c>
      <c r="L452" s="1" t="s">
        <v>330</v>
      </c>
      <c r="M452" s="1" t="s">
        <v>331</v>
      </c>
      <c r="N452" s="1" t="s">
        <v>1140</v>
      </c>
      <c r="O452" s="1" t="s">
        <v>1189</v>
      </c>
      <c r="P452" s="1" t="s">
        <v>1190</v>
      </c>
      <c r="Q452" s="44">
        <f>IF(L452="853",Multipliers!C181,"oops")</f>
        <v>0.87</v>
      </c>
      <c r="R452" s="44">
        <f>IF(M452="Yuma",Multipliers!C12, "GOOF")</f>
        <v>0.95</v>
      </c>
      <c r="S452" s="46">
        <f t="shared" si="227"/>
        <v>353282.48340000008</v>
      </c>
      <c r="T452" s="46">
        <f t="shared" si="228"/>
        <v>371425.84149999998</v>
      </c>
      <c r="U452" s="46">
        <f t="shared" si="222"/>
        <v>367711.58308499999</v>
      </c>
      <c r="V452" s="46">
        <f t="shared" si="223"/>
        <v>360497.03324250004</v>
      </c>
      <c r="W452" s="47">
        <f t="shared" si="226"/>
        <v>360497.03324250004</v>
      </c>
      <c r="X452" s="47"/>
      <c r="Y452" s="48">
        <f t="shared" si="224"/>
        <v>287715.77257500001</v>
      </c>
      <c r="Z452" s="48">
        <f t="shared" si="225"/>
        <v>317983.21096499998</v>
      </c>
      <c r="AA452" s="48">
        <f>IF(N452="Standard",((($Z$5*Q452)+($AD$5*R452*$T$5))/2)*$O$7,IF(N452="Severe",((($AA$5*Q452)+($AE$5*R452*$T$5))/2)*$O$7,IF(N452="Hostile",((($AB$5*Q452)+($AF$5*R452*$T$5))/2)*$O$7)))</f>
        <v>360497.03324249998</v>
      </c>
      <c r="AB452" s="48">
        <f>IF(N452="Standard",((($Z$6*Q452)+($AD$6*R452*$T$5))/2)*$O$7,IF(N452="Severe",((($AA$6*Q452)+($AE$6*R452*$T$5))/2)*$O$7,IF(N452="Hostile",((($AB$6*Q452)+($AF$6*R452*$T$5))/2)*$O$7)))</f>
        <v>390540.68728499999</v>
      </c>
      <c r="AC452" s="48">
        <f>IF(N452="Standard",((($Z$7*Q452)+($AD$7*R452*$T$5))/2)*$O$7,IF(N452="Severe",((($AA$7*Q452)+($AE$7*R452*$T$5))/2)*$O$7,IF(N452="Hostile",((($AB$7*Q452)+($AF$7*R452*$T$5))/2)*$O$7)))</f>
        <v>421023.60856499994</v>
      </c>
      <c r="AD452" s="1"/>
      <c r="AE452" s="1"/>
      <c r="AF452" s="1"/>
      <c r="AI452" s="9"/>
      <c r="AJ452" s="1"/>
      <c r="AK452" s="1"/>
      <c r="AL452" s="1"/>
      <c r="AM452" s="1"/>
      <c r="AN452" s="1"/>
      <c r="AO452" s="1"/>
      <c r="AP452" s="9"/>
      <c r="AQ452" s="3"/>
      <c r="AR452" s="4"/>
      <c r="AS452" s="1"/>
      <c r="AT452" s="1"/>
      <c r="AU452" s="1"/>
      <c r="AV452" s="1"/>
      <c r="AW452" s="1"/>
      <c r="AX452" s="3"/>
      <c r="AY452" s="3"/>
      <c r="AZ452" s="5"/>
      <c r="BA452" s="5"/>
      <c r="BB452" s="5"/>
      <c r="BC452" s="5"/>
      <c r="BD452" s="6"/>
      <c r="BE452" s="6"/>
      <c r="BF452" s="12"/>
      <c r="BG452" s="12"/>
      <c r="BH452" s="12"/>
      <c r="BI452" s="12"/>
      <c r="BJ452" s="12"/>
    </row>
    <row r="453" spans="2:62" x14ac:dyDescent="0.25">
      <c r="B453" s="1" t="s">
        <v>316</v>
      </c>
      <c r="C453" s="1" t="s">
        <v>332</v>
      </c>
      <c r="D453" s="1" t="s">
        <v>1190</v>
      </c>
      <c r="E453" s="1" t="s">
        <v>333</v>
      </c>
      <c r="F453" s="1" t="s">
        <v>334</v>
      </c>
      <c r="G453" s="1" t="s">
        <v>335</v>
      </c>
      <c r="H453" s="1" t="s">
        <v>336</v>
      </c>
      <c r="I453" s="7" t="s">
        <v>322</v>
      </c>
      <c r="J453" s="44">
        <v>1</v>
      </c>
      <c r="K453" s="45">
        <v>1</v>
      </c>
      <c r="L453" s="1" t="s">
        <v>323</v>
      </c>
      <c r="M453" s="1" t="s">
        <v>324</v>
      </c>
      <c r="N453" s="1" t="s">
        <v>1140</v>
      </c>
      <c r="O453" s="1" t="s">
        <v>1189</v>
      </c>
      <c r="P453" s="1" t="s">
        <v>1190</v>
      </c>
      <c r="Q453" s="44">
        <f>IF(L453="852",Multipliers!C180,"oops")</f>
        <v>0.85</v>
      </c>
      <c r="R453" s="44">
        <f>IF(M453="Phoenix",Multipliers!C9, "GOOF")</f>
        <v>0.93</v>
      </c>
      <c r="S453" s="46">
        <f t="shared" si="227"/>
        <v>345161.04700000002</v>
      </c>
      <c r="T453" s="46">
        <f t="shared" si="228"/>
        <v>363606.35010000004</v>
      </c>
      <c r="U453" s="46">
        <f t="shared" si="222"/>
        <v>359970.28659900004</v>
      </c>
      <c r="V453" s="46">
        <f t="shared" si="223"/>
        <v>352565.6667995</v>
      </c>
      <c r="W453" s="47">
        <f t="shared" si="226"/>
        <v>352565.6667995</v>
      </c>
      <c r="X453" s="47"/>
      <c r="Y453" s="48">
        <f t="shared" si="224"/>
        <v>281376.33100500004</v>
      </c>
      <c r="Z453" s="48">
        <f t="shared" si="225"/>
        <v>310981.33523099998</v>
      </c>
      <c r="AA453" s="48">
        <f>IF(N453="Standard",((($Z$5*Q453)+($AD$5*R453*$T$5))/2)*$O$7,IF(N453="Severe",((($AA$5*Q453)+($AE$5*R453*$T$5))/2)*$O$7,IF(N453="Hostile",((($AB$5*Q453)+($AF$5*R453*$T$5))/2)*$O$7)))</f>
        <v>352565.66679950006</v>
      </c>
      <c r="AB453" s="48">
        <f>IF(N453="Standard",((($Z$6*Q453)+($AD$6*R453*$T$5))/2)*$O$7,IF(N453="Severe",((($AA$6*Q453)+($AE$6*R453*$T$5))/2)*$O$7,IF(N453="Hostile",((($AB$6*Q453)+($AF$6*R453*$T$5))/2)*$O$7)))</f>
        <v>381951.95231900003</v>
      </c>
      <c r="AC453" s="48">
        <f>IF(N453="Standard",((($Z$7*Q453)+($AD$7*R453*$T$5))/2)*$O$7,IF(N453="Severe",((($AA$7*Q453)+($AE$7*R453*$T$5))/2)*$O$7,IF(N453="Hostile",((($AB$7*Q453)+($AF$7*R453*$T$5))/2)*$O$7)))</f>
        <v>411765.13107100001</v>
      </c>
      <c r="AD453" s="1"/>
      <c r="AE453" s="1"/>
      <c r="AF453" s="1"/>
      <c r="AI453" s="9"/>
      <c r="AJ453" s="1"/>
      <c r="AK453" s="1"/>
      <c r="AL453" s="1"/>
      <c r="AM453" s="1"/>
      <c r="AN453" s="1"/>
      <c r="AO453" s="1"/>
      <c r="AP453" s="9"/>
      <c r="AQ453" s="3"/>
      <c r="AR453" s="4"/>
      <c r="AS453" s="1"/>
      <c r="AT453" s="1"/>
      <c r="AU453" s="1"/>
      <c r="AV453" s="1"/>
      <c r="AW453" s="1"/>
      <c r="AX453" s="3"/>
      <c r="AY453" s="3"/>
      <c r="AZ453" s="5"/>
      <c r="BA453" s="5"/>
      <c r="BB453" s="5"/>
      <c r="BC453" s="5"/>
      <c r="BD453" s="6"/>
      <c r="BE453" s="6"/>
      <c r="BF453" s="12"/>
      <c r="BG453" s="12"/>
      <c r="BH453" s="12"/>
      <c r="BI453" s="12"/>
      <c r="BJ453" s="12"/>
    </row>
    <row r="454" spans="2:62" x14ac:dyDescent="0.25">
      <c r="B454" s="1" t="s">
        <v>316</v>
      </c>
      <c r="C454" s="1" t="s">
        <v>337</v>
      </c>
      <c r="D454" s="1" t="s">
        <v>1190</v>
      </c>
      <c r="E454" s="1" t="s">
        <v>338</v>
      </c>
      <c r="F454" s="1" t="s">
        <v>339</v>
      </c>
      <c r="G454" s="1" t="s">
        <v>340</v>
      </c>
      <c r="H454" s="1" t="s">
        <v>341</v>
      </c>
      <c r="I454" s="7" t="s">
        <v>322</v>
      </c>
      <c r="J454" s="44">
        <v>1</v>
      </c>
      <c r="K454" s="45">
        <v>1</v>
      </c>
      <c r="L454" s="1" t="s">
        <v>342</v>
      </c>
      <c r="M454" s="7" t="s">
        <v>343</v>
      </c>
      <c r="N454" s="1" t="s">
        <v>1140</v>
      </c>
      <c r="O454" s="1" t="s">
        <v>1189</v>
      </c>
      <c r="P454" s="1" t="s">
        <v>1190</v>
      </c>
      <c r="Q454" s="44">
        <f>IF(L454="864",Multipliers!C186,"oops")</f>
        <v>0.85</v>
      </c>
      <c r="R454" s="44">
        <f>IF(M454="Imperial Co. Calif.",Multipliers!C18, "GOOF")</f>
        <v>1.1499999999999999</v>
      </c>
      <c r="S454" s="46">
        <f t="shared" si="227"/>
        <v>345161.04700000002</v>
      </c>
      <c r="T454" s="46">
        <f t="shared" si="228"/>
        <v>449620.75549999997</v>
      </c>
      <c r="U454" s="46">
        <f t="shared" si="222"/>
        <v>445124.54794499994</v>
      </c>
      <c r="V454" s="46">
        <f t="shared" si="223"/>
        <v>395142.79747250001</v>
      </c>
      <c r="W454" s="47">
        <f t="shared" si="226"/>
        <v>395142.79747250001</v>
      </c>
      <c r="X454" s="47"/>
      <c r="Y454" s="48">
        <f t="shared" si="224"/>
        <v>314239.00777499995</v>
      </c>
      <c r="Z454" s="48">
        <f t="shared" si="225"/>
        <v>347835.78070499992</v>
      </c>
      <c r="AA454" s="48">
        <f>IF(N454="Standard",((($Z$5*Q454)+($AD$5*R454*$T$5))/2)*$O$7,IF(N454="Severe",((($AA$5*Q454)+($AE$5*R454*$T$5))/2)*$O$7,IF(N454="Hostile",((($AB$5*Q454)+($AF$5*R454*$T$5))/2)*$O$7)))</f>
        <v>395142.79747249995</v>
      </c>
      <c r="AB454" s="48">
        <f>IF(N454="Standard",((($Z$6*Q454)+($AD$6*R454*$T$5))/2)*$O$7,IF(N454="Severe",((($AA$6*Q454)+($AE$6*R454*$T$5))/2)*$O$7,IF(N454="Hostile",((($AB$6*Q454)+($AF$6*R454*$T$5))/2)*$O$7)))</f>
        <v>428511.42204499996</v>
      </c>
      <c r="AC454" s="48">
        <f>IF(N454="Standard",((($Z$7*Q454)+($AD$7*R454*$T$5))/2)*$O$7,IF(N454="Severe",((($AA$7*Q454)+($AE$7*R454*$T$5))/2)*$O$7,IF(N454="Hostile",((($AB$7*Q454)+($AF$7*R454*$T$5))/2)*$O$7)))</f>
        <v>462034.68440499995</v>
      </c>
      <c r="AD454" s="1"/>
      <c r="AE454" s="1"/>
      <c r="AF454" s="1"/>
      <c r="AI454" s="9"/>
      <c r="AJ454" s="1"/>
      <c r="AK454" s="1"/>
      <c r="AL454" s="1"/>
      <c r="AM454" s="1"/>
      <c r="AN454" s="1"/>
      <c r="AO454" s="1"/>
      <c r="AP454" s="9"/>
      <c r="AQ454" s="3"/>
      <c r="AR454" s="4"/>
      <c r="AS454" s="1"/>
      <c r="AT454" s="1"/>
      <c r="AU454" s="1"/>
      <c r="AV454" s="1"/>
      <c r="AW454" s="1"/>
      <c r="AX454" s="3"/>
      <c r="AY454" s="3"/>
      <c r="AZ454" s="5"/>
      <c r="BA454" s="5"/>
      <c r="BB454" s="5"/>
      <c r="BC454" s="5"/>
      <c r="BD454" s="6"/>
      <c r="BE454" s="6"/>
      <c r="BF454" s="12"/>
      <c r="BG454" s="12"/>
      <c r="BH454" s="12"/>
      <c r="BI454" s="12"/>
      <c r="BJ454" s="12"/>
    </row>
    <row r="455" spans="2:62" x14ac:dyDescent="0.25">
      <c r="B455" s="1" t="s">
        <v>316</v>
      </c>
      <c r="C455" s="1" t="s">
        <v>344</v>
      </c>
      <c r="D455" s="1" t="s">
        <v>1190</v>
      </c>
      <c r="E455" s="1" t="s">
        <v>345</v>
      </c>
      <c r="F455" s="1" t="s">
        <v>346</v>
      </c>
      <c r="G455" s="1" t="s">
        <v>347</v>
      </c>
      <c r="H455" s="1" t="s">
        <v>348</v>
      </c>
      <c r="I455" s="7" t="s">
        <v>322</v>
      </c>
      <c r="J455" s="44">
        <v>1</v>
      </c>
      <c r="K455" s="45">
        <v>1</v>
      </c>
      <c r="L455" s="1" t="s">
        <v>349</v>
      </c>
      <c r="M455" s="1" t="s">
        <v>324</v>
      </c>
      <c r="N455" s="1" t="s">
        <v>1140</v>
      </c>
      <c r="O455" s="1" t="s">
        <v>1189</v>
      </c>
      <c r="P455" s="1" t="s">
        <v>1190</v>
      </c>
      <c r="Q455" s="44">
        <f>IF(L455="850",Multipliers!C179,"oops")</f>
        <v>0.87</v>
      </c>
      <c r="R455" s="44">
        <f>IF(M455="Phoenix",Multipliers!C9, "GOOF")</f>
        <v>0.93</v>
      </c>
      <c r="S455" s="46">
        <f t="shared" si="227"/>
        <v>353282.48340000008</v>
      </c>
      <c r="T455" s="46">
        <f t="shared" si="228"/>
        <v>363606.35010000004</v>
      </c>
      <c r="U455" s="46">
        <f t="shared" si="222"/>
        <v>359970.28659900004</v>
      </c>
      <c r="V455" s="46">
        <f t="shared" si="223"/>
        <v>356626.38499950006</v>
      </c>
      <c r="W455" s="47">
        <f t="shared" si="226"/>
        <v>356626.38499950006</v>
      </c>
      <c r="X455" s="47"/>
      <c r="Y455" s="48">
        <f t="shared" si="224"/>
        <v>284728.25650500006</v>
      </c>
      <c r="Z455" s="48">
        <f t="shared" si="225"/>
        <v>314632.80683099997</v>
      </c>
      <c r="AA455" s="48">
        <f>IF(N455="Standard",(((($Z$5*Q455)+($AD$5*R455*$T$5))/2)*$O$7),IF(N455="Severe",(((($AA$5*Q455)+($AE$5*R455*$T$5))/2)*$O$7),IF(N455="Hostile",(((($AB$5*Q455)+($AF$5*R455*$T$5))/2)*$O$7))))</f>
        <v>356626.38499950006</v>
      </c>
      <c r="AB455" s="48">
        <f>IF(N455="Standard",(((($Z$6*Q455)+($AD$6*R455*$T$5))/2)*$O$7),IF(N455="Severe",(((($AA$6*Q455)+($AE$6*R455*$T$5))/2)*$O$7),IF(N455="Hostile",(((($AB$6*Q455)+($AF$6*R455*$T$5))/2)*$O$7))))</f>
        <v>386308.00821900007</v>
      </c>
      <c r="AC455" s="48">
        <f>IF(N455="Standard",(((($Z$7*Q455)+($AD$7*R455*$T$5))/2)*$O$7),IF(N455="Severe",(((($AA$7*Q455)+($AE$7*R455*$T$5))/2)*$O$7),IF(N455="Hostile",(((($AB$7*Q455)+($AF$7*R455*$T$5))/2)*$O$7))))</f>
        <v>416453.64917100006</v>
      </c>
      <c r="AD455" s="1"/>
      <c r="AE455" s="1"/>
      <c r="AF455" s="1"/>
      <c r="AI455" s="9"/>
      <c r="AJ455" s="1"/>
      <c r="AK455" s="1"/>
      <c r="AL455" s="1"/>
      <c r="AM455" s="1"/>
      <c r="AN455" s="1"/>
      <c r="AO455" s="1"/>
      <c r="AP455" s="9"/>
      <c r="AQ455" s="3"/>
      <c r="AR455" s="4"/>
      <c r="AS455" s="1"/>
      <c r="AT455" s="1"/>
      <c r="AU455" s="1"/>
      <c r="AV455" s="1"/>
      <c r="AW455" s="1"/>
      <c r="AX455" s="3"/>
      <c r="AY455" s="3"/>
      <c r="AZ455" s="5"/>
      <c r="BA455" s="5"/>
      <c r="BB455" s="5"/>
      <c r="BC455" s="5"/>
      <c r="BD455" s="6"/>
      <c r="BE455" s="6"/>
      <c r="BF455" s="12"/>
      <c r="BG455" s="12"/>
      <c r="BH455" s="12"/>
      <c r="BI455" s="12"/>
      <c r="BJ455" s="12"/>
    </row>
    <row r="456" spans="2:62" x14ac:dyDescent="0.25">
      <c r="B456" s="1" t="s">
        <v>316</v>
      </c>
      <c r="C456" s="1" t="s">
        <v>350</v>
      </c>
      <c r="D456" s="1" t="s">
        <v>1190</v>
      </c>
      <c r="E456" s="1" t="s">
        <v>351</v>
      </c>
      <c r="F456" s="1" t="s">
        <v>352</v>
      </c>
      <c r="G456" s="1" t="s">
        <v>1190</v>
      </c>
      <c r="H456" s="1" t="s">
        <v>1190</v>
      </c>
      <c r="I456" s="7" t="s">
        <v>322</v>
      </c>
      <c r="J456" s="44">
        <v>1</v>
      </c>
      <c r="K456" s="45">
        <v>1</v>
      </c>
      <c r="L456" s="1" t="s">
        <v>353</v>
      </c>
      <c r="M456" s="1" t="s">
        <v>354</v>
      </c>
      <c r="N456" s="1" t="s">
        <v>1140</v>
      </c>
      <c r="O456" s="1" t="s">
        <v>1189</v>
      </c>
      <c r="P456" s="8">
        <v>0.7</v>
      </c>
      <c r="Q456" s="44">
        <f>IF(L456="860",Multipliers!C184,"oops")</f>
        <v>0.88</v>
      </c>
      <c r="R456" s="44">
        <f>IF(M456="Flagstaff",Multipliers!C8, "GOOF")</f>
        <v>0.98</v>
      </c>
      <c r="S456" s="46">
        <f t="shared" si="227"/>
        <v>357343.20160000003</v>
      </c>
      <c r="T456" s="46">
        <f t="shared" si="228"/>
        <v>383155.07860000001</v>
      </c>
      <c r="U456" s="46">
        <f t="shared" si="222"/>
        <v>379323.52781400003</v>
      </c>
      <c r="V456" s="46">
        <f>((S456+U456)/2*1.7)</f>
        <v>626166.72000189999</v>
      </c>
      <c r="W456" s="47">
        <f t="shared" si="226"/>
        <v>626166.72000189999</v>
      </c>
      <c r="X456" s="47"/>
      <c r="Y456" s="48">
        <f>IF(N456="Standard",(((($Z$3*Q456)+($AD$3*R456*$T$5))/2)*$O$7*1.7),IF(N456="Severe",(((($AA$3*Q456)+($AE$3*R456*$T$5))/2)*$O$7*1.7),IF(N456="Hostile",(((($AB$3*Q456)+($AF$3*R456*$T$5))/2)*$O$7*1.7))))</f>
        <v>499584.11603099992</v>
      </c>
      <c r="Z456" s="48">
        <f>IF(N456="Standard",(((($Z$4*Q456)+($AD$4*R456*$T$5))/2)*$O$7*1.7),IF(N456="Severe",(((($AA$4*Q456)+($AE$4*R456*$T$5))/2)*$O$7*1.7),IF(N456="Hostile",(((($AB$4*Q456)+($AF$4*R456*$T$5))/2)*$O$7*1.7))))</f>
        <v>552218.74004219996</v>
      </c>
      <c r="AA456" s="48">
        <f>IF(N456="Standard",((($Z$5*Q456)+($AD$5*R456*$T$5))/2)*$O$7*1.7,IF(N456="Severe",((($AA$5*Q456)+($AE$5*R456*$T$5))/2)*$O$7*1.7,IF(N456="Hostile",((($AB$5*Q456)+($AF$5*R456*$T$5))/2)*$O$7*1.7)))</f>
        <v>626166.7200019001</v>
      </c>
      <c r="AB456" s="48">
        <f>IF(N456="Standard",((($Z$6*Q456)+($AD$6*R456*$T$5))/2)*$O$7*1.7,IF(N456="Severe",((($AA$6*Q456)+($AE$6*R456*$T$5))/2)*$O$7*1.7,IF(N456="Hostile",((($AB$6*Q456)+($AF$6*R456*$T$5))/2)*$O$7)))</f>
        <v>678415.14751779998</v>
      </c>
      <c r="AC456" s="48">
        <f>IF(N456="Standard",((($Z$7*Q456)+($AD$7*R456*$T$5))/2)*$O$7*1.7,IF(N456="Severe",((($AA$7*Q456)+($AE$7*R456*$T$5))/2)*$O$7*1.7,IF(N456="Hostile",((($AB$7*Q456)+($AF$7*R456*$T$5))/2)*$O$7*1.7)))</f>
        <v>731378.77140019997</v>
      </c>
      <c r="AD456" s="1"/>
      <c r="AE456" s="1"/>
      <c r="AF456" s="1"/>
      <c r="AI456" s="9"/>
      <c r="AJ456" s="1"/>
      <c r="AK456" s="1"/>
      <c r="AL456" s="1"/>
      <c r="AM456" s="1"/>
      <c r="AN456" s="1"/>
      <c r="AO456" s="1"/>
      <c r="AP456" s="9"/>
      <c r="AQ456" s="3"/>
      <c r="AR456" s="4"/>
      <c r="AS456" s="1"/>
      <c r="AT456" s="1"/>
      <c r="AU456" s="1"/>
      <c r="AV456" s="1"/>
      <c r="AW456" s="1"/>
      <c r="AX456" s="3"/>
      <c r="AY456" s="3"/>
      <c r="AZ456" s="5"/>
      <c r="BA456" s="5"/>
      <c r="BB456" s="5"/>
      <c r="BC456" s="5"/>
      <c r="BD456" s="6"/>
      <c r="BE456" s="6"/>
      <c r="BF456" s="12"/>
      <c r="BG456" s="12"/>
      <c r="BH456" s="12"/>
      <c r="BI456" s="12"/>
      <c r="BJ456" s="12"/>
    </row>
    <row r="457" spans="2:62" x14ac:dyDescent="0.25">
      <c r="B457" s="1" t="s">
        <v>316</v>
      </c>
      <c r="C457" s="1" t="s">
        <v>355</v>
      </c>
      <c r="D457" s="1" t="s">
        <v>1190</v>
      </c>
      <c r="E457" s="1" t="s">
        <v>356</v>
      </c>
      <c r="F457" s="1" t="s">
        <v>357</v>
      </c>
      <c r="G457" s="1" t="s">
        <v>358</v>
      </c>
      <c r="H457" s="1" t="s">
        <v>359</v>
      </c>
      <c r="I457" s="7" t="s">
        <v>322</v>
      </c>
      <c r="J457" s="44">
        <v>1</v>
      </c>
      <c r="K457" s="45">
        <v>1</v>
      </c>
      <c r="L457" s="1" t="s">
        <v>353</v>
      </c>
      <c r="M457" s="1" t="s">
        <v>354</v>
      </c>
      <c r="N457" s="1" t="s">
        <v>1140</v>
      </c>
      <c r="O457" s="1" t="s">
        <v>1189</v>
      </c>
      <c r="P457" s="1" t="s">
        <v>1190</v>
      </c>
      <c r="Q457" s="44">
        <f>IF(L457="860",Multipliers!C184,"oops")</f>
        <v>0.88</v>
      </c>
      <c r="R457" s="44">
        <f>IF(M457="Flagstaff",Multipliers!C8, "GOOF")</f>
        <v>0.98</v>
      </c>
      <c r="S457" s="46">
        <f t="shared" si="227"/>
        <v>357343.20160000003</v>
      </c>
      <c r="T457" s="46">
        <f t="shared" si="228"/>
        <v>383155.07860000001</v>
      </c>
      <c r="U457" s="46">
        <f t="shared" si="222"/>
        <v>379323.52781400003</v>
      </c>
      <c r="V457" s="46">
        <f t="shared" ref="V457:V462" si="229">(S457+U457)/2</f>
        <v>368333.36470700003</v>
      </c>
      <c r="W457" s="47">
        <f t="shared" si="226"/>
        <v>368333.36470700003</v>
      </c>
      <c r="X457" s="47"/>
      <c r="Y457" s="48">
        <f t="shared" ref="Y457:Y479" si="230">IF(N457="Standard",(((($Z$3*Q457)+($AD$3*R457*$T$5))/2)*$O$7),IF(N457="Severe",(((($AA$3*Q457)+($AE$3*R457*$T$5))/2)*$O$7),IF(N457="Hostile",(((($AB$3*Q457)+($AF$3*R457*$T$5))/2)*$O$7))))</f>
        <v>293873.00942999998</v>
      </c>
      <c r="Z457" s="48">
        <f t="shared" ref="Z457:Z479" si="231">IF(N457="Standard",(((($Z$4*Q457)+($AD$4*R457*$T$5))/2)*$O$7),IF(N457="Severe",(((($AA$4*Q457)+($AE$4*R457*$T$5))/2)*$O$7),IF(N457="Hostile",(((($AB$4*Q457)+($AF$4*R457*$T$5))/2)*$O$7))))</f>
        <v>324834.55296599999</v>
      </c>
      <c r="AA457" s="48">
        <f t="shared" ref="AA457:AA483" si="232">IF(N457="Standard",((($Z$5*Q457)+($AD$5*R457*$T$5))/2)*$O$7,IF(N457="Severe",((($AA$5*Q457)+($AE$5*R457*$T$5))/2)*$O$7,IF(N457="Hostile",((($AB$5*Q457)+($AF$5*R457*$T$5))/2)*$O$7)))</f>
        <v>368333.36470700009</v>
      </c>
      <c r="AB457" s="48">
        <f t="shared" ref="AB457:AB483" si="233">IF(N457="Standard",((($Z$6*Q457)+($AD$6*R457*$T$5))/2)*$O$7,IF(N457="Severe",((($AA$6*Q457)+($AE$6*R457*$T$5))/2)*$O$7,IF(N457="Hostile",((($AB$6*Q457)+($AF$6*R457*$T$5))/2)*$O$7)))</f>
        <v>399067.73383400001</v>
      </c>
      <c r="AC457" s="48">
        <f t="shared" ref="AC457:AC483" si="234">IF(N457="Standard",((($Z$7*Q457)+($AD$7*R457*$T$5))/2)*$O$7,IF(N457="Severe",((($AA$7*Q457)+($AE$7*R457*$T$5))/2)*$O$7,IF(N457="Hostile",((($AB$7*Q457)+($AF$7*R457*$T$5))/2)*$O$7)))</f>
        <v>430222.806706</v>
      </c>
      <c r="AD457" s="1"/>
      <c r="AE457" s="1"/>
      <c r="AF457" s="1"/>
      <c r="AI457" s="9"/>
      <c r="AJ457" s="1"/>
      <c r="AK457" s="1"/>
      <c r="AL457" s="1"/>
      <c r="AM457" s="1"/>
      <c r="AN457" s="1"/>
      <c r="AO457" s="1"/>
      <c r="AP457" s="9"/>
      <c r="AQ457" s="3"/>
      <c r="AR457" s="4"/>
      <c r="AS457" s="1"/>
      <c r="AT457" s="1"/>
      <c r="AU457" s="1"/>
      <c r="AV457" s="1"/>
      <c r="AW457" s="1"/>
      <c r="AX457" s="3"/>
      <c r="AY457" s="3"/>
      <c r="AZ457" s="5"/>
      <c r="BA457" s="5"/>
      <c r="BB457" s="5"/>
      <c r="BC457" s="5"/>
      <c r="BD457" s="6"/>
      <c r="BE457" s="6"/>
      <c r="BF457" s="12"/>
      <c r="BG457" s="12"/>
      <c r="BH457" s="12"/>
      <c r="BI457" s="12"/>
      <c r="BJ457" s="12"/>
    </row>
    <row r="458" spans="2:62" x14ac:dyDescent="0.25">
      <c r="B458" s="1" t="s">
        <v>316</v>
      </c>
      <c r="C458" s="1" t="s">
        <v>360</v>
      </c>
      <c r="D458" s="1" t="s">
        <v>1190</v>
      </c>
      <c r="E458" s="1" t="s">
        <v>361</v>
      </c>
      <c r="F458" s="1" t="s">
        <v>362</v>
      </c>
      <c r="G458" s="1" t="s">
        <v>363</v>
      </c>
      <c r="H458" s="1" t="s">
        <v>364</v>
      </c>
      <c r="I458" s="7" t="s">
        <v>322</v>
      </c>
      <c r="J458" s="44">
        <v>1</v>
      </c>
      <c r="K458" s="45">
        <v>1</v>
      </c>
      <c r="L458" s="1" t="s">
        <v>365</v>
      </c>
      <c r="M458" s="1" t="s">
        <v>366</v>
      </c>
      <c r="N458" s="1" t="s">
        <v>1140</v>
      </c>
      <c r="O458" s="1" t="s">
        <v>1189</v>
      </c>
      <c r="P458" s="1" t="s">
        <v>1190</v>
      </c>
      <c r="Q458" s="44">
        <f>IF(L458="863",Multipliers!C185,"oops")</f>
        <v>0.87</v>
      </c>
      <c r="R458" s="44">
        <f>IF(M458="Prescott",Multipliers!C10, "GOOF")</f>
        <v>0.99</v>
      </c>
      <c r="S458" s="46">
        <f t="shared" si="227"/>
        <v>353282.48340000008</v>
      </c>
      <c r="T458" s="46">
        <f t="shared" si="228"/>
        <v>387064.82429999998</v>
      </c>
      <c r="U458" s="46">
        <f t="shared" si="222"/>
        <v>383194.176057</v>
      </c>
      <c r="V458" s="46">
        <f t="shared" si="229"/>
        <v>368238.32972850004</v>
      </c>
      <c r="W458" s="47">
        <f t="shared" si="226"/>
        <v>368238.32972850004</v>
      </c>
      <c r="X458" s="47"/>
      <c r="Y458" s="48">
        <f t="shared" si="230"/>
        <v>293690.80471499998</v>
      </c>
      <c r="Z458" s="48">
        <f t="shared" si="231"/>
        <v>324684.019233</v>
      </c>
      <c r="AA458" s="48">
        <f t="shared" si="232"/>
        <v>368238.32972850004</v>
      </c>
      <c r="AB458" s="48">
        <f t="shared" si="233"/>
        <v>399006.04541700002</v>
      </c>
      <c r="AC458" s="48">
        <f t="shared" si="234"/>
        <v>430163.52735299995</v>
      </c>
      <c r="AD458" s="1"/>
      <c r="AE458" s="1"/>
      <c r="AF458" s="1"/>
      <c r="AI458" s="9"/>
      <c r="AJ458" s="1"/>
      <c r="AK458" s="1"/>
      <c r="AL458" s="1"/>
      <c r="AM458" s="1"/>
      <c r="AN458" s="1"/>
      <c r="AO458" s="1"/>
      <c r="AP458" s="9"/>
      <c r="AQ458" s="3"/>
      <c r="AR458" s="4"/>
      <c r="AS458" s="1"/>
      <c r="AT458" s="1"/>
      <c r="AU458" s="1"/>
      <c r="AV458" s="1"/>
      <c r="AW458" s="1"/>
      <c r="AX458" s="3"/>
      <c r="AY458" s="3"/>
      <c r="AZ458" s="5"/>
      <c r="BA458" s="5"/>
      <c r="BB458" s="5"/>
      <c r="BC458" s="5"/>
      <c r="BD458" s="6"/>
      <c r="BE458" s="6"/>
      <c r="BF458" s="12"/>
      <c r="BG458" s="12"/>
      <c r="BH458" s="12"/>
      <c r="BI458" s="12"/>
      <c r="BJ458" s="12"/>
    </row>
    <row r="459" spans="2:62" x14ac:dyDescent="0.25">
      <c r="B459" s="1" t="s">
        <v>316</v>
      </c>
      <c r="C459" s="1" t="s">
        <v>367</v>
      </c>
      <c r="D459" s="1" t="s">
        <v>1190</v>
      </c>
      <c r="E459" s="1" t="s">
        <v>368</v>
      </c>
      <c r="F459" s="1" t="s">
        <v>369</v>
      </c>
      <c r="G459" s="1" t="s">
        <v>370</v>
      </c>
      <c r="H459" s="1" t="s">
        <v>371</v>
      </c>
      <c r="I459" s="7" t="s">
        <v>322</v>
      </c>
      <c r="J459" s="44">
        <v>1</v>
      </c>
      <c r="K459" s="45">
        <v>1</v>
      </c>
      <c r="L459" s="1" t="s">
        <v>353</v>
      </c>
      <c r="M459" s="1" t="s">
        <v>354</v>
      </c>
      <c r="N459" s="1" t="s">
        <v>1140</v>
      </c>
      <c r="O459" s="1" t="s">
        <v>1189</v>
      </c>
      <c r="P459" s="1" t="s">
        <v>1190</v>
      </c>
      <c r="Q459" s="44">
        <f>IF(L459="860",Multipliers!C184,"oops")</f>
        <v>0.88</v>
      </c>
      <c r="R459" s="44">
        <f>IF(M459="Flagstaff",Multipliers!C8, "GOOF")</f>
        <v>0.98</v>
      </c>
      <c r="S459" s="46">
        <f t="shared" si="227"/>
        <v>357343.20160000003</v>
      </c>
      <c r="T459" s="46">
        <f t="shared" si="228"/>
        <v>383155.07860000001</v>
      </c>
      <c r="U459" s="46">
        <f t="shared" si="222"/>
        <v>379323.52781400003</v>
      </c>
      <c r="V459" s="46">
        <f t="shared" si="229"/>
        <v>368333.36470700003</v>
      </c>
      <c r="W459" s="47">
        <f t="shared" si="226"/>
        <v>368333.36470700003</v>
      </c>
      <c r="X459" s="47"/>
      <c r="Y459" s="48">
        <f t="shared" si="230"/>
        <v>293873.00942999998</v>
      </c>
      <c r="Z459" s="48">
        <f t="shared" si="231"/>
        <v>324834.55296599999</v>
      </c>
      <c r="AA459" s="48">
        <f t="shared" si="232"/>
        <v>368333.36470700009</v>
      </c>
      <c r="AB459" s="48">
        <f t="shared" si="233"/>
        <v>399067.73383400001</v>
      </c>
      <c r="AC459" s="48">
        <f t="shared" si="234"/>
        <v>430222.806706</v>
      </c>
      <c r="AD459" s="1"/>
      <c r="AE459" s="1"/>
      <c r="AF459" s="1"/>
      <c r="AI459" s="9"/>
      <c r="AJ459" s="1"/>
      <c r="AK459" s="1"/>
      <c r="AL459" s="1"/>
      <c r="AM459" s="1"/>
      <c r="AN459" s="1"/>
      <c r="AO459" s="1"/>
      <c r="AP459" s="9"/>
      <c r="AQ459" s="3"/>
      <c r="AR459" s="4"/>
      <c r="AS459" s="1"/>
      <c r="AT459" s="1"/>
      <c r="AU459" s="1"/>
      <c r="AV459" s="1"/>
      <c r="AW459" s="1"/>
      <c r="AX459" s="3"/>
      <c r="AY459" s="3"/>
      <c r="AZ459" s="5"/>
      <c r="BA459" s="5"/>
      <c r="BB459" s="5"/>
      <c r="BC459" s="5"/>
      <c r="BD459" s="6"/>
      <c r="BE459" s="6"/>
      <c r="BF459" s="12"/>
      <c r="BG459" s="12"/>
      <c r="BH459" s="12"/>
      <c r="BI459" s="12"/>
      <c r="BJ459" s="12"/>
    </row>
    <row r="460" spans="2:62" x14ac:dyDescent="0.25">
      <c r="B460" s="1" t="s">
        <v>316</v>
      </c>
      <c r="C460" s="1" t="s">
        <v>372</v>
      </c>
      <c r="D460" s="1" t="s">
        <v>1190</v>
      </c>
      <c r="E460" s="1" t="s">
        <v>373</v>
      </c>
      <c r="F460" s="7" t="s">
        <v>374</v>
      </c>
      <c r="G460" s="1" t="s">
        <v>375</v>
      </c>
      <c r="H460" s="1" t="s">
        <v>376</v>
      </c>
      <c r="I460" s="7" t="s">
        <v>322</v>
      </c>
      <c r="J460" s="44">
        <v>1</v>
      </c>
      <c r="K460" s="45">
        <v>1</v>
      </c>
      <c r="L460" s="7" t="s">
        <v>353</v>
      </c>
      <c r="M460" s="1" t="s">
        <v>354</v>
      </c>
      <c r="N460" s="1" t="s">
        <v>1140</v>
      </c>
      <c r="O460" s="1" t="s">
        <v>1189</v>
      </c>
      <c r="P460" s="1" t="s">
        <v>1190</v>
      </c>
      <c r="Q460" s="44">
        <f>IF(L460="860",Multipliers!C184,"oops")</f>
        <v>0.88</v>
      </c>
      <c r="R460" s="44">
        <f>IF(M460="Flagstaff",Multipliers!C8, "GOOF")</f>
        <v>0.98</v>
      </c>
      <c r="S460" s="46">
        <f t="shared" si="227"/>
        <v>357343.20160000003</v>
      </c>
      <c r="T460" s="46">
        <f t="shared" si="228"/>
        <v>383155.07860000001</v>
      </c>
      <c r="U460" s="46">
        <f t="shared" si="222"/>
        <v>379323.52781400003</v>
      </c>
      <c r="V460" s="46">
        <f t="shared" si="229"/>
        <v>368333.36470700003</v>
      </c>
      <c r="W460" s="47">
        <f t="shared" si="226"/>
        <v>368333.36470700003</v>
      </c>
      <c r="X460" s="47"/>
      <c r="Y460" s="48">
        <f t="shared" si="230"/>
        <v>293873.00942999998</v>
      </c>
      <c r="Z460" s="48">
        <f t="shared" si="231"/>
        <v>324834.55296599999</v>
      </c>
      <c r="AA460" s="48">
        <f t="shared" si="232"/>
        <v>368333.36470700009</v>
      </c>
      <c r="AB460" s="48">
        <f t="shared" si="233"/>
        <v>399067.73383400001</v>
      </c>
      <c r="AC460" s="48">
        <f t="shared" si="234"/>
        <v>430222.806706</v>
      </c>
      <c r="AD460" s="1"/>
      <c r="AE460" s="1"/>
      <c r="AF460" s="1"/>
      <c r="AI460" s="9"/>
      <c r="AJ460" s="1"/>
      <c r="AK460" s="1"/>
      <c r="AL460" s="1"/>
      <c r="AM460" s="1"/>
      <c r="AN460" s="1"/>
      <c r="AO460" s="1"/>
      <c r="AP460" s="9"/>
      <c r="AQ460" s="3"/>
      <c r="AR460" s="4"/>
      <c r="AS460" s="1"/>
      <c r="AT460" s="1"/>
      <c r="AU460" s="1"/>
      <c r="AV460" s="1"/>
      <c r="AW460" s="1"/>
      <c r="AX460" s="3"/>
      <c r="AY460" s="3"/>
      <c r="AZ460" s="5"/>
      <c r="BA460" s="5"/>
      <c r="BB460" s="5"/>
      <c r="BC460" s="5"/>
      <c r="BD460" s="6"/>
      <c r="BE460" s="6"/>
      <c r="BF460" s="12"/>
      <c r="BG460" s="12"/>
      <c r="BH460" s="12"/>
      <c r="BI460" s="12"/>
      <c r="BJ460" s="12"/>
    </row>
    <row r="461" spans="2:62" x14ac:dyDescent="0.25">
      <c r="B461" s="1" t="s">
        <v>316</v>
      </c>
      <c r="C461" s="1" t="s">
        <v>377</v>
      </c>
      <c r="D461" s="1" t="s">
        <v>1190</v>
      </c>
      <c r="E461" s="1" t="s">
        <v>378</v>
      </c>
      <c r="F461" s="1" t="s">
        <v>379</v>
      </c>
      <c r="G461" s="1" t="s">
        <v>380</v>
      </c>
      <c r="H461" s="1" t="s">
        <v>381</v>
      </c>
      <c r="I461" s="7" t="s">
        <v>322</v>
      </c>
      <c r="J461" s="44">
        <v>1</v>
      </c>
      <c r="K461" s="45">
        <v>1</v>
      </c>
      <c r="L461" s="1" t="s">
        <v>382</v>
      </c>
      <c r="M461" s="1" t="s">
        <v>383</v>
      </c>
      <c r="N461" s="1" t="s">
        <v>1140</v>
      </c>
      <c r="O461" s="1" t="s">
        <v>1189</v>
      </c>
      <c r="P461" s="1" t="s">
        <v>1190</v>
      </c>
      <c r="Q461" s="44">
        <f>IF(L461="857",Multipliers!C183,"oops")</f>
        <v>0.85</v>
      </c>
      <c r="R461" s="44">
        <f>IF(M461="Tucson",Multipliers!C11, "GOOF")</f>
        <v>0.94</v>
      </c>
      <c r="S461" s="46">
        <f t="shared" si="227"/>
        <v>345161.04700000002</v>
      </c>
      <c r="T461" s="46">
        <f t="shared" si="228"/>
        <v>367516.09579999995</v>
      </c>
      <c r="U461" s="46">
        <f t="shared" si="222"/>
        <v>363840.93484199996</v>
      </c>
      <c r="V461" s="46">
        <f t="shared" si="229"/>
        <v>354500.99092100002</v>
      </c>
      <c r="W461" s="47">
        <f>IF(F461=F462,(V461+V462)/2,IF(F461=F460,(V461+V460)/2,IF(F461&lt;&gt;F460,V461)))</f>
        <v>354500.99092100002</v>
      </c>
      <c r="X461" s="47"/>
      <c r="Y461" s="48">
        <f t="shared" si="230"/>
        <v>282870.08903999999</v>
      </c>
      <c r="Z461" s="48">
        <f t="shared" si="231"/>
        <v>312656.53729799995</v>
      </c>
      <c r="AA461" s="48">
        <f t="shared" si="232"/>
        <v>354500.99092100002</v>
      </c>
      <c r="AB461" s="48">
        <f t="shared" si="233"/>
        <v>384068.29185199999</v>
      </c>
      <c r="AC461" s="48">
        <f t="shared" si="234"/>
        <v>414050.11076800001</v>
      </c>
      <c r="AD461" s="1"/>
      <c r="AE461" s="1"/>
      <c r="AF461" s="1"/>
    </row>
    <row r="462" spans="2:62" x14ac:dyDescent="0.25">
      <c r="B462" s="1" t="s">
        <v>316</v>
      </c>
      <c r="C462" s="1" t="s">
        <v>384</v>
      </c>
      <c r="D462" s="1" t="s">
        <v>1190</v>
      </c>
      <c r="E462" s="1" t="s">
        <v>385</v>
      </c>
      <c r="F462" s="1" t="s">
        <v>386</v>
      </c>
      <c r="G462" s="1" t="s">
        <v>412</v>
      </c>
      <c r="H462" s="1" t="s">
        <v>1190</v>
      </c>
      <c r="I462" s="7" t="s">
        <v>322</v>
      </c>
      <c r="J462" s="44">
        <v>1</v>
      </c>
      <c r="K462" s="45">
        <v>1</v>
      </c>
      <c r="L462" s="1" t="s">
        <v>387</v>
      </c>
      <c r="M462" s="1" t="s">
        <v>354</v>
      </c>
      <c r="N462" s="1" t="s">
        <v>1140</v>
      </c>
      <c r="O462" s="1" t="s">
        <v>1189</v>
      </c>
      <c r="P462" s="1" t="s">
        <v>1190</v>
      </c>
      <c r="Q462" s="44">
        <f>IF(L462="855",Multipliers!C182,"oops")</f>
        <v>0.84</v>
      </c>
      <c r="R462" s="44">
        <f>IF(M462="Flagstaff",Multipliers!C8, "GOOF")</f>
        <v>0.98</v>
      </c>
      <c r="S462" s="46">
        <f t="shared" si="227"/>
        <v>341100.32880000002</v>
      </c>
      <c r="T462" s="46">
        <f t="shared" si="228"/>
        <v>383155.07860000001</v>
      </c>
      <c r="U462" s="46">
        <f>IF(O462="E",$T$3*T462,IF(O462="C",$T$4*T462,IF(O462="W",$T$5*T462,1)))</f>
        <v>379323.52781400003</v>
      </c>
      <c r="V462" s="46">
        <f t="shared" si="229"/>
        <v>360211.92830700002</v>
      </c>
      <c r="W462" s="47">
        <f>IF(F462=F463,(V462+V463)/2,IF(F462=F461,(V462+V461)/2,IF(F462&lt;&gt;F461,V462)))</f>
        <v>360211.92830700002</v>
      </c>
      <c r="X462" s="47"/>
      <c r="Y462" s="48">
        <f t="shared" si="230"/>
        <v>287169.15843000001</v>
      </c>
      <c r="Z462" s="48">
        <f t="shared" si="231"/>
        <v>317531.60976599995</v>
      </c>
      <c r="AA462" s="48">
        <f t="shared" si="232"/>
        <v>360211.92830700002</v>
      </c>
      <c r="AB462" s="48">
        <f t="shared" si="233"/>
        <v>390355.622034</v>
      </c>
      <c r="AC462" s="48">
        <f t="shared" si="234"/>
        <v>420845.77050599997</v>
      </c>
      <c r="AD462" s="1"/>
      <c r="AE462" s="1"/>
      <c r="AF462" s="1"/>
      <c r="AI462" s="9"/>
      <c r="AJ462" s="1"/>
      <c r="AK462" s="1"/>
      <c r="AL462" s="1"/>
      <c r="AM462" s="1"/>
      <c r="AN462" s="1"/>
      <c r="AO462" s="1"/>
      <c r="AP462" s="9"/>
      <c r="AQ462" s="3"/>
      <c r="AR462" s="4"/>
      <c r="AS462" s="1"/>
      <c r="AT462" s="1"/>
      <c r="AU462" s="1"/>
      <c r="AV462" s="1"/>
      <c r="AW462" s="1"/>
      <c r="AX462" s="3"/>
      <c r="AY462" s="3"/>
      <c r="AZ462" s="5"/>
      <c r="BA462" s="5"/>
      <c r="BB462" s="5"/>
      <c r="BC462" s="5"/>
      <c r="BD462" s="6"/>
      <c r="BE462" s="6"/>
      <c r="BF462" s="12"/>
      <c r="BG462" s="12"/>
      <c r="BH462" s="12"/>
      <c r="BI462" s="12"/>
      <c r="BJ462" s="12"/>
    </row>
    <row r="463" spans="2:62" x14ac:dyDescent="0.25">
      <c r="B463" s="1" t="s">
        <v>316</v>
      </c>
      <c r="C463" s="1" t="s">
        <v>388</v>
      </c>
      <c r="D463" s="1" t="s">
        <v>1190</v>
      </c>
      <c r="E463" s="1" t="s">
        <v>389</v>
      </c>
      <c r="F463" s="1" t="s">
        <v>390</v>
      </c>
      <c r="G463" s="1" t="s">
        <v>391</v>
      </c>
      <c r="H463" s="1" t="s">
        <v>392</v>
      </c>
      <c r="I463" s="7" t="s">
        <v>322</v>
      </c>
      <c r="J463" s="44">
        <v>1</v>
      </c>
      <c r="K463" s="45">
        <v>1</v>
      </c>
      <c r="L463" s="1" t="s">
        <v>349</v>
      </c>
      <c r="M463" s="1" t="s">
        <v>324</v>
      </c>
      <c r="N463" s="1" t="s">
        <v>1140</v>
      </c>
      <c r="O463" s="1" t="s">
        <v>1189</v>
      </c>
      <c r="P463" s="1" t="s">
        <v>1190</v>
      </c>
      <c r="Q463" s="44">
        <f>IF(L463="850",Multipliers!C179,"oops")</f>
        <v>0.87</v>
      </c>
      <c r="R463" s="44">
        <f>IF(M463="Phoenix",Multipliers!C9, "GOOF")</f>
        <v>0.93</v>
      </c>
      <c r="S463" s="46">
        <f t="shared" si="227"/>
        <v>353282.48340000008</v>
      </c>
      <c r="T463" s="46">
        <f t="shared" si="228"/>
        <v>363606.35010000004</v>
      </c>
      <c r="U463" s="46">
        <f t="shared" ref="U463:U479" si="235">IF(O463="E",$T$3*T463,IF(O463="C",$T$4*T463,IF(O463="W",$T$5*T463,1)))</f>
        <v>359970.28659900004</v>
      </c>
      <c r="V463" s="46">
        <f t="shared" ref="V463:V479" si="236">(S463+U463)/2</f>
        <v>356626.38499950006</v>
      </c>
      <c r="W463" s="47">
        <f>IF(F463=F464,(V463+V464)/2,IF(F463=F462,(V463+V462)/2,IF(F463&lt;&gt;F462,V463)))</f>
        <v>356626.38499950006</v>
      </c>
      <c r="X463" s="47"/>
      <c r="Y463" s="48">
        <f t="shared" si="230"/>
        <v>284728.25650500006</v>
      </c>
      <c r="Z463" s="48">
        <f t="shared" si="231"/>
        <v>314632.80683099997</v>
      </c>
      <c r="AA463" s="48">
        <f t="shared" si="232"/>
        <v>356626.38499950006</v>
      </c>
      <c r="AB463" s="48">
        <f t="shared" si="233"/>
        <v>386308.00821900007</v>
      </c>
      <c r="AC463" s="48">
        <f t="shared" si="234"/>
        <v>416453.64917100006</v>
      </c>
      <c r="AD463" s="1"/>
      <c r="AE463" s="1"/>
      <c r="AF463" s="1"/>
      <c r="AI463" s="9"/>
      <c r="AJ463" s="1"/>
      <c r="AK463" s="1"/>
      <c r="AL463" s="1"/>
      <c r="AM463" s="1"/>
      <c r="AN463" s="1"/>
      <c r="AO463" s="1"/>
      <c r="AP463" s="9"/>
      <c r="AQ463" s="3"/>
      <c r="AR463" s="4"/>
      <c r="AS463" s="1"/>
      <c r="AT463" s="1"/>
      <c r="AU463" s="1"/>
      <c r="AV463" s="1"/>
      <c r="AW463" s="1"/>
      <c r="AX463" s="3"/>
      <c r="AY463" s="3"/>
      <c r="AZ463" s="5"/>
      <c r="BA463" s="5"/>
      <c r="BB463" s="5"/>
      <c r="BC463" s="5"/>
      <c r="BD463" s="6"/>
      <c r="BE463" s="6"/>
      <c r="BF463" s="12"/>
      <c r="BG463" s="12"/>
      <c r="BH463" s="12"/>
      <c r="BI463" s="12"/>
      <c r="BJ463" s="12"/>
    </row>
    <row r="464" spans="2:62" x14ac:dyDescent="0.25">
      <c r="B464" s="1" t="s">
        <v>316</v>
      </c>
      <c r="C464" s="1" t="s">
        <v>393</v>
      </c>
      <c r="D464" s="1" t="s">
        <v>1190</v>
      </c>
      <c r="E464" s="1" t="s">
        <v>394</v>
      </c>
      <c r="F464" s="1" t="s">
        <v>395</v>
      </c>
      <c r="G464" s="1" t="s">
        <v>396</v>
      </c>
      <c r="H464" s="1" t="s">
        <v>397</v>
      </c>
      <c r="I464" s="7" t="s">
        <v>322</v>
      </c>
      <c r="J464" s="44">
        <v>1</v>
      </c>
      <c r="K464" s="45">
        <v>1</v>
      </c>
      <c r="L464" s="1" t="s">
        <v>387</v>
      </c>
      <c r="M464" s="1" t="s">
        <v>324</v>
      </c>
      <c r="N464" s="1" t="s">
        <v>1140</v>
      </c>
      <c r="O464" s="1" t="s">
        <v>1189</v>
      </c>
      <c r="P464" s="1" t="s">
        <v>1190</v>
      </c>
      <c r="Q464" s="44">
        <f>IF(L464="855",Multipliers!C182,"oops")</f>
        <v>0.84</v>
      </c>
      <c r="R464" s="44">
        <f>IF(M464="Phoenix",Multipliers!C9, "GOOF")</f>
        <v>0.93</v>
      </c>
      <c r="S464" s="46">
        <f t="shared" si="227"/>
        <v>341100.32880000002</v>
      </c>
      <c r="T464" s="46">
        <f t="shared" si="228"/>
        <v>363606.35010000004</v>
      </c>
      <c r="U464" s="46">
        <f t="shared" si="235"/>
        <v>359970.28659900004</v>
      </c>
      <c r="V464" s="46">
        <f t="shared" si="236"/>
        <v>350535.3076995</v>
      </c>
      <c r="W464" s="47">
        <f t="shared" ref="W464:W476" si="237">IF(F464=F465,(V464+V465)/2,IF(F464=F463,(V464+V463)/2,IF(F464&lt;&gt;F463,V464)))</f>
        <v>350535.3076995</v>
      </c>
      <c r="X464" s="47"/>
      <c r="Y464" s="48">
        <f t="shared" si="230"/>
        <v>279700.36825499998</v>
      </c>
      <c r="Z464" s="48">
        <f t="shared" si="231"/>
        <v>309155.59943099995</v>
      </c>
      <c r="AA464" s="48">
        <f t="shared" si="232"/>
        <v>350535.3076995</v>
      </c>
      <c r="AB464" s="48">
        <f t="shared" si="233"/>
        <v>379773.92436900001</v>
      </c>
      <c r="AC464" s="48">
        <f t="shared" si="234"/>
        <v>409420.87202100002</v>
      </c>
      <c r="AD464" s="1"/>
      <c r="AE464" s="1"/>
      <c r="AF464" s="1"/>
      <c r="AI464" s="9"/>
      <c r="AJ464" s="1"/>
      <c r="AK464" s="1"/>
      <c r="AL464" s="1"/>
      <c r="AM464" s="1"/>
      <c r="AN464" s="1"/>
      <c r="AO464" s="1"/>
      <c r="AP464" s="9"/>
      <c r="AQ464" s="3"/>
      <c r="AR464" s="4"/>
      <c r="AS464" s="1"/>
      <c r="AT464" s="1"/>
      <c r="AU464" s="1"/>
      <c r="AV464" s="1"/>
      <c r="AW464" s="1"/>
      <c r="AX464" s="3"/>
      <c r="AY464" s="3"/>
      <c r="AZ464" s="5"/>
      <c r="BA464" s="5"/>
      <c r="BB464" s="5"/>
      <c r="BC464" s="5"/>
      <c r="BD464" s="6"/>
      <c r="BE464" s="6"/>
      <c r="BF464" s="12"/>
      <c r="BG464" s="12"/>
      <c r="BH464" s="12"/>
      <c r="BI464" s="12"/>
      <c r="BJ464" s="12"/>
    </row>
    <row r="465" spans="2:62" x14ac:dyDescent="0.25">
      <c r="B465" s="1" t="s">
        <v>316</v>
      </c>
      <c r="C465" s="1" t="s">
        <v>398</v>
      </c>
      <c r="D465" s="1" t="s">
        <v>1190</v>
      </c>
      <c r="E465" s="1" t="s">
        <v>399</v>
      </c>
      <c r="F465" s="1" t="s">
        <v>400</v>
      </c>
      <c r="G465" s="1" t="s">
        <v>1190</v>
      </c>
      <c r="H465" s="1" t="s">
        <v>1190</v>
      </c>
      <c r="I465" s="7" t="s">
        <v>322</v>
      </c>
      <c r="J465" s="44">
        <v>1</v>
      </c>
      <c r="K465" s="45">
        <v>1</v>
      </c>
      <c r="L465" s="1" t="s">
        <v>353</v>
      </c>
      <c r="M465" s="1" t="s">
        <v>354</v>
      </c>
      <c r="N465" s="1" t="s">
        <v>1140</v>
      </c>
      <c r="O465" s="1" t="s">
        <v>1189</v>
      </c>
      <c r="P465" s="1" t="s">
        <v>1190</v>
      </c>
      <c r="Q465" s="44">
        <f>IF(L465="860",Multipliers!C184,"oops")</f>
        <v>0.88</v>
      </c>
      <c r="R465" s="44">
        <f>IF(M465="Flagstaff",Multipliers!C8, "GOOF")</f>
        <v>0.98</v>
      </c>
      <c r="S465" s="46">
        <f t="shared" si="227"/>
        <v>357343.20160000003</v>
      </c>
      <c r="T465" s="46">
        <f t="shared" si="228"/>
        <v>383155.07860000001</v>
      </c>
      <c r="U465" s="46">
        <f t="shared" si="235"/>
        <v>379323.52781400003</v>
      </c>
      <c r="V465" s="46">
        <f t="shared" si="236"/>
        <v>368333.36470700003</v>
      </c>
      <c r="W465" s="47">
        <f t="shared" si="237"/>
        <v>368333.36470700003</v>
      </c>
      <c r="X465" s="47"/>
      <c r="Y465" s="48">
        <f t="shared" si="230"/>
        <v>293873.00942999998</v>
      </c>
      <c r="Z465" s="48">
        <f t="shared" si="231"/>
        <v>324834.55296599999</v>
      </c>
      <c r="AA465" s="48">
        <f t="shared" si="232"/>
        <v>368333.36470700009</v>
      </c>
      <c r="AB465" s="48">
        <f t="shared" si="233"/>
        <v>399067.73383400001</v>
      </c>
      <c r="AC465" s="48">
        <f t="shared" si="234"/>
        <v>430222.806706</v>
      </c>
      <c r="AD465" s="1"/>
      <c r="AE465" s="1"/>
      <c r="AF465" s="1"/>
      <c r="AI465" s="9"/>
      <c r="AJ465" s="1"/>
      <c r="AK465" s="1"/>
      <c r="AL465" s="1"/>
      <c r="AM465" s="1"/>
      <c r="AN465" s="1"/>
      <c r="AO465" s="1"/>
      <c r="AP465" s="9"/>
      <c r="AQ465" s="3"/>
      <c r="AR465" s="4"/>
      <c r="AS465" s="1"/>
      <c r="AT465" s="1"/>
      <c r="AU465" s="1"/>
      <c r="AV465" s="1"/>
      <c r="AW465" s="1"/>
      <c r="AX465" s="3"/>
      <c r="AY465" s="3"/>
      <c r="AZ465" s="5"/>
      <c r="BA465" s="5"/>
      <c r="BB465" s="5"/>
      <c r="BC465" s="5"/>
      <c r="BD465" s="6"/>
      <c r="BE465" s="6"/>
      <c r="BF465" s="12"/>
      <c r="BG465" s="12"/>
      <c r="BH465" s="12"/>
      <c r="BI465" s="12"/>
      <c r="BJ465" s="12"/>
    </row>
    <row r="466" spans="2:62" x14ac:dyDescent="0.25">
      <c r="B466" s="1" t="s">
        <v>316</v>
      </c>
      <c r="C466" s="1" t="s">
        <v>401</v>
      </c>
      <c r="D466" s="1" t="s">
        <v>1190</v>
      </c>
      <c r="E466" s="1" t="s">
        <v>402</v>
      </c>
      <c r="F466" s="1" t="s">
        <v>403</v>
      </c>
      <c r="G466" s="1" t="s">
        <v>404</v>
      </c>
      <c r="H466" s="1" t="s">
        <v>405</v>
      </c>
      <c r="I466" s="7" t="s">
        <v>322</v>
      </c>
      <c r="J466" s="44">
        <v>1</v>
      </c>
      <c r="K466" s="45">
        <v>1</v>
      </c>
      <c r="L466" s="1" t="s">
        <v>349</v>
      </c>
      <c r="M466" s="1" t="s">
        <v>324</v>
      </c>
      <c r="N466" s="1" t="s">
        <v>1140</v>
      </c>
      <c r="O466" s="1" t="s">
        <v>1189</v>
      </c>
      <c r="P466" s="1" t="s">
        <v>1190</v>
      </c>
      <c r="Q466" s="44">
        <f>IF(L466="850",Multipliers!C179,"oops")</f>
        <v>0.87</v>
      </c>
      <c r="R466" s="44">
        <f>IF(M466="Phoenix",Multipliers!C9, "GOOF")</f>
        <v>0.93</v>
      </c>
      <c r="S466" s="46">
        <f t="shared" si="227"/>
        <v>353282.48340000008</v>
      </c>
      <c r="T466" s="46">
        <f t="shared" si="228"/>
        <v>363606.35010000004</v>
      </c>
      <c r="U466" s="46">
        <f t="shared" si="235"/>
        <v>359970.28659900004</v>
      </c>
      <c r="V466" s="46">
        <f t="shared" si="236"/>
        <v>356626.38499950006</v>
      </c>
      <c r="W466" s="47">
        <f t="shared" si="237"/>
        <v>356626.38499950006</v>
      </c>
      <c r="X466" s="47"/>
      <c r="Y466" s="48">
        <f t="shared" si="230"/>
        <v>284728.25650500006</v>
      </c>
      <c r="Z466" s="48">
        <f t="shared" si="231"/>
        <v>314632.80683099997</v>
      </c>
      <c r="AA466" s="48">
        <f t="shared" si="232"/>
        <v>356626.38499950006</v>
      </c>
      <c r="AB466" s="48">
        <f t="shared" si="233"/>
        <v>386308.00821900007</v>
      </c>
      <c r="AC466" s="48">
        <f t="shared" si="234"/>
        <v>416453.64917100006</v>
      </c>
      <c r="AD466" s="1"/>
      <c r="AE466" s="1"/>
      <c r="AF466" s="1"/>
      <c r="AI466" s="9"/>
      <c r="AJ466" s="1"/>
      <c r="AK466" s="1"/>
      <c r="AL466" s="1"/>
      <c r="AM466" s="1"/>
      <c r="AN466" s="1"/>
      <c r="AO466" s="1"/>
      <c r="AP466" s="9"/>
      <c r="AQ466" s="3"/>
      <c r="AR466" s="4"/>
      <c r="AS466" s="1"/>
      <c r="AT466" s="1"/>
      <c r="AU466" s="1"/>
      <c r="AV466" s="1"/>
      <c r="AW466" s="1"/>
      <c r="AX466" s="3"/>
      <c r="AY466" s="3"/>
      <c r="AZ466" s="5"/>
      <c r="BA466" s="5"/>
      <c r="BB466" s="5"/>
      <c r="BC466" s="5"/>
      <c r="BD466" s="6"/>
      <c r="BE466" s="6"/>
      <c r="BF466" s="12"/>
      <c r="BG466" s="12"/>
      <c r="BH466" s="12"/>
      <c r="BI466" s="12"/>
      <c r="BJ466" s="12"/>
    </row>
    <row r="467" spans="2:62" x14ac:dyDescent="0.25">
      <c r="B467" s="1" t="s">
        <v>316</v>
      </c>
      <c r="C467" s="1" t="s">
        <v>406</v>
      </c>
      <c r="D467" s="1" t="s">
        <v>1190</v>
      </c>
      <c r="E467" s="1" t="s">
        <v>407</v>
      </c>
      <c r="F467" s="1" t="s">
        <v>408</v>
      </c>
      <c r="G467" s="1" t="s">
        <v>409</v>
      </c>
      <c r="H467" s="1" t="s">
        <v>410</v>
      </c>
      <c r="I467" s="7" t="s">
        <v>322</v>
      </c>
      <c r="J467" s="44">
        <v>1</v>
      </c>
      <c r="K467" s="45">
        <v>1</v>
      </c>
      <c r="L467" s="1" t="s">
        <v>411</v>
      </c>
      <c r="M467" s="1" t="s">
        <v>324</v>
      </c>
      <c r="N467" s="1" t="s">
        <v>1140</v>
      </c>
      <c r="O467" s="1" t="s">
        <v>1189</v>
      </c>
      <c r="P467" s="1" t="s">
        <v>1190</v>
      </c>
      <c r="Q467" s="44">
        <f>IF(L467="865",Multipliers!C187,"oops")</f>
        <v>0.87</v>
      </c>
      <c r="R467" s="44">
        <f>IF(M467="Phoenix",Multipliers!C9, "GOOF")</f>
        <v>0.93</v>
      </c>
      <c r="S467" s="46">
        <f t="shared" si="227"/>
        <v>353282.48340000008</v>
      </c>
      <c r="T467" s="46">
        <f t="shared" si="228"/>
        <v>363606.35010000004</v>
      </c>
      <c r="U467" s="46">
        <f t="shared" si="235"/>
        <v>359970.28659900004</v>
      </c>
      <c r="V467" s="46">
        <f t="shared" si="236"/>
        <v>356626.38499950006</v>
      </c>
      <c r="W467" s="47">
        <f t="shared" si="237"/>
        <v>356626.38499950006</v>
      </c>
      <c r="X467" s="47"/>
      <c r="Y467" s="48">
        <f t="shared" si="230"/>
        <v>284728.25650500006</v>
      </c>
      <c r="Z467" s="48">
        <f t="shared" si="231"/>
        <v>314632.80683099997</v>
      </c>
      <c r="AA467" s="48">
        <f t="shared" si="232"/>
        <v>356626.38499950006</v>
      </c>
      <c r="AB467" s="48">
        <f t="shared" si="233"/>
        <v>386308.00821900007</v>
      </c>
      <c r="AC467" s="48">
        <f t="shared" si="234"/>
        <v>416453.64917100006</v>
      </c>
      <c r="AD467" s="1"/>
      <c r="AE467" s="1"/>
      <c r="AF467" s="1"/>
      <c r="AI467" s="9"/>
      <c r="AJ467" s="1"/>
      <c r="AK467" s="1"/>
      <c r="AL467" s="1"/>
      <c r="AM467" s="1"/>
      <c r="AN467" s="1"/>
      <c r="AO467" s="1"/>
      <c r="AP467" s="9"/>
      <c r="AQ467" s="3"/>
      <c r="AR467" s="4"/>
      <c r="AS467" s="1"/>
      <c r="AT467" s="1"/>
      <c r="AU467" s="1"/>
      <c r="AV467" s="1"/>
      <c r="AW467" s="1"/>
      <c r="AX467" s="3"/>
      <c r="AY467" s="3"/>
      <c r="AZ467" s="5"/>
      <c r="BA467" s="5"/>
      <c r="BB467" s="5"/>
      <c r="BC467" s="5"/>
      <c r="BD467" s="6"/>
      <c r="BE467" s="6"/>
      <c r="BF467" s="12"/>
      <c r="BG467" s="12"/>
      <c r="BH467" s="12"/>
      <c r="BI467" s="12"/>
      <c r="BJ467" s="12"/>
    </row>
    <row r="468" spans="2:62" ht="12.75" customHeight="1" x14ac:dyDescent="0.25">
      <c r="B468" s="1" t="s">
        <v>316</v>
      </c>
      <c r="C468" s="1" t="s">
        <v>413</v>
      </c>
      <c r="D468" s="1" t="s">
        <v>1190</v>
      </c>
      <c r="E468" s="1" t="s">
        <v>414</v>
      </c>
      <c r="F468" s="1" t="s">
        <v>415</v>
      </c>
      <c r="G468" s="1" t="s">
        <v>416</v>
      </c>
      <c r="H468" s="1" t="s">
        <v>417</v>
      </c>
      <c r="I468" s="7" t="s">
        <v>322</v>
      </c>
      <c r="J468" s="44">
        <v>1</v>
      </c>
      <c r="K468" s="45">
        <v>1</v>
      </c>
      <c r="L468" s="1" t="s">
        <v>365</v>
      </c>
      <c r="M468" s="1" t="s">
        <v>366</v>
      </c>
      <c r="N468" s="1" t="s">
        <v>1140</v>
      </c>
      <c r="O468" s="1" t="s">
        <v>1189</v>
      </c>
      <c r="P468" s="1" t="s">
        <v>1190</v>
      </c>
      <c r="Q468" s="44">
        <f>IF(L468="863",Multipliers!C185,"oops")</f>
        <v>0.87</v>
      </c>
      <c r="R468" s="44">
        <f>IF(M468="Prescott",Multipliers!C10, "GOOF")</f>
        <v>0.99</v>
      </c>
      <c r="S468" s="46">
        <f t="shared" si="227"/>
        <v>353282.48340000008</v>
      </c>
      <c r="T468" s="46">
        <f t="shared" si="228"/>
        <v>387064.82429999998</v>
      </c>
      <c r="U468" s="46">
        <f t="shared" si="235"/>
        <v>383194.176057</v>
      </c>
      <c r="V468" s="46">
        <f t="shared" si="236"/>
        <v>368238.32972850004</v>
      </c>
      <c r="W468" s="47">
        <f t="shared" si="237"/>
        <v>368238.32972850004</v>
      </c>
      <c r="X468" s="47"/>
      <c r="Y468" s="48">
        <f t="shared" si="230"/>
        <v>293690.80471499998</v>
      </c>
      <c r="Z468" s="48">
        <f t="shared" si="231"/>
        <v>324684.019233</v>
      </c>
      <c r="AA468" s="48">
        <f t="shared" si="232"/>
        <v>368238.32972850004</v>
      </c>
      <c r="AB468" s="48">
        <f t="shared" si="233"/>
        <v>399006.04541700002</v>
      </c>
      <c r="AC468" s="48">
        <f t="shared" si="234"/>
        <v>430163.52735299995</v>
      </c>
      <c r="AD468" s="1"/>
      <c r="AE468" s="1"/>
      <c r="AF468" s="1"/>
      <c r="AI468" s="9"/>
      <c r="AJ468" s="1"/>
      <c r="AK468" s="1"/>
      <c r="AL468" s="1"/>
      <c r="AM468" s="1"/>
      <c r="AN468" s="1"/>
      <c r="AO468" s="1"/>
      <c r="AP468" s="9"/>
      <c r="AQ468" s="3"/>
      <c r="AR468" s="4"/>
      <c r="AS468" s="1"/>
      <c r="AT468" s="1"/>
      <c r="AU468" s="1"/>
      <c r="AV468" s="1"/>
      <c r="AW468" s="1"/>
      <c r="AX468" s="3"/>
      <c r="AY468" s="3"/>
      <c r="AZ468" s="5"/>
      <c r="BA468" s="5"/>
      <c r="BB468" s="5"/>
      <c r="BC468" s="5"/>
      <c r="BD468" s="6"/>
      <c r="BE468" s="6"/>
      <c r="BF468" s="12"/>
      <c r="BG468" s="12"/>
      <c r="BH468" s="12"/>
      <c r="BI468" s="12"/>
      <c r="BJ468" s="12"/>
    </row>
    <row r="469" spans="2:62" x14ac:dyDescent="0.25">
      <c r="B469" s="1" t="s">
        <v>316</v>
      </c>
      <c r="C469" s="1" t="s">
        <v>418</v>
      </c>
      <c r="D469" s="1" t="s">
        <v>1190</v>
      </c>
      <c r="E469" s="1" t="s">
        <v>419</v>
      </c>
      <c r="F469" s="1" t="s">
        <v>420</v>
      </c>
      <c r="G469" s="1" t="s">
        <v>1190</v>
      </c>
      <c r="H469" s="1" t="s">
        <v>1190</v>
      </c>
      <c r="I469" s="7" t="s">
        <v>322</v>
      </c>
      <c r="J469" s="44">
        <v>1</v>
      </c>
      <c r="K469" s="45">
        <v>1</v>
      </c>
      <c r="L469" s="1" t="s">
        <v>365</v>
      </c>
      <c r="M469" s="1" t="s">
        <v>366</v>
      </c>
      <c r="N469" s="1" t="s">
        <v>1140</v>
      </c>
      <c r="O469" s="1" t="s">
        <v>1189</v>
      </c>
      <c r="P469" s="1" t="s">
        <v>1190</v>
      </c>
      <c r="Q469" s="44">
        <f>IF(L469="863",Multipliers!C185,"oops")</f>
        <v>0.87</v>
      </c>
      <c r="R469" s="44">
        <f>IF(M469="Prescott",Multipliers!C10, "GOOF")</f>
        <v>0.99</v>
      </c>
      <c r="S469" s="46">
        <f t="shared" si="227"/>
        <v>353282.48340000008</v>
      </c>
      <c r="T469" s="46">
        <f t="shared" si="228"/>
        <v>387064.82429999998</v>
      </c>
      <c r="U469" s="46">
        <f t="shared" si="235"/>
        <v>383194.176057</v>
      </c>
      <c r="V469" s="46">
        <f t="shared" si="236"/>
        <v>368238.32972850004</v>
      </c>
      <c r="W469" s="47">
        <f t="shared" si="237"/>
        <v>368238.32972850004</v>
      </c>
      <c r="X469" s="47"/>
      <c r="Y469" s="48">
        <f t="shared" si="230"/>
        <v>293690.80471499998</v>
      </c>
      <c r="Z469" s="48">
        <f t="shared" si="231"/>
        <v>324684.019233</v>
      </c>
      <c r="AA469" s="48">
        <f t="shared" si="232"/>
        <v>368238.32972850004</v>
      </c>
      <c r="AB469" s="48">
        <f t="shared" si="233"/>
        <v>399006.04541700002</v>
      </c>
      <c r="AC469" s="48">
        <f t="shared" si="234"/>
        <v>430163.52735299995</v>
      </c>
      <c r="AD469" s="1"/>
      <c r="AE469" s="1"/>
      <c r="AF469" s="1"/>
      <c r="AI469" s="9"/>
      <c r="AJ469" s="1"/>
      <c r="AK469" s="1"/>
      <c r="AL469" s="1"/>
      <c r="AM469" s="1"/>
      <c r="AN469" s="1"/>
      <c r="AO469" s="1"/>
      <c r="AP469" s="9"/>
      <c r="AQ469" s="3"/>
      <c r="AR469" s="4"/>
      <c r="AS469" s="1"/>
      <c r="AT469" s="1"/>
      <c r="AU469" s="1"/>
      <c r="AV469" s="1"/>
      <c r="AW469" s="1"/>
      <c r="AX469" s="3"/>
      <c r="AY469" s="3"/>
      <c r="AZ469" s="5"/>
      <c r="BA469" s="5"/>
      <c r="BB469" s="5"/>
      <c r="BC469" s="5"/>
      <c r="BD469" s="6"/>
      <c r="BE469" s="6"/>
      <c r="BF469" s="12"/>
      <c r="BG469" s="12"/>
      <c r="BH469" s="12"/>
      <c r="BI469" s="12"/>
      <c r="BJ469" s="12"/>
    </row>
    <row r="470" spans="2:62" x14ac:dyDescent="0.25">
      <c r="B470" s="1" t="s">
        <v>421</v>
      </c>
      <c r="C470" s="1" t="s">
        <v>422</v>
      </c>
      <c r="D470" s="1" t="s">
        <v>1190</v>
      </c>
      <c r="E470" s="1" t="s">
        <v>423</v>
      </c>
      <c r="F470" s="1" t="s">
        <v>424</v>
      </c>
      <c r="G470" s="1" t="s">
        <v>1190</v>
      </c>
      <c r="H470" s="1" t="s">
        <v>1190</v>
      </c>
      <c r="I470" s="7" t="s">
        <v>322</v>
      </c>
      <c r="J470" s="44">
        <v>1</v>
      </c>
      <c r="K470" s="45">
        <v>1</v>
      </c>
      <c r="L470" s="1" t="s">
        <v>425</v>
      </c>
      <c r="M470" s="1" t="s">
        <v>426</v>
      </c>
      <c r="N470" s="1" t="s">
        <v>1139</v>
      </c>
      <c r="O470" s="1" t="s">
        <v>1189</v>
      </c>
      <c r="P470" s="1" t="s">
        <v>1190</v>
      </c>
      <c r="Q470" s="44">
        <f>IF(L470="925",Multipliers!C194,"oops")</f>
        <v>1.1399999999999999</v>
      </c>
      <c r="R470" s="44">
        <f>IF(M470="CALIFORNIA",Multipliers!C14, "GOOF")</f>
        <v>1.22</v>
      </c>
      <c r="S470" s="46">
        <f t="shared" si="227"/>
        <v>437104.89900000003</v>
      </c>
      <c r="T470" s="46">
        <f t="shared" si="228"/>
        <v>457472.94040000002</v>
      </c>
      <c r="U470" s="46">
        <f t="shared" si="235"/>
        <v>452898.21099600004</v>
      </c>
      <c r="V470" s="46">
        <f t="shared" si="236"/>
        <v>445001.55499800004</v>
      </c>
      <c r="W470" s="47">
        <f t="shared" si="237"/>
        <v>445001.55499800004</v>
      </c>
      <c r="X470" s="47"/>
      <c r="Y470" s="48">
        <f t="shared" si="230"/>
        <v>354008.25326999993</v>
      </c>
      <c r="Z470" s="48">
        <f t="shared" si="231"/>
        <v>392429.30987399997</v>
      </c>
      <c r="AA470" s="48">
        <f t="shared" si="232"/>
        <v>445001.55499800004</v>
      </c>
      <c r="AB470" s="48">
        <f t="shared" si="233"/>
        <v>480482.85717599996</v>
      </c>
      <c r="AC470" s="48">
        <f t="shared" si="234"/>
        <v>518121.54878399998</v>
      </c>
      <c r="AD470" s="1"/>
      <c r="AE470" s="1"/>
      <c r="AF470" s="1"/>
      <c r="AI470" s="9"/>
      <c r="AJ470" s="1"/>
      <c r="AK470" s="1"/>
      <c r="AL470" s="1"/>
      <c r="AM470" s="1"/>
      <c r="AN470" s="1"/>
      <c r="AO470" s="1"/>
      <c r="AP470" s="9"/>
      <c r="AQ470" s="3"/>
      <c r="AR470" s="4"/>
      <c r="AS470" s="1"/>
      <c r="AT470" s="1"/>
      <c r="AU470" s="1"/>
      <c r="AV470" s="1"/>
      <c r="AW470" s="1"/>
      <c r="AX470" s="3"/>
      <c r="AY470" s="3"/>
      <c r="AZ470" s="5"/>
      <c r="BA470" s="5"/>
      <c r="BB470" s="5"/>
      <c r="BC470" s="5"/>
      <c r="BD470" s="6"/>
      <c r="BE470" s="6"/>
      <c r="BF470" s="12"/>
      <c r="BG470" s="12"/>
      <c r="BH470" s="12"/>
      <c r="BI470" s="12"/>
      <c r="BJ470" s="12"/>
    </row>
    <row r="471" spans="2:62" x14ac:dyDescent="0.25">
      <c r="B471" s="1" t="s">
        <v>421</v>
      </c>
      <c r="C471" s="1" t="s">
        <v>427</v>
      </c>
      <c r="D471" s="1" t="s">
        <v>1190</v>
      </c>
      <c r="E471" s="1" t="s">
        <v>428</v>
      </c>
      <c r="F471" s="1" t="s">
        <v>429</v>
      </c>
      <c r="G471" s="1" t="s">
        <v>1190</v>
      </c>
      <c r="H471" s="1" t="s">
        <v>1190</v>
      </c>
      <c r="I471" s="7" t="s">
        <v>322</v>
      </c>
      <c r="J471" s="44">
        <v>1</v>
      </c>
      <c r="K471" s="45">
        <v>1</v>
      </c>
      <c r="L471" s="1" t="s">
        <v>430</v>
      </c>
      <c r="M471" s="1" t="s">
        <v>426</v>
      </c>
      <c r="N471" s="1" t="s">
        <v>1140</v>
      </c>
      <c r="O471" s="1" t="s">
        <v>1189</v>
      </c>
      <c r="P471" s="1" t="s">
        <v>1190</v>
      </c>
      <c r="Q471" s="44">
        <f>IF(L471="961",Multipliers!C208,"oops")</f>
        <v>1.24</v>
      </c>
      <c r="R471" s="44">
        <f>IF(M471="CALIFORNIA",Multipliers!C14, "GOOF")</f>
        <v>1.22</v>
      </c>
      <c r="S471" s="46">
        <f t="shared" si="227"/>
        <v>503529.05680000008</v>
      </c>
      <c r="T471" s="46">
        <f t="shared" si="228"/>
        <v>476988.9754</v>
      </c>
      <c r="U471" s="46">
        <f t="shared" si="235"/>
        <v>472219.08564599999</v>
      </c>
      <c r="V471" s="46">
        <f t="shared" si="236"/>
        <v>487874.07122300006</v>
      </c>
      <c r="W471" s="47">
        <f t="shared" si="237"/>
        <v>487874.07122300006</v>
      </c>
      <c r="X471" s="47"/>
      <c r="Y471" s="48">
        <f t="shared" si="230"/>
        <v>390057.86126999999</v>
      </c>
      <c r="Z471" s="48">
        <f t="shared" si="231"/>
        <v>430765.891374</v>
      </c>
      <c r="AA471" s="48">
        <f t="shared" si="232"/>
        <v>487874.07122300001</v>
      </c>
      <c r="AB471" s="48">
        <f t="shared" si="233"/>
        <v>528268.88882599992</v>
      </c>
      <c r="AC471" s="48">
        <f t="shared" si="234"/>
        <v>569455.64523400005</v>
      </c>
      <c r="AD471" s="1"/>
      <c r="AE471" s="1"/>
      <c r="AF471" s="1"/>
      <c r="AI471" s="9"/>
      <c r="AJ471" s="1"/>
      <c r="AK471" s="1"/>
      <c r="AL471" s="1"/>
      <c r="AM471" s="1"/>
      <c r="AN471" s="1"/>
      <c r="AO471" s="1"/>
      <c r="AP471" s="9"/>
      <c r="AQ471" s="3"/>
      <c r="AR471" s="4"/>
      <c r="AS471" s="1"/>
      <c r="AT471" s="1"/>
      <c r="AU471" s="1"/>
      <c r="AV471" s="1"/>
      <c r="AW471" s="1"/>
      <c r="AX471" s="3"/>
      <c r="AY471" s="3"/>
      <c r="AZ471" s="5"/>
      <c r="BA471" s="5"/>
      <c r="BB471" s="5"/>
      <c r="BC471" s="5"/>
      <c r="BD471" s="6"/>
      <c r="BE471" s="6"/>
      <c r="BF471" s="12"/>
      <c r="BG471" s="12"/>
      <c r="BH471" s="12"/>
      <c r="BI471" s="12"/>
      <c r="BJ471" s="12"/>
    </row>
    <row r="472" spans="2:62" x14ac:dyDescent="0.25">
      <c r="B472" s="1" t="s">
        <v>421</v>
      </c>
      <c r="C472" s="1" t="s">
        <v>431</v>
      </c>
      <c r="D472" s="1" t="s">
        <v>1190</v>
      </c>
      <c r="E472" s="1" t="s">
        <v>432</v>
      </c>
      <c r="F472" s="1" t="s">
        <v>433</v>
      </c>
      <c r="G472" s="1" t="s">
        <v>1190</v>
      </c>
      <c r="H472" s="1" t="s">
        <v>1190</v>
      </c>
      <c r="I472" s="7" t="s">
        <v>322</v>
      </c>
      <c r="J472" s="44">
        <v>1</v>
      </c>
      <c r="K472" s="45">
        <v>1</v>
      </c>
      <c r="L472" s="1" t="s">
        <v>434</v>
      </c>
      <c r="M472" s="1" t="s">
        <v>426</v>
      </c>
      <c r="N472" s="1" t="s">
        <v>1140</v>
      </c>
      <c r="O472" s="1" t="s">
        <v>1189</v>
      </c>
      <c r="P472" s="1" t="s">
        <v>1190</v>
      </c>
      <c r="Q472" s="44">
        <f>IF(L472="956",Multipliers!C205,"oops")</f>
        <v>1.24</v>
      </c>
      <c r="R472" s="44">
        <f>IF(M472="CALIFORNIA",Multipliers!C14, "GOOF")</f>
        <v>1.22</v>
      </c>
      <c r="S472" s="46">
        <f t="shared" si="227"/>
        <v>503529.05680000008</v>
      </c>
      <c r="T472" s="46">
        <f t="shared" si="228"/>
        <v>476988.9754</v>
      </c>
      <c r="U472" s="46">
        <f t="shared" si="235"/>
        <v>472219.08564599999</v>
      </c>
      <c r="V472" s="46">
        <f t="shared" si="236"/>
        <v>487874.07122300006</v>
      </c>
      <c r="W472" s="47">
        <f t="shared" si="237"/>
        <v>487874.07122300006</v>
      </c>
      <c r="X472" s="47"/>
      <c r="Y472" s="48">
        <f t="shared" si="230"/>
        <v>390057.86126999999</v>
      </c>
      <c r="Z472" s="48">
        <f t="shared" si="231"/>
        <v>430765.891374</v>
      </c>
      <c r="AA472" s="48">
        <f t="shared" si="232"/>
        <v>487874.07122300001</v>
      </c>
      <c r="AB472" s="48">
        <f t="shared" si="233"/>
        <v>528268.88882599992</v>
      </c>
      <c r="AC472" s="48">
        <f t="shared" si="234"/>
        <v>569455.64523400005</v>
      </c>
      <c r="AD472" s="1"/>
      <c r="AE472" s="1"/>
      <c r="AF472" s="1"/>
      <c r="AI472" s="9"/>
      <c r="AJ472" s="1"/>
      <c r="AK472" s="1"/>
      <c r="AL472" s="1"/>
      <c r="AM472" s="1"/>
      <c r="AN472" s="1"/>
      <c r="AO472" s="1"/>
      <c r="AP472" s="9"/>
      <c r="AQ472" s="3"/>
      <c r="AR472" s="4"/>
      <c r="AS472" s="1"/>
      <c r="AT472" s="1"/>
      <c r="AU472" s="1"/>
      <c r="AV472" s="1"/>
      <c r="AW472" s="1"/>
      <c r="AX472" s="3"/>
      <c r="AY472" s="3"/>
      <c r="AZ472" s="5"/>
      <c r="BA472" s="5"/>
      <c r="BB472" s="5"/>
      <c r="BC472" s="5"/>
      <c r="BD472" s="6"/>
      <c r="BE472" s="6"/>
      <c r="BF472" s="12"/>
      <c r="BG472" s="12"/>
      <c r="BH472" s="12"/>
      <c r="BI472" s="12"/>
      <c r="BJ472" s="12"/>
    </row>
    <row r="473" spans="2:62" x14ac:dyDescent="0.25">
      <c r="B473" s="1" t="s">
        <v>421</v>
      </c>
      <c r="C473" s="1" t="s">
        <v>435</v>
      </c>
      <c r="D473" s="1" t="s">
        <v>1190</v>
      </c>
      <c r="E473" s="1" t="s">
        <v>436</v>
      </c>
      <c r="F473" s="1" t="s">
        <v>437</v>
      </c>
      <c r="G473" s="1" t="s">
        <v>1190</v>
      </c>
      <c r="H473" s="1" t="s">
        <v>1190</v>
      </c>
      <c r="I473" s="7" t="s">
        <v>322</v>
      </c>
      <c r="J473" s="44">
        <v>1</v>
      </c>
      <c r="K473" s="45">
        <v>1</v>
      </c>
      <c r="L473" s="1" t="s">
        <v>425</v>
      </c>
      <c r="M473" s="1" t="s">
        <v>426</v>
      </c>
      <c r="N473" s="1" t="s">
        <v>1139</v>
      </c>
      <c r="O473" s="1" t="s">
        <v>1189</v>
      </c>
      <c r="P473" s="1" t="s">
        <v>1190</v>
      </c>
      <c r="Q473" s="44">
        <f>IF(L473="925",Multipliers!C194,"oops")</f>
        <v>1.1399999999999999</v>
      </c>
      <c r="R473" s="44">
        <f>IF(M473="CALIFORNIA",Multipliers!C14, "GOOF")</f>
        <v>1.22</v>
      </c>
      <c r="S473" s="46">
        <f t="shared" si="227"/>
        <v>437104.89900000003</v>
      </c>
      <c r="T473" s="46">
        <f t="shared" si="228"/>
        <v>457472.94040000002</v>
      </c>
      <c r="U473" s="46">
        <f t="shared" si="235"/>
        <v>452898.21099600004</v>
      </c>
      <c r="V473" s="46">
        <f t="shared" si="236"/>
        <v>445001.55499800004</v>
      </c>
      <c r="W473" s="47">
        <f t="shared" si="237"/>
        <v>445001.55499800004</v>
      </c>
      <c r="X473" s="47"/>
      <c r="Y473" s="48">
        <f t="shared" si="230"/>
        <v>354008.25326999993</v>
      </c>
      <c r="Z473" s="48">
        <f t="shared" si="231"/>
        <v>392429.30987399997</v>
      </c>
      <c r="AA473" s="48">
        <f t="shared" si="232"/>
        <v>445001.55499800004</v>
      </c>
      <c r="AB473" s="48">
        <f t="shared" si="233"/>
        <v>480482.85717599996</v>
      </c>
      <c r="AC473" s="48">
        <f t="shared" si="234"/>
        <v>518121.54878399998</v>
      </c>
      <c r="AD473" s="1"/>
      <c r="AE473" s="1"/>
      <c r="AF473" s="1"/>
      <c r="AI473" s="9"/>
      <c r="AJ473" s="1"/>
      <c r="AK473" s="1"/>
      <c r="AL473" s="1"/>
      <c r="AM473" s="1"/>
      <c r="AN473" s="1"/>
      <c r="AO473" s="1"/>
      <c r="AP473" s="9"/>
      <c r="AQ473" s="3"/>
      <c r="AR473" s="4"/>
      <c r="AS473" s="1"/>
      <c r="AT473" s="1"/>
      <c r="AU473" s="1"/>
      <c r="AV473" s="1"/>
      <c r="AW473" s="1"/>
      <c r="AX473" s="3"/>
      <c r="AY473" s="3"/>
      <c r="AZ473" s="5"/>
      <c r="BA473" s="5"/>
      <c r="BB473" s="5"/>
      <c r="BC473" s="5"/>
      <c r="BD473" s="6"/>
      <c r="BE473" s="6"/>
      <c r="BF473" s="12"/>
      <c r="BG473" s="12"/>
      <c r="BH473" s="12"/>
      <c r="BI473" s="12"/>
      <c r="BJ473" s="12"/>
    </row>
    <row r="474" spans="2:62" x14ac:dyDescent="0.25">
      <c r="B474" s="1" t="s">
        <v>421</v>
      </c>
      <c r="C474" s="1" t="s">
        <v>438</v>
      </c>
      <c r="D474" s="1" t="s">
        <v>1190</v>
      </c>
      <c r="E474" s="1" t="s">
        <v>439</v>
      </c>
      <c r="F474" s="1" t="s">
        <v>440</v>
      </c>
      <c r="G474" s="1" t="s">
        <v>441</v>
      </c>
      <c r="H474" s="1" t="s">
        <v>442</v>
      </c>
      <c r="I474" s="7" t="s">
        <v>322</v>
      </c>
      <c r="J474" s="44">
        <v>1</v>
      </c>
      <c r="K474" s="45">
        <v>1</v>
      </c>
      <c r="L474" s="7" t="s">
        <v>443</v>
      </c>
      <c r="M474" s="1" t="s">
        <v>444</v>
      </c>
      <c r="N474" s="1" t="s">
        <v>1139</v>
      </c>
      <c r="O474" s="1" t="s">
        <v>1189</v>
      </c>
      <c r="P474" s="1" t="s">
        <v>1190</v>
      </c>
      <c r="Q474" s="44">
        <f>IF(L474="921",Multipliers!C191,"oops")</f>
        <v>1.1000000000000001</v>
      </c>
      <c r="R474" s="44">
        <f>IF(M474="San Diego",Multipliers!C22, "GOOF")</f>
        <v>1.17</v>
      </c>
      <c r="S474" s="46">
        <f t="shared" si="227"/>
        <v>421767.88500000013</v>
      </c>
      <c r="T474" s="46">
        <f t="shared" si="228"/>
        <v>438724.04939999996</v>
      </c>
      <c r="U474" s="46">
        <f t="shared" si="235"/>
        <v>434336.80890599993</v>
      </c>
      <c r="V474" s="46">
        <f t="shared" si="236"/>
        <v>428052.34695300006</v>
      </c>
      <c r="W474" s="47">
        <f t="shared" si="237"/>
        <v>428052.34695300006</v>
      </c>
      <c r="X474" s="47"/>
      <c r="Y474" s="48">
        <f t="shared" si="230"/>
        <v>340558.31309499999</v>
      </c>
      <c r="Z474" s="48">
        <f t="shared" si="231"/>
        <v>377504.28923900001</v>
      </c>
      <c r="AA474" s="48">
        <f t="shared" si="232"/>
        <v>428052.34695300006</v>
      </c>
      <c r="AB474" s="48">
        <f t="shared" si="233"/>
        <v>462168.18863599998</v>
      </c>
      <c r="AC474" s="48">
        <f t="shared" si="234"/>
        <v>498370.60442400002</v>
      </c>
      <c r="AD474" s="1"/>
      <c r="AE474" s="1"/>
      <c r="AF474" s="1"/>
      <c r="AI474" s="9"/>
      <c r="AJ474" s="1"/>
      <c r="AK474" s="1"/>
      <c r="AL474" s="1"/>
      <c r="AM474" s="1"/>
      <c r="AN474" s="1"/>
      <c r="AO474" s="1"/>
      <c r="AP474" s="9"/>
      <c r="AQ474" s="3"/>
      <c r="AR474" s="4"/>
      <c r="AS474" s="1"/>
      <c r="AT474" s="1"/>
      <c r="AU474" s="1"/>
      <c r="AV474" s="1"/>
      <c r="AW474" s="1"/>
      <c r="AX474" s="3"/>
      <c r="AY474" s="3"/>
      <c r="AZ474" s="5"/>
      <c r="BA474" s="5"/>
      <c r="BB474" s="5"/>
      <c r="BC474" s="5"/>
      <c r="BD474" s="6"/>
      <c r="BE474" s="6"/>
      <c r="BF474" s="12"/>
      <c r="BG474" s="12"/>
      <c r="BH474" s="12"/>
      <c r="BI474" s="12"/>
      <c r="BJ474" s="12"/>
    </row>
    <row r="475" spans="2:62" x14ac:dyDescent="0.25">
      <c r="B475" s="1" t="s">
        <v>421</v>
      </c>
      <c r="C475" s="1" t="s">
        <v>445</v>
      </c>
      <c r="D475" s="1" t="s">
        <v>1190</v>
      </c>
      <c r="E475" s="1" t="s">
        <v>446</v>
      </c>
      <c r="F475" s="1" t="s">
        <v>447</v>
      </c>
      <c r="G475" s="1" t="s">
        <v>448</v>
      </c>
      <c r="H475" s="1" t="s">
        <v>449</v>
      </c>
      <c r="I475" s="7" t="s">
        <v>322</v>
      </c>
      <c r="J475" s="44">
        <v>1</v>
      </c>
      <c r="K475" s="45">
        <v>1</v>
      </c>
      <c r="L475" s="1" t="s">
        <v>450</v>
      </c>
      <c r="M475" s="1" t="s">
        <v>426</v>
      </c>
      <c r="N475" s="1" t="s">
        <v>1140</v>
      </c>
      <c r="O475" s="1" t="s">
        <v>1189</v>
      </c>
      <c r="P475" s="1" t="s">
        <v>1190</v>
      </c>
      <c r="Q475" s="44">
        <f>IF(L475="959",Multipliers!C206,"oops")</f>
        <v>1.2</v>
      </c>
      <c r="R475" s="44">
        <f>IF(M475="CALIFORNIA",Multipliers!C14, "GOOF")</f>
        <v>1.22</v>
      </c>
      <c r="S475" s="46">
        <f t="shared" si="227"/>
        <v>487286.18400000001</v>
      </c>
      <c r="T475" s="46">
        <f t="shared" si="228"/>
        <v>476988.9754</v>
      </c>
      <c r="U475" s="46">
        <f t="shared" si="235"/>
        <v>472219.08564599999</v>
      </c>
      <c r="V475" s="46">
        <f t="shared" si="236"/>
        <v>479752.634823</v>
      </c>
      <c r="W475" s="47">
        <f t="shared" si="237"/>
        <v>479752.634823</v>
      </c>
      <c r="X475" s="47"/>
      <c r="Y475" s="48">
        <f t="shared" si="230"/>
        <v>383354.01027000003</v>
      </c>
      <c r="Z475" s="48">
        <f t="shared" si="231"/>
        <v>423462.94817400002</v>
      </c>
      <c r="AA475" s="48">
        <f t="shared" si="232"/>
        <v>479752.63482300006</v>
      </c>
      <c r="AB475" s="48">
        <f t="shared" si="233"/>
        <v>519556.77702600003</v>
      </c>
      <c r="AC475" s="48">
        <f t="shared" si="234"/>
        <v>560078.60903400008</v>
      </c>
      <c r="AD475" s="1"/>
      <c r="AE475" s="1"/>
      <c r="AF475" s="1"/>
      <c r="AI475" s="9"/>
      <c r="AJ475" s="1"/>
      <c r="AK475" s="1"/>
      <c r="AL475" s="1"/>
      <c r="AM475" s="1"/>
      <c r="AN475" s="1"/>
      <c r="AO475" s="1"/>
      <c r="AP475" s="9"/>
      <c r="AQ475" s="3"/>
      <c r="AR475" s="4"/>
      <c r="AS475" s="1"/>
      <c r="AT475" s="1"/>
      <c r="AU475" s="1"/>
      <c r="AV475" s="1"/>
      <c r="AW475" s="1"/>
      <c r="AX475" s="3"/>
      <c r="AY475" s="3"/>
      <c r="AZ475" s="5"/>
      <c r="BA475" s="5"/>
      <c r="BB475" s="5"/>
      <c r="BC475" s="5"/>
      <c r="BD475" s="6"/>
      <c r="BE475" s="6"/>
      <c r="BF475" s="12"/>
      <c r="BG475" s="12"/>
      <c r="BH475" s="12"/>
      <c r="BI475" s="12"/>
      <c r="BJ475" s="12"/>
    </row>
    <row r="476" spans="2:62" x14ac:dyDescent="0.25">
      <c r="B476" s="1" t="s">
        <v>421</v>
      </c>
      <c r="C476" s="1" t="s">
        <v>451</v>
      </c>
      <c r="D476" s="1" t="s">
        <v>1190</v>
      </c>
      <c r="E476" s="1" t="s">
        <v>452</v>
      </c>
      <c r="F476" s="1" t="s">
        <v>453</v>
      </c>
      <c r="G476" s="1" t="s">
        <v>1190</v>
      </c>
      <c r="H476" s="1" t="s">
        <v>1190</v>
      </c>
      <c r="I476" s="7" t="s">
        <v>322</v>
      </c>
      <c r="J476" s="44">
        <v>1</v>
      </c>
      <c r="K476" s="45">
        <v>1</v>
      </c>
      <c r="L476" s="1" t="s">
        <v>454</v>
      </c>
      <c r="M476" s="1" t="s">
        <v>455</v>
      </c>
      <c r="N476" s="1" t="s">
        <v>1140</v>
      </c>
      <c r="O476" s="1" t="s">
        <v>1189</v>
      </c>
      <c r="P476" s="1" t="s">
        <v>1190</v>
      </c>
      <c r="Q476" s="44">
        <f>IF(L476="955",Multipliers!C204,"oops")</f>
        <v>1.24</v>
      </c>
      <c r="R476" s="44">
        <f>IF(M476="Eureka",Multipliers!C15, "GOOF")</f>
        <v>1.26</v>
      </c>
      <c r="S476" s="46">
        <f t="shared" si="227"/>
        <v>503529.05680000008</v>
      </c>
      <c r="T476" s="46">
        <f t="shared" si="228"/>
        <v>492627.95820000005</v>
      </c>
      <c r="U476" s="46">
        <f t="shared" si="235"/>
        <v>487701.67861800006</v>
      </c>
      <c r="V476" s="46">
        <f t="shared" si="236"/>
        <v>495615.36770900007</v>
      </c>
      <c r="W476" s="47">
        <f t="shared" si="237"/>
        <v>495615.36770900007</v>
      </c>
      <c r="X476" s="47"/>
      <c r="Y476" s="48">
        <f t="shared" si="230"/>
        <v>396032.89341000002</v>
      </c>
      <c r="Z476" s="48">
        <f t="shared" si="231"/>
        <v>437466.69964199996</v>
      </c>
      <c r="AA476" s="48">
        <f t="shared" si="232"/>
        <v>495615.36770900013</v>
      </c>
      <c r="AB476" s="48">
        <f t="shared" si="233"/>
        <v>536734.24695800012</v>
      </c>
      <c r="AC476" s="48">
        <f t="shared" si="234"/>
        <v>578595.56402199995</v>
      </c>
      <c r="AD476" s="1"/>
      <c r="AE476" s="1"/>
      <c r="AF476" s="1"/>
      <c r="AI476" s="9"/>
      <c r="AJ476" s="1"/>
      <c r="AK476" s="1"/>
      <c r="AL476" s="1"/>
      <c r="AM476" s="1"/>
      <c r="AN476" s="1"/>
      <c r="AO476" s="1"/>
      <c r="AP476" s="9"/>
      <c r="AQ476" s="3"/>
      <c r="AR476" s="4"/>
      <c r="AS476" s="1"/>
      <c r="AT476" s="1"/>
      <c r="AU476" s="1"/>
      <c r="AV476" s="1"/>
      <c r="AW476" s="1"/>
      <c r="AX476" s="3"/>
      <c r="AY476" s="3"/>
      <c r="AZ476" s="5"/>
      <c r="BA476" s="5"/>
      <c r="BB476" s="5"/>
      <c r="BC476" s="5"/>
      <c r="BD476" s="6"/>
      <c r="BE476" s="6"/>
      <c r="BF476" s="12"/>
      <c r="BG476" s="12"/>
      <c r="BH476" s="12"/>
      <c r="BI476" s="12"/>
      <c r="BJ476" s="12"/>
    </row>
    <row r="477" spans="2:62" x14ac:dyDescent="0.25">
      <c r="B477" s="1" t="s">
        <v>421</v>
      </c>
      <c r="C477" s="1" t="s">
        <v>456</v>
      </c>
      <c r="D477" s="1" t="s">
        <v>1190</v>
      </c>
      <c r="E477" s="1" t="s">
        <v>457</v>
      </c>
      <c r="F477" s="1" t="s">
        <v>458</v>
      </c>
      <c r="G477" s="1" t="s">
        <v>459</v>
      </c>
      <c r="H477" s="1" t="s">
        <v>460</v>
      </c>
      <c r="I477" s="7" t="s">
        <v>322</v>
      </c>
      <c r="J477" s="44">
        <v>1</v>
      </c>
      <c r="K477" s="45">
        <v>1</v>
      </c>
      <c r="L477" s="1" t="s">
        <v>461</v>
      </c>
      <c r="M477" s="1" t="s">
        <v>426</v>
      </c>
      <c r="N477" s="1" t="s">
        <v>1140</v>
      </c>
      <c r="O477" s="1" t="s">
        <v>1189</v>
      </c>
      <c r="P477" s="1" t="s">
        <v>1190</v>
      </c>
      <c r="Q477" s="44">
        <f>IF(L477="935",Multipliers!C197,"oops")</f>
        <v>1.1299999999999999</v>
      </c>
      <c r="R477" s="44">
        <f>IF(M477="CALIFORNIA",Multipliers!C14, "GOOF")</f>
        <v>1.22</v>
      </c>
      <c r="S477" s="46">
        <f t="shared" si="227"/>
        <v>458861.15659999999</v>
      </c>
      <c r="T477" s="46">
        <f t="shared" si="228"/>
        <v>476988.9754</v>
      </c>
      <c r="U477" s="46">
        <f t="shared" si="235"/>
        <v>472219.08564599999</v>
      </c>
      <c r="V477" s="46">
        <f t="shared" si="236"/>
        <v>465540.12112299999</v>
      </c>
      <c r="W477" s="47">
        <f t="shared" ref="W477:W502" si="238">IF(F477=F478,(V477+V478)/2,IF(F477=F476,(V477+V476)/2,IF(F477&lt;&gt;F476,V477)))</f>
        <v>465540.12112299999</v>
      </c>
      <c r="X477" s="47"/>
      <c r="Y477" s="48">
        <f t="shared" si="230"/>
        <v>371622.27102000004</v>
      </c>
      <c r="Z477" s="48">
        <f t="shared" si="231"/>
        <v>410682.79757399991</v>
      </c>
      <c r="AA477" s="48">
        <f t="shared" si="232"/>
        <v>465540.12112300005</v>
      </c>
      <c r="AB477" s="48">
        <f t="shared" si="233"/>
        <v>504310.58137600002</v>
      </c>
      <c r="AC477" s="48">
        <f t="shared" si="234"/>
        <v>543668.7956839999</v>
      </c>
      <c r="AD477" s="1"/>
      <c r="AE477" s="1"/>
      <c r="AF477" s="1"/>
    </row>
    <row r="478" spans="2:62" x14ac:dyDescent="0.25">
      <c r="B478" s="1" t="s">
        <v>421</v>
      </c>
      <c r="C478" s="1" t="s">
        <v>462</v>
      </c>
      <c r="D478" s="1" t="s">
        <v>1190</v>
      </c>
      <c r="E478" s="1" t="s">
        <v>463</v>
      </c>
      <c r="F478" s="1" t="s">
        <v>464</v>
      </c>
      <c r="G478" s="1" t="s">
        <v>1190</v>
      </c>
      <c r="H478" s="1" t="s">
        <v>1190</v>
      </c>
      <c r="I478" s="7" t="s">
        <v>322</v>
      </c>
      <c r="J478" s="44">
        <v>1</v>
      </c>
      <c r="K478" s="45">
        <v>1</v>
      </c>
      <c r="L478" s="1" t="s">
        <v>465</v>
      </c>
      <c r="M478" s="1" t="s">
        <v>466</v>
      </c>
      <c r="N478" s="1" t="s">
        <v>1140</v>
      </c>
      <c r="O478" s="1" t="s">
        <v>1189</v>
      </c>
      <c r="P478" s="1" t="s">
        <v>1190</v>
      </c>
      <c r="Q478" s="44">
        <f>IF(L478="937",Multipliers!C199,"oops")</f>
        <v>1.17</v>
      </c>
      <c r="R478" s="44">
        <f>IF(M478="Fresno",Multipliers!C16, "GOOF")</f>
        <v>1.31</v>
      </c>
      <c r="S478" s="46">
        <f t="shared" si="227"/>
        <v>475104.02940000006</v>
      </c>
      <c r="T478" s="46">
        <f t="shared" si="228"/>
        <v>512176.68670000002</v>
      </c>
      <c r="U478" s="46">
        <f>IF(O478="E",$T$3*T478,IF(O478="C",$T$4*T478,IF(O478="W",$T$5*T478,1)))</f>
        <v>507054.91983299999</v>
      </c>
      <c r="V478" s="46">
        <f>(S478+U478)/2</f>
        <v>491079.47461650003</v>
      </c>
      <c r="W478" s="47">
        <f t="shared" si="238"/>
        <v>491079.47461650003</v>
      </c>
      <c r="X478" s="47"/>
      <c r="Y478" s="48">
        <f t="shared" si="230"/>
        <v>391769.94433500001</v>
      </c>
      <c r="Z478" s="48">
        <f t="shared" si="231"/>
        <v>433062.55937699997</v>
      </c>
      <c r="AA478" s="48">
        <f t="shared" si="232"/>
        <v>491079.47461650008</v>
      </c>
      <c r="AB478" s="48">
        <f t="shared" si="233"/>
        <v>532069.74897299998</v>
      </c>
      <c r="AC478" s="48">
        <f t="shared" si="234"/>
        <v>573610.64915700001</v>
      </c>
      <c r="AD478" s="1"/>
      <c r="AE478" s="1"/>
      <c r="AF478" s="1"/>
      <c r="AI478" s="9"/>
      <c r="AJ478" s="1"/>
      <c r="AK478" s="1"/>
      <c r="AL478" s="1"/>
      <c r="AM478" s="1"/>
      <c r="AN478" s="1"/>
      <c r="AO478" s="1"/>
      <c r="AP478" s="9"/>
      <c r="AQ478" s="3"/>
      <c r="AR478" s="4"/>
      <c r="AS478" s="1"/>
      <c r="AT478" s="1"/>
      <c r="AU478" s="1"/>
      <c r="AV478" s="1"/>
      <c r="AW478" s="1"/>
      <c r="AX478" s="3"/>
      <c r="AY478" s="3"/>
      <c r="AZ478" s="5"/>
      <c r="BA478" s="5"/>
      <c r="BB478" s="5"/>
      <c r="BC478" s="5"/>
      <c r="BD478" s="6"/>
      <c r="BE478" s="6"/>
      <c r="BF478" s="12"/>
      <c r="BG478" s="12"/>
      <c r="BH478" s="12"/>
      <c r="BI478" s="12"/>
      <c r="BJ478" s="12"/>
    </row>
    <row r="479" spans="2:62" x14ac:dyDescent="0.25">
      <c r="B479" s="1" t="s">
        <v>421</v>
      </c>
      <c r="C479" s="1" t="s">
        <v>467</v>
      </c>
      <c r="D479" s="1" t="s">
        <v>1190</v>
      </c>
      <c r="E479" s="1" t="s">
        <v>468</v>
      </c>
      <c r="F479" s="1" t="s">
        <v>469</v>
      </c>
      <c r="G479" s="1" t="s">
        <v>1190</v>
      </c>
      <c r="H479" s="1" t="s">
        <v>1190</v>
      </c>
      <c r="I479" s="7" t="s">
        <v>322</v>
      </c>
      <c r="J479" s="44">
        <v>1</v>
      </c>
      <c r="K479" s="45">
        <v>1</v>
      </c>
      <c r="L479" s="1" t="s">
        <v>470</v>
      </c>
      <c r="M479" s="1" t="s">
        <v>426</v>
      </c>
      <c r="N479" s="1" t="s">
        <v>1140</v>
      </c>
      <c r="O479" s="1" t="s">
        <v>1189</v>
      </c>
      <c r="P479" s="1" t="s">
        <v>1190</v>
      </c>
      <c r="Q479" s="44">
        <f>IF(L479="954",Multipliers!C203,"oops")</f>
        <v>1.27</v>
      </c>
      <c r="R479" s="44">
        <f>IF(M479="CALIFORNIA",Multipliers!C14, "GOOF")</f>
        <v>1.22</v>
      </c>
      <c r="S479" s="46">
        <f t="shared" si="227"/>
        <v>515711.21140000003</v>
      </c>
      <c r="T479" s="46">
        <f t="shared" si="228"/>
        <v>476988.9754</v>
      </c>
      <c r="U479" s="46">
        <f t="shared" si="235"/>
        <v>472219.08564599999</v>
      </c>
      <c r="V479" s="46">
        <f t="shared" si="236"/>
        <v>493965.14852300001</v>
      </c>
      <c r="W479" s="47">
        <f t="shared" si="238"/>
        <v>493965.14852300001</v>
      </c>
      <c r="X479" s="47"/>
      <c r="Y479" s="48">
        <f t="shared" si="230"/>
        <v>395085.74952000001</v>
      </c>
      <c r="Z479" s="48">
        <f t="shared" si="231"/>
        <v>436243.09877399995</v>
      </c>
      <c r="AA479" s="48">
        <f t="shared" si="232"/>
        <v>493965.14852300007</v>
      </c>
      <c r="AB479" s="48">
        <f t="shared" si="233"/>
        <v>534802.97267599998</v>
      </c>
      <c r="AC479" s="48">
        <f t="shared" si="234"/>
        <v>576488.42238400003</v>
      </c>
      <c r="AD479" s="1"/>
      <c r="AE479" s="1"/>
      <c r="AF479" s="1"/>
      <c r="AI479" s="9"/>
      <c r="AJ479" s="1"/>
      <c r="AK479" s="1"/>
      <c r="AL479" s="1"/>
      <c r="AM479" s="1"/>
      <c r="AN479" s="1"/>
      <c r="AO479" s="1"/>
      <c r="AP479" s="9"/>
      <c r="AQ479" s="3"/>
      <c r="AR479" s="4"/>
      <c r="AS479" s="1"/>
      <c r="AT479" s="1"/>
      <c r="AU479" s="1"/>
      <c r="AV479" s="1"/>
      <c r="AW479" s="1"/>
      <c r="AX479" s="3"/>
      <c r="AY479" s="3"/>
      <c r="AZ479" s="5"/>
      <c r="BA479" s="5"/>
      <c r="BB479" s="5"/>
      <c r="BC479" s="5"/>
      <c r="BD479" s="6"/>
      <c r="BE479" s="6"/>
      <c r="BF479" s="12"/>
      <c r="BG479" s="12"/>
      <c r="BH479" s="12"/>
      <c r="BI479" s="12"/>
      <c r="BJ479" s="12"/>
    </row>
    <row r="480" spans="2:62" x14ac:dyDescent="0.25">
      <c r="B480" s="1" t="s">
        <v>421</v>
      </c>
      <c r="C480" s="1" t="s">
        <v>471</v>
      </c>
      <c r="D480" s="1" t="s">
        <v>1190</v>
      </c>
      <c r="E480" s="1" t="s">
        <v>472</v>
      </c>
      <c r="F480" s="1" t="s">
        <v>473</v>
      </c>
      <c r="G480" s="1" t="s">
        <v>1190</v>
      </c>
      <c r="H480" s="1" t="s">
        <v>1190</v>
      </c>
      <c r="I480" s="7" t="s">
        <v>322</v>
      </c>
      <c r="J480" s="44">
        <v>1</v>
      </c>
      <c r="K480" s="45">
        <v>1</v>
      </c>
      <c r="L480" s="1" t="s">
        <v>454</v>
      </c>
      <c r="M480" s="1" t="s">
        <v>455</v>
      </c>
      <c r="N480" s="1" t="s">
        <v>1140</v>
      </c>
      <c r="O480" s="1" t="s">
        <v>1189</v>
      </c>
      <c r="P480" s="1" t="s">
        <v>1190</v>
      </c>
      <c r="Q480" s="44">
        <f>IF(L480="955",Multipliers!C204,"oops")</f>
        <v>1.24</v>
      </c>
      <c r="R480" s="44">
        <f>IF(M480="Eureka",Multipliers!C15, "GOOF")</f>
        <v>1.26</v>
      </c>
      <c r="S480" s="46">
        <f t="shared" si="227"/>
        <v>503529.05680000008</v>
      </c>
      <c r="T480" s="46">
        <f t="shared" si="228"/>
        <v>492627.95820000005</v>
      </c>
      <c r="U480" s="46">
        <f t="shared" ref="U480:U495" si="239">IF(O480="E",$T$3*T480,IF(O480="C",$T$4*T480,IF(O480="W",$T$5*T480,1)))</f>
        <v>487701.67861800006</v>
      </c>
      <c r="V480" s="46">
        <f t="shared" ref="V480:V495" si="240">(S480+U480)/2</f>
        <v>495615.36770900007</v>
      </c>
      <c r="W480" s="47">
        <f t="shared" si="238"/>
        <v>495615.36770900007</v>
      </c>
      <c r="X480" s="47"/>
      <c r="Y480" s="48">
        <f t="shared" ref="Y480:Y495" si="241">IF(N480="Standard",(((($Z$3*Q480)+($AD$3*R480*$T$5))/2)*$O$7),IF(N480="Severe",(((($AA$3*Q480)+($AE$3*R480*$T$5))/2)*$O$7),IF(N480="Hostile",(((($AB$3*Q480)+($AF$3*R480*$T$5))/2)*$O$7))))</f>
        <v>396032.89341000002</v>
      </c>
      <c r="Z480" s="48">
        <f t="shared" ref="Z480:Z495" si="242">IF(N480="Standard",(((($Z$4*Q480)+($AD$4*R480*$T$5))/2)*$O$7),IF(N480="Severe",(((($AA$4*Q480)+($AE$4*R480*$T$5))/2)*$O$7),IF(N480="Hostile",(((($AB$4*Q480)+($AF$4*R480*$T$5))/2)*$O$7))))</f>
        <v>437466.69964199996</v>
      </c>
      <c r="AA480" s="48">
        <f t="shared" si="232"/>
        <v>495615.36770900013</v>
      </c>
      <c r="AB480" s="48">
        <f t="shared" si="233"/>
        <v>536734.24695800012</v>
      </c>
      <c r="AC480" s="48">
        <f t="shared" si="234"/>
        <v>578595.56402199995</v>
      </c>
      <c r="AD480" s="1"/>
      <c r="AE480" s="1"/>
      <c r="AF480" s="1"/>
      <c r="AI480" s="9"/>
      <c r="AJ480" s="1"/>
      <c r="AK480" s="1"/>
      <c r="AL480" s="1"/>
      <c r="AM480" s="1"/>
      <c r="AN480" s="1"/>
      <c r="AO480" s="1"/>
      <c r="AP480" s="9"/>
      <c r="AQ480" s="3"/>
      <c r="AR480" s="4"/>
      <c r="AS480" s="1"/>
      <c r="AT480" s="1"/>
      <c r="AU480" s="1"/>
      <c r="AV480" s="1"/>
      <c r="AW480" s="1"/>
      <c r="AX480" s="3"/>
      <c r="AY480" s="3"/>
      <c r="AZ480" s="5"/>
      <c r="BA480" s="5"/>
      <c r="BB480" s="5"/>
      <c r="BC480" s="5"/>
      <c r="BD480" s="6"/>
      <c r="BE480" s="6"/>
      <c r="BF480" s="12"/>
      <c r="BG480" s="12"/>
      <c r="BH480" s="12"/>
      <c r="BI480" s="12"/>
      <c r="BJ480" s="12"/>
    </row>
    <row r="481" spans="2:62" x14ac:dyDescent="0.25">
      <c r="B481" s="1" t="s">
        <v>421</v>
      </c>
      <c r="C481" s="1" t="s">
        <v>474</v>
      </c>
      <c r="D481" s="1" t="s">
        <v>1190</v>
      </c>
      <c r="E481" s="1" t="s">
        <v>475</v>
      </c>
      <c r="F481" s="1" t="s">
        <v>476</v>
      </c>
      <c r="G481" s="1" t="s">
        <v>459</v>
      </c>
      <c r="H481" s="1" t="s">
        <v>460</v>
      </c>
      <c r="I481" s="7" t="s">
        <v>322</v>
      </c>
      <c r="J481" s="44">
        <v>1</v>
      </c>
      <c r="K481" s="45">
        <v>1</v>
      </c>
      <c r="L481" s="1" t="s">
        <v>461</v>
      </c>
      <c r="M481" s="1" t="s">
        <v>426</v>
      </c>
      <c r="N481" s="1" t="s">
        <v>1140</v>
      </c>
      <c r="O481" s="1" t="s">
        <v>1189</v>
      </c>
      <c r="P481" s="1" t="s">
        <v>1190</v>
      </c>
      <c r="Q481" s="44">
        <f>IF(L481="935",Multipliers!C197,"oops")</f>
        <v>1.1299999999999999</v>
      </c>
      <c r="R481" s="44">
        <f>IF(M481="CALIFORNIA",Multipliers!C14, "GOOF")</f>
        <v>1.22</v>
      </c>
      <c r="S481" s="46">
        <f t="shared" si="227"/>
        <v>458861.15659999999</v>
      </c>
      <c r="T481" s="46">
        <f t="shared" si="228"/>
        <v>476988.9754</v>
      </c>
      <c r="U481" s="46">
        <f t="shared" si="239"/>
        <v>472219.08564599999</v>
      </c>
      <c r="V481" s="46">
        <f t="shared" si="240"/>
        <v>465540.12112299999</v>
      </c>
      <c r="W481" s="47">
        <f t="shared" si="238"/>
        <v>465540.12112299999</v>
      </c>
      <c r="X481" s="47"/>
      <c r="Y481" s="48">
        <f t="shared" si="241"/>
        <v>371622.27102000004</v>
      </c>
      <c r="Z481" s="48">
        <f t="shared" si="242"/>
        <v>410682.79757399991</v>
      </c>
      <c r="AA481" s="48">
        <f t="shared" si="232"/>
        <v>465540.12112300005</v>
      </c>
      <c r="AB481" s="48">
        <f t="shared" si="233"/>
        <v>504310.58137600002</v>
      </c>
      <c r="AC481" s="48">
        <f t="shared" si="234"/>
        <v>543668.7956839999</v>
      </c>
      <c r="AD481" s="1"/>
      <c r="AE481" s="1"/>
      <c r="AF481" s="1"/>
      <c r="AI481" s="9"/>
      <c r="AJ481" s="1"/>
      <c r="AK481" s="1"/>
      <c r="AL481" s="1"/>
      <c r="AM481" s="1"/>
      <c r="AN481" s="1"/>
      <c r="AO481" s="1"/>
      <c r="AP481" s="9"/>
      <c r="AQ481" s="3"/>
      <c r="AR481" s="4"/>
      <c r="AS481" s="1"/>
      <c r="AT481" s="1"/>
      <c r="AU481" s="1"/>
      <c r="AV481" s="1"/>
      <c r="AW481" s="1"/>
      <c r="AX481" s="3"/>
      <c r="AY481" s="3"/>
      <c r="AZ481" s="5"/>
      <c r="BA481" s="5"/>
      <c r="BB481" s="5"/>
      <c r="BC481" s="5"/>
      <c r="BD481" s="6"/>
      <c r="BE481" s="6"/>
      <c r="BF481" s="12"/>
      <c r="BG481" s="12"/>
      <c r="BH481" s="12"/>
      <c r="BI481" s="12"/>
      <c r="BJ481" s="12"/>
    </row>
    <row r="482" spans="2:62" x14ac:dyDescent="0.25">
      <c r="B482" s="1" t="s">
        <v>421</v>
      </c>
      <c r="C482" s="1" t="s">
        <v>477</v>
      </c>
      <c r="D482" s="1" t="s">
        <v>1772</v>
      </c>
      <c r="E482" s="1" t="s">
        <v>478</v>
      </c>
      <c r="F482" s="1" t="s">
        <v>479</v>
      </c>
      <c r="G482" s="1" t="s">
        <v>1190</v>
      </c>
      <c r="H482" s="1" t="s">
        <v>1190</v>
      </c>
      <c r="I482" s="7" t="s">
        <v>322</v>
      </c>
      <c r="J482" s="44">
        <v>1</v>
      </c>
      <c r="K482" s="45">
        <v>1</v>
      </c>
      <c r="L482" s="1" t="s">
        <v>434</v>
      </c>
      <c r="M482" s="1" t="s">
        <v>426</v>
      </c>
      <c r="N482" s="1" t="s">
        <v>1140</v>
      </c>
      <c r="O482" s="1" t="s">
        <v>1189</v>
      </c>
      <c r="P482" s="1" t="s">
        <v>1190</v>
      </c>
      <c r="Q482" s="44">
        <f>IF(L482="956",Multipliers!C205,"oops")</f>
        <v>1.24</v>
      </c>
      <c r="R482" s="44">
        <f>IF(M482="CALIFORNIA",Multipliers!C14, "GOOF")</f>
        <v>1.22</v>
      </c>
      <c r="S482" s="46">
        <f t="shared" ref="S482:S513" si="243">IF(N482="Standard",$O$5*Q482*$O$7,IF(N482="Severe",$O$4*Q482*$O$7,IF(N482="Hostile",$O$3*Q482*$O$7)))</f>
        <v>503529.05680000008</v>
      </c>
      <c r="T482" s="46">
        <f t="shared" ref="T482:T513" si="244">IF(N482="Standard",$P$5*R482*$O$7,IF(N482="Severe",$P$4*R482*$O$7,IF(N482="Hostile",$P$3*R482*$O$7)))</f>
        <v>476988.9754</v>
      </c>
      <c r="U482" s="46">
        <f t="shared" si="239"/>
        <v>472219.08564599999</v>
      </c>
      <c r="V482" s="46">
        <f t="shared" si="240"/>
        <v>487874.07122300006</v>
      </c>
      <c r="W482" s="47">
        <f t="shared" si="238"/>
        <v>487874.07122300006</v>
      </c>
      <c r="X482" s="47"/>
      <c r="Y482" s="48">
        <f t="shared" si="241"/>
        <v>390057.86126999999</v>
      </c>
      <c r="Z482" s="48">
        <f t="shared" si="242"/>
        <v>430765.891374</v>
      </c>
      <c r="AA482" s="48">
        <f t="shared" si="232"/>
        <v>487874.07122300001</v>
      </c>
      <c r="AB482" s="48">
        <f t="shared" si="233"/>
        <v>528268.88882599992</v>
      </c>
      <c r="AC482" s="48">
        <f t="shared" si="234"/>
        <v>569455.64523400005</v>
      </c>
      <c r="AD482" s="1"/>
      <c r="AE482" s="1"/>
      <c r="AF482" s="1"/>
      <c r="AI482" s="9"/>
      <c r="AJ482" s="1"/>
      <c r="AK482" s="1"/>
      <c r="AL482" s="1"/>
      <c r="AM482" s="1"/>
      <c r="AN482" s="1"/>
      <c r="AO482" s="1"/>
      <c r="AP482" s="9"/>
      <c r="AQ482" s="3"/>
      <c r="AR482" s="4"/>
      <c r="AS482" s="1"/>
      <c r="AT482" s="1"/>
      <c r="AU482" s="1"/>
      <c r="AV482" s="1"/>
      <c r="AW482" s="1"/>
      <c r="AX482" s="3"/>
      <c r="AY482" s="3"/>
      <c r="AZ482" s="5"/>
      <c r="BA482" s="5"/>
      <c r="BB482" s="5"/>
      <c r="BC482" s="5"/>
      <c r="BD482" s="6"/>
      <c r="BE482" s="6"/>
      <c r="BF482" s="12"/>
      <c r="BG482" s="12"/>
      <c r="BH482" s="12"/>
      <c r="BI482" s="12"/>
      <c r="BJ482" s="12"/>
    </row>
    <row r="483" spans="2:62" x14ac:dyDescent="0.25">
      <c r="B483" s="1" t="s">
        <v>421</v>
      </c>
      <c r="C483" s="1" t="s">
        <v>480</v>
      </c>
      <c r="D483" s="1" t="s">
        <v>1190</v>
      </c>
      <c r="E483" s="1" t="s">
        <v>481</v>
      </c>
      <c r="F483" s="1" t="s">
        <v>482</v>
      </c>
      <c r="G483" s="1" t="s">
        <v>1190</v>
      </c>
      <c r="H483" s="1" t="s">
        <v>1190</v>
      </c>
      <c r="I483" s="7" t="s">
        <v>322</v>
      </c>
      <c r="J483" s="44">
        <v>1</v>
      </c>
      <c r="K483" s="45">
        <v>1</v>
      </c>
      <c r="L483" s="1" t="s">
        <v>425</v>
      </c>
      <c r="M483" s="1" t="s">
        <v>426</v>
      </c>
      <c r="N483" s="1" t="s">
        <v>1139</v>
      </c>
      <c r="O483" s="1" t="s">
        <v>1189</v>
      </c>
      <c r="P483" s="1" t="s">
        <v>1190</v>
      </c>
      <c r="Q483" s="44">
        <f>IF(L483="925",Multipliers!C194,"oops")</f>
        <v>1.1399999999999999</v>
      </c>
      <c r="R483" s="44">
        <f>IF(M483="CALIFORNIA",Multipliers!C14, "GOOF")</f>
        <v>1.22</v>
      </c>
      <c r="S483" s="46">
        <f t="shared" si="243"/>
        <v>437104.89900000003</v>
      </c>
      <c r="T483" s="46">
        <f t="shared" si="244"/>
        <v>457472.94040000002</v>
      </c>
      <c r="U483" s="46">
        <f t="shared" si="239"/>
        <v>452898.21099600004</v>
      </c>
      <c r="V483" s="46">
        <f t="shared" si="240"/>
        <v>445001.55499800004</v>
      </c>
      <c r="W483" s="47">
        <f t="shared" si="238"/>
        <v>445001.55499800004</v>
      </c>
      <c r="X483" s="47"/>
      <c r="Y483" s="48">
        <f t="shared" si="241"/>
        <v>354008.25326999993</v>
      </c>
      <c r="Z483" s="48">
        <f t="shared" si="242"/>
        <v>392429.30987399997</v>
      </c>
      <c r="AA483" s="48">
        <f t="shared" si="232"/>
        <v>445001.55499800004</v>
      </c>
      <c r="AB483" s="48">
        <f t="shared" si="233"/>
        <v>480482.85717599996</v>
      </c>
      <c r="AC483" s="48">
        <f t="shared" si="234"/>
        <v>518121.54878399998</v>
      </c>
      <c r="AD483" s="1"/>
      <c r="AE483" s="1"/>
      <c r="AF483" s="1"/>
      <c r="AI483" s="9"/>
      <c r="AJ483" s="1"/>
      <c r="AK483" s="1"/>
      <c r="AL483" s="1"/>
      <c r="AM483" s="1"/>
      <c r="AN483" s="1"/>
      <c r="AO483" s="1"/>
      <c r="AP483" s="9"/>
      <c r="AQ483" s="3"/>
      <c r="AR483" s="4"/>
      <c r="AS483" s="1"/>
      <c r="AT483" s="1"/>
      <c r="AU483" s="1"/>
      <c r="AV483" s="1"/>
      <c r="AW483" s="1"/>
      <c r="AX483" s="3"/>
      <c r="AY483" s="3"/>
      <c r="AZ483" s="5"/>
      <c r="BA483" s="5"/>
      <c r="BB483" s="5"/>
      <c r="BC483" s="5"/>
      <c r="BD483" s="6"/>
      <c r="BE483" s="6"/>
      <c r="BF483" s="12"/>
      <c r="BG483" s="12"/>
      <c r="BH483" s="12"/>
      <c r="BI483" s="12"/>
      <c r="BJ483" s="12"/>
    </row>
    <row r="484" spans="2:62" x14ac:dyDescent="0.25">
      <c r="B484" s="1" t="s">
        <v>421</v>
      </c>
      <c r="C484" s="1" t="s">
        <v>483</v>
      </c>
      <c r="D484" s="1" t="s">
        <v>1190</v>
      </c>
      <c r="E484" s="1" t="s">
        <v>436</v>
      </c>
      <c r="F484" s="1" t="s">
        <v>484</v>
      </c>
      <c r="G484" s="1" t="s">
        <v>441</v>
      </c>
      <c r="H484" s="1" t="s">
        <v>442</v>
      </c>
      <c r="I484" s="7" t="s">
        <v>322</v>
      </c>
      <c r="J484" s="44">
        <v>1</v>
      </c>
      <c r="K484" s="45">
        <v>1</v>
      </c>
      <c r="L484" s="1" t="s">
        <v>425</v>
      </c>
      <c r="M484" s="1" t="s">
        <v>426</v>
      </c>
      <c r="N484" s="1" t="s">
        <v>1139</v>
      </c>
      <c r="O484" s="1" t="s">
        <v>1189</v>
      </c>
      <c r="P484" s="1" t="s">
        <v>1190</v>
      </c>
      <c r="Q484" s="44">
        <f>IF(L484="925",Multipliers!C194,"oops")</f>
        <v>1.1399999999999999</v>
      </c>
      <c r="R484" s="44">
        <f>IF(M484="CALIFORNIA",Multipliers!C14, "GOOF")</f>
        <v>1.22</v>
      </c>
      <c r="S484" s="46">
        <f t="shared" si="243"/>
        <v>437104.89900000003</v>
      </c>
      <c r="T484" s="46">
        <f t="shared" si="244"/>
        <v>457472.94040000002</v>
      </c>
      <c r="U484" s="46">
        <f t="shared" si="239"/>
        <v>452898.21099600004</v>
      </c>
      <c r="V484" s="46">
        <f t="shared" si="240"/>
        <v>445001.55499800004</v>
      </c>
      <c r="W484" s="47">
        <f t="shared" si="238"/>
        <v>445001.55499800004</v>
      </c>
      <c r="X484" s="47"/>
      <c r="Y484" s="48">
        <f t="shared" si="241"/>
        <v>354008.25326999993</v>
      </c>
      <c r="Z484" s="48">
        <f t="shared" si="242"/>
        <v>392429.30987399997</v>
      </c>
      <c r="AA484" s="48">
        <f t="shared" ref="AA484:AA499" si="245">IF(N484="Standard",((($Z$5*Q484)+($AD$5*R484*$T$5))/2)*$O$7,IF(N484="Severe",((($AA$5*Q484)+($AE$5*R484*$T$5))/2)*$O$7,IF(N484="Hostile",((($AB$5*Q484)+($AF$5*R484*$T$5))/2)*$O$7)))</f>
        <v>445001.55499800004</v>
      </c>
      <c r="AB484" s="48">
        <f t="shared" ref="AB484:AB499" si="246">IF(N484="Standard",((($Z$6*Q484)+($AD$6*R484*$T$5))/2)*$O$7,IF(N484="Severe",((($AA$6*Q484)+($AE$6*R484*$T$5))/2)*$O$7,IF(N484="Hostile",((($AB$6*Q484)+($AF$6*R484*$T$5))/2)*$O$7)))</f>
        <v>480482.85717599996</v>
      </c>
      <c r="AC484" s="48">
        <f t="shared" ref="AC484:AC499" si="247">IF(N484="Standard",((($Z$7*Q484)+($AD$7*R484*$T$5))/2)*$O$7,IF(N484="Severe",((($AA$7*Q484)+($AE$7*R484*$T$5))/2)*$O$7,IF(N484="Hostile",((($AB$7*Q484)+($AF$7*R484*$T$5))/2)*$O$7)))</f>
        <v>518121.54878399998</v>
      </c>
      <c r="AD484" s="1"/>
      <c r="AE484" s="1"/>
      <c r="AF484" s="1"/>
      <c r="AI484" s="9"/>
      <c r="AJ484" s="1"/>
      <c r="AK484" s="1"/>
      <c r="AL484" s="1"/>
      <c r="AM484" s="1"/>
      <c r="AN484" s="1"/>
      <c r="AO484" s="1"/>
      <c r="AP484" s="9"/>
      <c r="AQ484" s="3"/>
      <c r="AR484" s="4"/>
      <c r="AS484" s="1"/>
      <c r="AT484" s="1"/>
      <c r="AU484" s="1"/>
      <c r="AV484" s="1"/>
      <c r="AW484" s="1"/>
      <c r="AX484" s="3"/>
      <c r="AY484" s="3"/>
      <c r="AZ484" s="5"/>
      <c r="BA484" s="5"/>
      <c r="BB484" s="5"/>
      <c r="BC484" s="5"/>
      <c r="BD484" s="6"/>
      <c r="BE484" s="6"/>
      <c r="BF484" s="12"/>
      <c r="BG484" s="12"/>
      <c r="BH484" s="12"/>
      <c r="BI484" s="12"/>
      <c r="BJ484" s="12"/>
    </row>
    <row r="485" spans="2:62" x14ac:dyDescent="0.25">
      <c r="B485" s="1" t="s">
        <v>421</v>
      </c>
      <c r="C485" s="1" t="s">
        <v>485</v>
      </c>
      <c r="D485" s="1" t="s">
        <v>1190</v>
      </c>
      <c r="E485" s="1" t="s">
        <v>486</v>
      </c>
      <c r="F485" s="1" t="s">
        <v>487</v>
      </c>
      <c r="G485" s="1" t="s">
        <v>459</v>
      </c>
      <c r="H485" s="1" t="s">
        <v>460</v>
      </c>
      <c r="I485" s="7" t="s">
        <v>322</v>
      </c>
      <c r="J485" s="44">
        <v>1</v>
      </c>
      <c r="K485" s="45">
        <v>1</v>
      </c>
      <c r="L485" s="1" t="s">
        <v>461</v>
      </c>
      <c r="M485" s="1" t="s">
        <v>426</v>
      </c>
      <c r="N485" s="1" t="s">
        <v>1140</v>
      </c>
      <c r="O485" s="1" t="s">
        <v>1189</v>
      </c>
      <c r="P485" s="1" t="s">
        <v>1190</v>
      </c>
      <c r="Q485" s="44">
        <f>IF(L485="935",Multipliers!C197,"oops")</f>
        <v>1.1299999999999999</v>
      </c>
      <c r="R485" s="44">
        <f>IF(M485="CALIFORNIA",Multipliers!C14, "GOOF")</f>
        <v>1.22</v>
      </c>
      <c r="S485" s="46">
        <f t="shared" si="243"/>
        <v>458861.15659999999</v>
      </c>
      <c r="T485" s="46">
        <f t="shared" si="244"/>
        <v>476988.9754</v>
      </c>
      <c r="U485" s="46">
        <f t="shared" si="239"/>
        <v>472219.08564599999</v>
      </c>
      <c r="V485" s="46">
        <f t="shared" si="240"/>
        <v>465540.12112299999</v>
      </c>
      <c r="W485" s="47">
        <f t="shared" si="238"/>
        <v>465540.12112299999</v>
      </c>
      <c r="X485" s="47"/>
      <c r="Y485" s="48">
        <f t="shared" si="241"/>
        <v>371622.27102000004</v>
      </c>
      <c r="Z485" s="48">
        <f t="shared" si="242"/>
        <v>410682.79757399991</v>
      </c>
      <c r="AA485" s="48">
        <f t="shared" si="245"/>
        <v>465540.12112300005</v>
      </c>
      <c r="AB485" s="48">
        <f t="shared" si="246"/>
        <v>504310.58137600002</v>
      </c>
      <c r="AC485" s="48">
        <f t="shared" si="247"/>
        <v>543668.7956839999</v>
      </c>
      <c r="AD485" s="1"/>
      <c r="AE485" s="1"/>
      <c r="AF485" s="1"/>
      <c r="AI485" s="9"/>
      <c r="AJ485" s="1"/>
      <c r="AK485" s="1"/>
      <c r="AL485" s="1"/>
      <c r="AM485" s="1"/>
      <c r="AN485" s="1"/>
      <c r="AO485" s="1"/>
      <c r="AP485" s="9"/>
      <c r="AQ485" s="3"/>
      <c r="AR485" s="4"/>
      <c r="AS485" s="1"/>
      <c r="AT485" s="1"/>
      <c r="AU485" s="1"/>
      <c r="AV485" s="1"/>
      <c r="AW485" s="1"/>
      <c r="AX485" s="3"/>
      <c r="AY485" s="3"/>
      <c r="AZ485" s="5"/>
      <c r="BA485" s="5"/>
      <c r="BB485" s="5"/>
      <c r="BC485" s="5"/>
      <c r="BD485" s="6"/>
      <c r="BE485" s="6"/>
      <c r="BF485" s="12"/>
      <c r="BG485" s="12"/>
      <c r="BH485" s="12"/>
      <c r="BI485" s="12"/>
      <c r="BJ485" s="12"/>
    </row>
    <row r="486" spans="2:62" x14ac:dyDescent="0.25">
      <c r="B486" s="1" t="s">
        <v>421</v>
      </c>
      <c r="C486" s="1" t="s">
        <v>488</v>
      </c>
      <c r="D486" s="1" t="s">
        <v>1190</v>
      </c>
      <c r="E486" s="1" t="s">
        <v>489</v>
      </c>
      <c r="F486" s="1" t="s">
        <v>490</v>
      </c>
      <c r="G486" s="1" t="s">
        <v>491</v>
      </c>
      <c r="H486" s="1" t="s">
        <v>492</v>
      </c>
      <c r="I486" s="7" t="s">
        <v>322</v>
      </c>
      <c r="J486" s="44">
        <v>1</v>
      </c>
      <c r="K486" s="45">
        <v>1</v>
      </c>
      <c r="L486" s="1" t="s">
        <v>493</v>
      </c>
      <c r="M486" s="1" t="s">
        <v>444</v>
      </c>
      <c r="N486" s="1" t="s">
        <v>1139</v>
      </c>
      <c r="O486" s="1" t="s">
        <v>1189</v>
      </c>
      <c r="P486" s="1" t="s">
        <v>1190</v>
      </c>
      <c r="Q486" s="44">
        <f>IF(L486="920",Multipliers!C190,"oops")</f>
        <v>1.1000000000000001</v>
      </c>
      <c r="R486" s="44">
        <f>IF(M486="San Diego",Multipliers!C22, "GOOF")</f>
        <v>1.17</v>
      </c>
      <c r="S486" s="46">
        <f t="shared" si="243"/>
        <v>421767.88500000013</v>
      </c>
      <c r="T486" s="46">
        <f t="shared" si="244"/>
        <v>438724.04939999996</v>
      </c>
      <c r="U486" s="46">
        <f t="shared" si="239"/>
        <v>434336.80890599993</v>
      </c>
      <c r="V486" s="46">
        <f t="shared" si="240"/>
        <v>428052.34695300006</v>
      </c>
      <c r="W486" s="47">
        <f t="shared" si="238"/>
        <v>428052.34695300006</v>
      </c>
      <c r="X486" s="47"/>
      <c r="Y486" s="48">
        <f t="shared" si="241"/>
        <v>340558.31309499999</v>
      </c>
      <c r="Z486" s="48">
        <f t="shared" si="242"/>
        <v>377504.28923900001</v>
      </c>
      <c r="AA486" s="48">
        <f t="shared" si="245"/>
        <v>428052.34695300006</v>
      </c>
      <c r="AB486" s="48">
        <f t="shared" si="246"/>
        <v>462168.18863599998</v>
      </c>
      <c r="AC486" s="48">
        <f t="shared" si="247"/>
        <v>498370.60442400002</v>
      </c>
      <c r="AD486" s="1"/>
      <c r="AE486" s="1"/>
      <c r="AF486" s="1"/>
      <c r="AI486" s="9"/>
      <c r="AJ486" s="1"/>
      <c r="AK486" s="1"/>
      <c r="AL486" s="1"/>
      <c r="AM486" s="1"/>
      <c r="AN486" s="1"/>
      <c r="AO486" s="1"/>
      <c r="AP486" s="9"/>
      <c r="AQ486" s="3"/>
      <c r="AR486" s="4"/>
      <c r="AS486" s="1"/>
      <c r="AT486" s="1"/>
      <c r="AU486" s="1"/>
      <c r="AV486" s="1"/>
      <c r="AW486" s="1"/>
      <c r="AX486" s="3"/>
      <c r="AY486" s="3"/>
      <c r="AZ486" s="5"/>
      <c r="BA486" s="5"/>
      <c r="BB486" s="5"/>
      <c r="BC486" s="5"/>
      <c r="BD486" s="6"/>
      <c r="BE486" s="6"/>
      <c r="BF486" s="12"/>
      <c r="BG486" s="12"/>
      <c r="BH486" s="12"/>
      <c r="BI486" s="12"/>
      <c r="BJ486" s="12"/>
    </row>
    <row r="487" spans="2:62" x14ac:dyDescent="0.25">
      <c r="B487" s="1" t="s">
        <v>421</v>
      </c>
      <c r="C487" s="1" t="s">
        <v>494</v>
      </c>
      <c r="D487" s="1" t="s">
        <v>1190</v>
      </c>
      <c r="E487" s="1" t="s">
        <v>495</v>
      </c>
      <c r="F487" s="1" t="s">
        <v>496</v>
      </c>
      <c r="G487" s="1" t="s">
        <v>1190</v>
      </c>
      <c r="H487" s="1" t="s">
        <v>1190</v>
      </c>
      <c r="I487" s="7" t="s">
        <v>322</v>
      </c>
      <c r="J487" s="44">
        <v>1</v>
      </c>
      <c r="K487" s="45">
        <v>1</v>
      </c>
      <c r="L487" s="1" t="s">
        <v>430</v>
      </c>
      <c r="M487" s="1" t="s">
        <v>426</v>
      </c>
      <c r="N487" s="1" t="s">
        <v>1140</v>
      </c>
      <c r="O487" s="1" t="s">
        <v>1189</v>
      </c>
      <c r="P487" s="1" t="s">
        <v>1190</v>
      </c>
      <c r="Q487" s="44">
        <f>IF(L487="961",Multipliers!C208,"oops")</f>
        <v>1.24</v>
      </c>
      <c r="R487" s="44">
        <f>IF(M487="CALIFORNIA",Multipliers!C14, "GOOF")</f>
        <v>1.22</v>
      </c>
      <c r="S487" s="46">
        <f t="shared" si="243"/>
        <v>503529.05680000008</v>
      </c>
      <c r="T487" s="46">
        <f t="shared" si="244"/>
        <v>476988.9754</v>
      </c>
      <c r="U487" s="46">
        <f t="shared" si="239"/>
        <v>472219.08564599999</v>
      </c>
      <c r="V487" s="46">
        <f t="shared" si="240"/>
        <v>487874.07122300006</v>
      </c>
      <c r="W487" s="47">
        <f t="shared" si="238"/>
        <v>487874.07122300006</v>
      </c>
      <c r="X487" s="47"/>
      <c r="Y487" s="48">
        <f t="shared" si="241"/>
        <v>390057.86126999999</v>
      </c>
      <c r="Z487" s="48">
        <f t="shared" si="242"/>
        <v>430765.891374</v>
      </c>
      <c r="AA487" s="48">
        <f t="shared" si="245"/>
        <v>487874.07122300001</v>
      </c>
      <c r="AB487" s="48">
        <f t="shared" si="246"/>
        <v>528268.88882599992</v>
      </c>
      <c r="AC487" s="48">
        <f t="shared" si="247"/>
        <v>569455.64523400005</v>
      </c>
      <c r="AD487" s="1"/>
      <c r="AE487" s="1"/>
      <c r="AF487" s="1"/>
      <c r="AI487" s="9"/>
      <c r="AJ487" s="1"/>
      <c r="AK487" s="1"/>
      <c r="AL487" s="1"/>
      <c r="AM487" s="1"/>
      <c r="AN487" s="1"/>
      <c r="AO487" s="1"/>
      <c r="AP487" s="9"/>
      <c r="AQ487" s="3"/>
      <c r="AR487" s="4"/>
      <c r="AS487" s="1"/>
      <c r="AT487" s="1"/>
      <c r="AU487" s="1"/>
      <c r="AV487" s="1"/>
      <c r="AW487" s="1"/>
      <c r="AX487" s="3"/>
      <c r="AY487" s="3"/>
      <c r="AZ487" s="5"/>
      <c r="BA487" s="5"/>
      <c r="BB487" s="5"/>
      <c r="BC487" s="5"/>
      <c r="BD487" s="6"/>
      <c r="BE487" s="6"/>
      <c r="BF487" s="12"/>
      <c r="BG487" s="12"/>
      <c r="BH487" s="12"/>
      <c r="BI487" s="12"/>
      <c r="BJ487" s="12"/>
    </row>
    <row r="488" spans="2:62" x14ac:dyDescent="0.25">
      <c r="B488" s="1" t="s">
        <v>421</v>
      </c>
      <c r="C488" s="1" t="s">
        <v>497</v>
      </c>
      <c r="D488" s="1" t="s">
        <v>1190</v>
      </c>
      <c r="E488" s="1" t="s">
        <v>498</v>
      </c>
      <c r="F488" s="1" t="s">
        <v>499</v>
      </c>
      <c r="G488" s="1" t="s">
        <v>500</v>
      </c>
      <c r="H488" s="1" t="s">
        <v>501</v>
      </c>
      <c r="I488" s="7" t="s">
        <v>322</v>
      </c>
      <c r="J488" s="44">
        <v>1</v>
      </c>
      <c r="K488" s="45">
        <v>1</v>
      </c>
      <c r="L488" s="1" t="s">
        <v>502</v>
      </c>
      <c r="M488" s="1" t="s">
        <v>426</v>
      </c>
      <c r="N488" s="1" t="s">
        <v>1139</v>
      </c>
      <c r="O488" s="1" t="s">
        <v>1189</v>
      </c>
      <c r="P488" s="1" t="s">
        <v>1190</v>
      </c>
      <c r="Q488" s="44">
        <f>IF(L488="923",Multipliers!C193,"oops")</f>
        <v>1.1299999999999999</v>
      </c>
      <c r="R488" s="44">
        <f>IF(M488="CALIFORNIA",Multipliers!C14, "GOOF")</f>
        <v>1.22</v>
      </c>
      <c r="S488" s="46">
        <f t="shared" si="243"/>
        <v>433270.64550000004</v>
      </c>
      <c r="T488" s="46">
        <f t="shared" si="244"/>
        <v>457472.94040000002</v>
      </c>
      <c r="U488" s="46">
        <f t="shared" si="239"/>
        <v>452898.21099600004</v>
      </c>
      <c r="V488" s="46">
        <f t="shared" si="240"/>
        <v>443084.42824800004</v>
      </c>
      <c r="W488" s="47">
        <f t="shared" si="238"/>
        <v>443084.42824800004</v>
      </c>
      <c r="X488" s="47"/>
      <c r="Y488" s="48">
        <f t="shared" si="241"/>
        <v>352433.27076999994</v>
      </c>
      <c r="Z488" s="48">
        <f t="shared" si="242"/>
        <v>390706.21192399994</v>
      </c>
      <c r="AA488" s="48">
        <f t="shared" si="245"/>
        <v>443084.42824800004</v>
      </c>
      <c r="AB488" s="48">
        <f t="shared" si="246"/>
        <v>478433.77517599997</v>
      </c>
      <c r="AC488" s="48">
        <f t="shared" si="247"/>
        <v>515914.32278399996</v>
      </c>
      <c r="AD488" s="1"/>
      <c r="AE488" s="1"/>
      <c r="AF488" s="1"/>
      <c r="AI488" s="9"/>
      <c r="AJ488" s="1"/>
      <c r="AK488" s="1"/>
      <c r="AL488" s="1"/>
      <c r="AM488" s="1"/>
      <c r="AN488" s="1"/>
      <c r="AO488" s="1"/>
      <c r="AP488" s="9"/>
      <c r="AQ488" s="3"/>
      <c r="AR488" s="4"/>
      <c r="AS488" s="1"/>
      <c r="AT488" s="1"/>
      <c r="AU488" s="1"/>
      <c r="AV488" s="1"/>
      <c r="AW488" s="1"/>
      <c r="AX488" s="3"/>
      <c r="AY488" s="3"/>
      <c r="AZ488" s="5"/>
      <c r="BA488" s="5"/>
      <c r="BB488" s="5"/>
      <c r="BC488" s="5"/>
      <c r="BD488" s="6"/>
      <c r="BE488" s="6"/>
      <c r="BF488" s="12"/>
      <c r="BG488" s="12"/>
      <c r="BH488" s="12"/>
      <c r="BI488" s="12"/>
      <c r="BJ488" s="12"/>
    </row>
    <row r="489" spans="2:62" x14ac:dyDescent="0.25">
      <c r="B489" s="1" t="s">
        <v>421</v>
      </c>
      <c r="C489" s="1" t="s">
        <v>503</v>
      </c>
      <c r="D489" s="1" t="s">
        <v>1190</v>
      </c>
      <c r="E489" s="1" t="s">
        <v>504</v>
      </c>
      <c r="F489" s="1" t="s">
        <v>505</v>
      </c>
      <c r="G489" s="1" t="s">
        <v>1190</v>
      </c>
      <c r="H489" s="1" t="s">
        <v>1190</v>
      </c>
      <c r="I489" s="7" t="s">
        <v>322</v>
      </c>
      <c r="J489" s="44">
        <v>1</v>
      </c>
      <c r="K489" s="45">
        <v>1</v>
      </c>
      <c r="L489" s="1" t="s">
        <v>506</v>
      </c>
      <c r="M489" s="1" t="s">
        <v>426</v>
      </c>
      <c r="N489" s="1" t="s">
        <v>1140</v>
      </c>
      <c r="O489" s="1" t="s">
        <v>1189</v>
      </c>
      <c r="P489" s="1" t="s">
        <v>1190</v>
      </c>
      <c r="Q489" s="44">
        <f>IF(L489="953",Multipliers!C202,"oops")</f>
        <v>1.18</v>
      </c>
      <c r="R489" s="44">
        <f>IF(M489="CALIFORNIA",Multipliers!C14, "GOOF")</f>
        <v>1.22</v>
      </c>
      <c r="S489" s="46">
        <f t="shared" si="243"/>
        <v>479164.74760000006</v>
      </c>
      <c r="T489" s="46">
        <f t="shared" si="244"/>
        <v>476988.9754</v>
      </c>
      <c r="U489" s="46">
        <f t="shared" si="239"/>
        <v>472219.08564599999</v>
      </c>
      <c r="V489" s="46">
        <f t="shared" si="240"/>
        <v>475691.91662300006</v>
      </c>
      <c r="W489" s="47">
        <f t="shared" si="238"/>
        <v>475691.91662300006</v>
      </c>
      <c r="X489" s="47"/>
      <c r="Y489" s="48">
        <f t="shared" si="241"/>
        <v>380002.08476999996</v>
      </c>
      <c r="Z489" s="48">
        <f t="shared" si="242"/>
        <v>419811.47657399997</v>
      </c>
      <c r="AA489" s="48">
        <f t="shared" si="245"/>
        <v>475691.91662300006</v>
      </c>
      <c r="AB489" s="48">
        <f t="shared" si="246"/>
        <v>515200.72112599993</v>
      </c>
      <c r="AC489" s="48">
        <f t="shared" si="247"/>
        <v>555390.09093399998</v>
      </c>
      <c r="AD489" s="1"/>
      <c r="AE489" s="1"/>
      <c r="AF489" s="1"/>
      <c r="AI489" s="9"/>
      <c r="AJ489" s="1"/>
      <c r="AK489" s="1"/>
      <c r="AL489" s="1"/>
      <c r="AM489" s="1"/>
      <c r="AN489" s="1"/>
      <c r="AO489" s="1"/>
      <c r="AP489" s="9"/>
      <c r="AQ489" s="3"/>
      <c r="AR489" s="4"/>
      <c r="AS489" s="1"/>
      <c r="AT489" s="1"/>
      <c r="AU489" s="1"/>
      <c r="AV489" s="1"/>
      <c r="AW489" s="1"/>
      <c r="AX489" s="3"/>
      <c r="AY489" s="3"/>
      <c r="AZ489" s="5"/>
      <c r="BA489" s="5"/>
      <c r="BB489" s="5"/>
      <c r="BC489" s="5"/>
      <c r="BD489" s="6"/>
      <c r="BE489" s="6"/>
      <c r="BF489" s="12"/>
      <c r="BG489" s="12"/>
      <c r="BH489" s="12"/>
      <c r="BI489" s="12"/>
      <c r="BJ489" s="12"/>
    </row>
    <row r="490" spans="2:62" x14ac:dyDescent="0.25">
      <c r="B490" s="1" t="s">
        <v>421</v>
      </c>
      <c r="C490" s="1" t="s">
        <v>507</v>
      </c>
      <c r="D490" s="1" t="s">
        <v>1772</v>
      </c>
      <c r="E490" s="1" t="s">
        <v>508</v>
      </c>
      <c r="F490" s="1" t="s">
        <v>509</v>
      </c>
      <c r="G490" s="1" t="s">
        <v>1190</v>
      </c>
      <c r="H490" s="1" t="s">
        <v>1190</v>
      </c>
      <c r="I490" s="7" t="s">
        <v>322</v>
      </c>
      <c r="J490" s="44">
        <v>1</v>
      </c>
      <c r="K490" s="45">
        <v>1</v>
      </c>
      <c r="L490" s="1" t="s">
        <v>450</v>
      </c>
      <c r="M490" s="1" t="s">
        <v>426</v>
      </c>
      <c r="N490" s="1" t="s">
        <v>1140</v>
      </c>
      <c r="O490" s="1" t="s">
        <v>1189</v>
      </c>
      <c r="P490" s="1" t="s">
        <v>1190</v>
      </c>
      <c r="Q490" s="44">
        <f>IF(L490="959",Multipliers!C206,"oops")</f>
        <v>1.2</v>
      </c>
      <c r="R490" s="44">
        <f>IF(M490="CALIFORNIA",Multipliers!C14, "GOOF")</f>
        <v>1.22</v>
      </c>
      <c r="S490" s="46">
        <f t="shared" si="243"/>
        <v>487286.18400000001</v>
      </c>
      <c r="T490" s="46">
        <f t="shared" si="244"/>
        <v>476988.9754</v>
      </c>
      <c r="U490" s="46">
        <f t="shared" si="239"/>
        <v>472219.08564599999</v>
      </c>
      <c r="V490" s="46">
        <f t="shared" si="240"/>
        <v>479752.634823</v>
      </c>
      <c r="W490" s="47">
        <f t="shared" si="238"/>
        <v>479752.634823</v>
      </c>
      <c r="X490" s="47"/>
      <c r="Y490" s="48">
        <f t="shared" si="241"/>
        <v>383354.01027000003</v>
      </c>
      <c r="Z490" s="48">
        <f t="shared" si="242"/>
        <v>423462.94817400002</v>
      </c>
      <c r="AA490" s="48">
        <f t="shared" si="245"/>
        <v>479752.63482300006</v>
      </c>
      <c r="AB490" s="48">
        <f t="shared" si="246"/>
        <v>519556.77702600003</v>
      </c>
      <c r="AC490" s="48">
        <f t="shared" si="247"/>
        <v>560078.60903400008</v>
      </c>
      <c r="AD490" s="1"/>
      <c r="AE490" s="1"/>
      <c r="AF490" s="1"/>
      <c r="AI490" s="9"/>
      <c r="AJ490" s="1"/>
      <c r="AK490" s="1"/>
      <c r="AL490" s="1"/>
      <c r="AM490" s="1"/>
      <c r="AN490" s="1"/>
      <c r="AO490" s="1"/>
      <c r="AP490" s="9"/>
      <c r="AQ490" s="3"/>
      <c r="AR490" s="4"/>
      <c r="AS490" s="1"/>
      <c r="AT490" s="1"/>
      <c r="AU490" s="1"/>
      <c r="AV490" s="1"/>
      <c r="AW490" s="1"/>
      <c r="AX490" s="3"/>
      <c r="AY490" s="3"/>
      <c r="AZ490" s="5"/>
      <c r="BA490" s="5"/>
      <c r="BB490" s="5"/>
      <c r="BC490" s="5"/>
      <c r="BD490" s="6"/>
      <c r="BE490" s="6"/>
      <c r="BF490" s="12"/>
      <c r="BG490" s="12"/>
      <c r="BH490" s="12"/>
      <c r="BI490" s="12"/>
      <c r="BJ490" s="12"/>
    </row>
    <row r="491" spans="2:62" x14ac:dyDescent="0.25">
      <c r="B491" s="1" t="s">
        <v>421</v>
      </c>
      <c r="C491" s="1" t="s">
        <v>510</v>
      </c>
      <c r="D491" s="1" t="s">
        <v>1772</v>
      </c>
      <c r="E491" s="1" t="s">
        <v>511</v>
      </c>
      <c r="F491" s="1" t="s">
        <v>512</v>
      </c>
      <c r="G491" s="1" t="s">
        <v>1190</v>
      </c>
      <c r="H491" s="1" t="s">
        <v>1190</v>
      </c>
      <c r="I491" s="7" t="s">
        <v>322</v>
      </c>
      <c r="J491" s="44">
        <v>1</v>
      </c>
      <c r="K491" s="45">
        <v>1</v>
      </c>
      <c r="L491" s="1" t="s">
        <v>470</v>
      </c>
      <c r="M491" s="1" t="s">
        <v>513</v>
      </c>
      <c r="N491" s="1" t="s">
        <v>1140</v>
      </c>
      <c r="O491" s="1" t="s">
        <v>1189</v>
      </c>
      <c r="P491" s="1" t="s">
        <v>1190</v>
      </c>
      <c r="Q491" s="44">
        <f>IF(L491="954",Multipliers!C203,"oops")</f>
        <v>1.27</v>
      </c>
      <c r="R491" s="44">
        <f>IF(M491="Santa Rosa",Multipliers!C24, "GOOF")</f>
        <v>1.25</v>
      </c>
      <c r="S491" s="46">
        <f t="shared" si="243"/>
        <v>515711.21140000003</v>
      </c>
      <c r="T491" s="46">
        <f t="shared" si="244"/>
        <v>488718.21249999997</v>
      </c>
      <c r="U491" s="46">
        <f t="shared" si="239"/>
        <v>483831.03037499997</v>
      </c>
      <c r="V491" s="46">
        <f t="shared" si="240"/>
        <v>499771.1208875</v>
      </c>
      <c r="W491" s="47">
        <f t="shared" si="238"/>
        <v>499771.1208875</v>
      </c>
      <c r="X491" s="47"/>
      <c r="Y491" s="48">
        <f t="shared" si="241"/>
        <v>399567.02362500003</v>
      </c>
      <c r="Z491" s="48">
        <f t="shared" si="242"/>
        <v>441268.704975</v>
      </c>
      <c r="AA491" s="48">
        <f t="shared" si="245"/>
        <v>499771.12088750006</v>
      </c>
      <c r="AB491" s="48">
        <f t="shared" si="246"/>
        <v>541151.99127499992</v>
      </c>
      <c r="AC491" s="48">
        <f t="shared" si="247"/>
        <v>583343.36147500016</v>
      </c>
      <c r="AD491" s="1"/>
      <c r="AE491" s="1"/>
      <c r="AF491" s="1"/>
      <c r="AI491" s="9"/>
      <c r="AJ491" s="1"/>
      <c r="AK491" s="1"/>
      <c r="AL491" s="1"/>
      <c r="AM491" s="1"/>
      <c r="AN491" s="1"/>
      <c r="AO491" s="1"/>
      <c r="AP491" s="9"/>
      <c r="AQ491" s="3"/>
      <c r="AR491" s="4"/>
      <c r="AS491" s="1"/>
      <c r="AT491" s="1"/>
      <c r="AU491" s="1"/>
      <c r="AV491" s="1"/>
      <c r="AW491" s="1"/>
      <c r="AX491" s="3"/>
      <c r="AY491" s="3"/>
      <c r="AZ491" s="5"/>
      <c r="BA491" s="5"/>
      <c r="BB491" s="5"/>
      <c r="BC491" s="5"/>
      <c r="BD491" s="6"/>
      <c r="BE491" s="6"/>
      <c r="BF491" s="12"/>
      <c r="BG491" s="12"/>
      <c r="BH491" s="12"/>
      <c r="BI491" s="12"/>
      <c r="BJ491" s="12"/>
    </row>
    <row r="492" spans="2:62" x14ac:dyDescent="0.25">
      <c r="B492" s="1" t="s">
        <v>421</v>
      </c>
      <c r="C492" s="1" t="s">
        <v>514</v>
      </c>
      <c r="D492" s="1" t="s">
        <v>1190</v>
      </c>
      <c r="E492" s="1" t="s">
        <v>516</v>
      </c>
      <c r="F492" s="1" t="s">
        <v>517</v>
      </c>
      <c r="G492" s="1" t="s">
        <v>518</v>
      </c>
      <c r="H492" s="1" t="s">
        <v>519</v>
      </c>
      <c r="I492" s="7" t="s">
        <v>322</v>
      </c>
      <c r="J492" s="44">
        <v>1</v>
      </c>
      <c r="K492" s="45">
        <v>1</v>
      </c>
      <c r="L492" s="1" t="s">
        <v>465</v>
      </c>
      <c r="M492" s="1" t="s">
        <v>466</v>
      </c>
      <c r="N492" s="1" t="s">
        <v>1140</v>
      </c>
      <c r="O492" s="1" t="s">
        <v>1189</v>
      </c>
      <c r="P492" s="1" t="s">
        <v>1190</v>
      </c>
      <c r="Q492" s="44">
        <f>IF(L492="937",Multipliers!C199,"oops")</f>
        <v>1.17</v>
      </c>
      <c r="R492" s="44">
        <f>IF(M492="Fresno",Multipliers!C16, "GOOF")</f>
        <v>1.31</v>
      </c>
      <c r="S492" s="46">
        <f t="shared" si="243"/>
        <v>475104.02940000006</v>
      </c>
      <c r="T492" s="46">
        <f t="shared" si="244"/>
        <v>512176.68670000002</v>
      </c>
      <c r="U492" s="46">
        <f t="shared" si="239"/>
        <v>507054.91983299999</v>
      </c>
      <c r="V492" s="46">
        <f t="shared" si="240"/>
        <v>491079.47461650003</v>
      </c>
      <c r="W492" s="47">
        <f t="shared" si="238"/>
        <v>491079.47461650003</v>
      </c>
      <c r="X492" s="47"/>
      <c r="Y492" s="48">
        <f t="shared" si="241"/>
        <v>391769.94433500001</v>
      </c>
      <c r="Z492" s="48">
        <f t="shared" si="242"/>
        <v>433062.55937699997</v>
      </c>
      <c r="AA492" s="48">
        <f t="shared" si="245"/>
        <v>491079.47461650008</v>
      </c>
      <c r="AB492" s="48">
        <f t="shared" si="246"/>
        <v>532069.74897299998</v>
      </c>
      <c r="AC492" s="48">
        <f t="shared" si="247"/>
        <v>573610.64915700001</v>
      </c>
      <c r="AD492" s="1"/>
      <c r="AE492" s="1"/>
      <c r="AF492" s="1"/>
      <c r="AI492" s="9"/>
      <c r="AJ492" s="1"/>
      <c r="AK492" s="1"/>
      <c r="AL492" s="1"/>
      <c r="AM492" s="1"/>
      <c r="AN492" s="1"/>
      <c r="AO492" s="1"/>
      <c r="AP492" s="9"/>
      <c r="AQ492" s="3"/>
      <c r="AR492" s="4"/>
      <c r="AS492" s="1"/>
      <c r="AT492" s="1"/>
      <c r="AU492" s="1"/>
      <c r="AV492" s="1"/>
      <c r="AW492" s="1"/>
      <c r="AX492" s="3"/>
      <c r="AY492" s="3"/>
      <c r="AZ492" s="5"/>
      <c r="BA492" s="5"/>
      <c r="BB492" s="5"/>
      <c r="BC492" s="5"/>
      <c r="BD492" s="6"/>
      <c r="BE492" s="6"/>
      <c r="BF492" s="12"/>
      <c r="BG492" s="12"/>
      <c r="BH492" s="12"/>
      <c r="BI492" s="12"/>
      <c r="BJ492" s="12"/>
    </row>
    <row r="493" spans="2:62" x14ac:dyDescent="0.25">
      <c r="B493" s="1" t="s">
        <v>421</v>
      </c>
      <c r="C493" s="1" t="s">
        <v>520</v>
      </c>
      <c r="D493" s="1" t="s">
        <v>1190</v>
      </c>
      <c r="E493" s="1" t="s">
        <v>521</v>
      </c>
      <c r="F493" s="1" t="s">
        <v>522</v>
      </c>
      <c r="G493" s="1" t="s">
        <v>523</v>
      </c>
      <c r="H493" s="1" t="s">
        <v>524</v>
      </c>
      <c r="I493" s="7" t="s">
        <v>322</v>
      </c>
      <c r="J493" s="44">
        <v>1</v>
      </c>
      <c r="K493" s="45">
        <v>1</v>
      </c>
      <c r="L493" s="1" t="s">
        <v>502</v>
      </c>
      <c r="M493" s="1" t="s">
        <v>426</v>
      </c>
      <c r="N493" s="1" t="s">
        <v>1139</v>
      </c>
      <c r="O493" s="1" t="s">
        <v>1189</v>
      </c>
      <c r="P493" s="1" t="s">
        <v>1190</v>
      </c>
      <c r="Q493" s="44">
        <f>IF(L493="923",Multipliers!C193,"oops")</f>
        <v>1.1299999999999999</v>
      </c>
      <c r="R493" s="44">
        <f>IF(M493="CALIFORNIA",Multipliers!C14, "GOOF")</f>
        <v>1.22</v>
      </c>
      <c r="S493" s="46">
        <f t="shared" si="243"/>
        <v>433270.64550000004</v>
      </c>
      <c r="T493" s="46">
        <f t="shared" si="244"/>
        <v>457472.94040000002</v>
      </c>
      <c r="U493" s="46">
        <f t="shared" si="239"/>
        <v>452898.21099600004</v>
      </c>
      <c r="V493" s="46">
        <f t="shared" si="240"/>
        <v>443084.42824800004</v>
      </c>
      <c r="W493" s="47">
        <f t="shared" si="238"/>
        <v>443084.42824800004</v>
      </c>
      <c r="X493" s="47"/>
      <c r="Y493" s="48">
        <f t="shared" si="241"/>
        <v>352433.27076999994</v>
      </c>
      <c r="Z493" s="48">
        <f t="shared" si="242"/>
        <v>390706.21192399994</v>
      </c>
      <c r="AA493" s="48">
        <f t="shared" si="245"/>
        <v>443084.42824800004</v>
      </c>
      <c r="AB493" s="48">
        <f t="shared" si="246"/>
        <v>478433.77517599997</v>
      </c>
      <c r="AC493" s="48">
        <f t="shared" si="247"/>
        <v>515914.32278399996</v>
      </c>
      <c r="AD493" s="1"/>
      <c r="AE493" s="1"/>
      <c r="AF493" s="1"/>
      <c r="AI493" s="9"/>
      <c r="AJ493" s="1"/>
      <c r="AK493" s="1"/>
      <c r="AL493" s="1"/>
      <c r="AM493" s="1"/>
      <c r="AN493" s="1"/>
      <c r="AO493" s="1"/>
      <c r="AP493" s="9"/>
      <c r="AQ493" s="3"/>
      <c r="AR493" s="4"/>
      <c r="AS493" s="1"/>
      <c r="AT493" s="1"/>
      <c r="AU493" s="1"/>
      <c r="AV493" s="1"/>
      <c r="AW493" s="1"/>
      <c r="AX493" s="3"/>
      <c r="AY493" s="3"/>
      <c r="AZ493" s="5"/>
      <c r="BA493" s="5"/>
      <c r="BB493" s="5"/>
      <c r="BC493" s="5"/>
      <c r="BD493" s="6"/>
      <c r="BE493" s="6"/>
      <c r="BF493" s="12"/>
      <c r="BG493" s="12"/>
      <c r="BH493" s="12"/>
      <c r="BI493" s="12"/>
      <c r="BJ493" s="12"/>
    </row>
    <row r="494" spans="2:62" x14ac:dyDescent="0.25">
      <c r="B494" s="1" t="s">
        <v>421</v>
      </c>
      <c r="C494" s="1" t="s">
        <v>525</v>
      </c>
      <c r="D494" s="1" t="s">
        <v>1190</v>
      </c>
      <c r="E494" s="1" t="s">
        <v>526</v>
      </c>
      <c r="F494" s="1" t="s">
        <v>527</v>
      </c>
      <c r="G494" s="1" t="s">
        <v>1190</v>
      </c>
      <c r="H494" s="1" t="s">
        <v>1190</v>
      </c>
      <c r="I494" s="7" t="s">
        <v>322</v>
      </c>
      <c r="J494" s="44">
        <v>1</v>
      </c>
      <c r="K494" s="45">
        <v>1</v>
      </c>
      <c r="L494" s="1" t="s">
        <v>450</v>
      </c>
      <c r="M494" s="1" t="s">
        <v>426</v>
      </c>
      <c r="N494" s="1" t="s">
        <v>1140</v>
      </c>
      <c r="O494" s="1" t="s">
        <v>1189</v>
      </c>
      <c r="P494" s="1" t="s">
        <v>1190</v>
      </c>
      <c r="Q494" s="44">
        <f>IF(L494="959",Multipliers!C206,"oops")</f>
        <v>1.2</v>
      </c>
      <c r="R494" s="44">
        <f>IF(M494="CALIFORNIA",Multipliers!C14, "GOOF")</f>
        <v>1.22</v>
      </c>
      <c r="S494" s="46">
        <f t="shared" si="243"/>
        <v>487286.18400000001</v>
      </c>
      <c r="T494" s="46">
        <f t="shared" si="244"/>
        <v>476988.9754</v>
      </c>
      <c r="U494" s="46">
        <f t="shared" si="239"/>
        <v>472219.08564599999</v>
      </c>
      <c r="V494" s="46">
        <f t="shared" si="240"/>
        <v>479752.634823</v>
      </c>
      <c r="W494" s="47">
        <f t="shared" si="238"/>
        <v>479752.634823</v>
      </c>
      <c r="X494" s="47"/>
      <c r="Y494" s="48">
        <f t="shared" si="241"/>
        <v>383354.01027000003</v>
      </c>
      <c r="Z494" s="48">
        <f t="shared" si="242"/>
        <v>423462.94817400002</v>
      </c>
      <c r="AA494" s="48">
        <f t="shared" si="245"/>
        <v>479752.63482300006</v>
      </c>
      <c r="AB494" s="48">
        <f t="shared" si="246"/>
        <v>519556.77702600003</v>
      </c>
      <c r="AC494" s="48">
        <f t="shared" si="247"/>
        <v>560078.60903400008</v>
      </c>
      <c r="AD494" s="1"/>
      <c r="AE494" s="1"/>
      <c r="AF494" s="1"/>
      <c r="AI494" s="9"/>
      <c r="AJ494" s="1"/>
      <c r="AK494" s="1"/>
      <c r="AL494" s="1"/>
      <c r="AM494" s="1"/>
      <c r="AN494" s="1"/>
      <c r="AO494" s="1"/>
      <c r="AP494" s="9"/>
      <c r="AQ494" s="3"/>
      <c r="AR494" s="4"/>
      <c r="AS494" s="1"/>
      <c r="AT494" s="1"/>
      <c r="AU494" s="1"/>
      <c r="AV494" s="1"/>
      <c r="AW494" s="1"/>
      <c r="AX494" s="3"/>
      <c r="AY494" s="3"/>
      <c r="AZ494" s="5"/>
      <c r="BA494" s="5"/>
      <c r="BB494" s="5"/>
      <c r="BC494" s="5"/>
      <c r="BD494" s="6"/>
      <c r="BE494" s="6"/>
      <c r="BF494" s="12"/>
      <c r="BG494" s="12"/>
      <c r="BH494" s="12"/>
      <c r="BI494" s="12"/>
      <c r="BJ494" s="12"/>
    </row>
    <row r="495" spans="2:62" x14ac:dyDescent="0.25">
      <c r="B495" s="1" t="s">
        <v>421</v>
      </c>
      <c r="C495" s="1" t="s">
        <v>528</v>
      </c>
      <c r="D495" s="1" t="s">
        <v>1190</v>
      </c>
      <c r="E495" s="1" t="s">
        <v>529</v>
      </c>
      <c r="F495" s="1" t="s">
        <v>530</v>
      </c>
      <c r="G495" s="1" t="s">
        <v>1190</v>
      </c>
      <c r="H495" s="1" t="s">
        <v>1190</v>
      </c>
      <c r="I495" s="7" t="s">
        <v>322</v>
      </c>
      <c r="J495" s="44">
        <v>1</v>
      </c>
      <c r="K495" s="45">
        <v>1</v>
      </c>
      <c r="L495" s="1" t="s">
        <v>434</v>
      </c>
      <c r="M495" s="1" t="s">
        <v>426</v>
      </c>
      <c r="N495" s="1" t="s">
        <v>1140</v>
      </c>
      <c r="O495" s="1" t="s">
        <v>1189</v>
      </c>
      <c r="P495" s="1" t="s">
        <v>1190</v>
      </c>
      <c r="Q495" s="44">
        <f>IF(L495="956",Multipliers!C205,"oops")</f>
        <v>1.24</v>
      </c>
      <c r="R495" s="44">
        <f>IF(M495="CALIFORNIA",Multipliers!C14, "GOOF")</f>
        <v>1.22</v>
      </c>
      <c r="S495" s="46">
        <f t="shared" si="243"/>
        <v>503529.05680000008</v>
      </c>
      <c r="T495" s="46">
        <f t="shared" si="244"/>
        <v>476988.9754</v>
      </c>
      <c r="U495" s="46">
        <f t="shared" si="239"/>
        <v>472219.08564599999</v>
      </c>
      <c r="V495" s="46">
        <f t="shared" si="240"/>
        <v>487874.07122300006</v>
      </c>
      <c r="W495" s="47">
        <f t="shared" si="238"/>
        <v>487874.07122300006</v>
      </c>
      <c r="X495" s="47"/>
      <c r="Y495" s="48">
        <f t="shared" si="241"/>
        <v>390057.86126999999</v>
      </c>
      <c r="Z495" s="48">
        <f t="shared" si="242"/>
        <v>430765.891374</v>
      </c>
      <c r="AA495" s="48">
        <f t="shared" si="245"/>
        <v>487874.07122300001</v>
      </c>
      <c r="AB495" s="48">
        <f t="shared" si="246"/>
        <v>528268.88882599992</v>
      </c>
      <c r="AC495" s="48">
        <f t="shared" si="247"/>
        <v>569455.64523400005</v>
      </c>
      <c r="AD495" s="1"/>
      <c r="AE495" s="1"/>
      <c r="AF495" s="1"/>
      <c r="AI495" s="9"/>
      <c r="AJ495" s="1"/>
      <c r="AK495" s="1"/>
      <c r="AL495" s="1"/>
      <c r="AM495" s="1"/>
      <c r="AN495" s="1"/>
      <c r="AO495" s="1"/>
      <c r="AP495" s="9"/>
      <c r="AQ495" s="3"/>
      <c r="AR495" s="4"/>
      <c r="AS495" s="1"/>
      <c r="AT495" s="7"/>
      <c r="AU495" s="1"/>
      <c r="AV495" s="1"/>
      <c r="AW495" s="1"/>
      <c r="AX495" s="3"/>
      <c r="AY495" s="3"/>
      <c r="AZ495" s="5"/>
      <c r="BA495" s="5"/>
      <c r="BB495" s="5"/>
      <c r="BC495" s="5"/>
      <c r="BD495" s="6"/>
      <c r="BE495" s="6"/>
      <c r="BF495" s="12"/>
      <c r="BG495" s="12"/>
      <c r="BH495" s="12"/>
      <c r="BI495" s="12"/>
      <c r="BJ495" s="12"/>
    </row>
    <row r="496" spans="2:62" x14ac:dyDescent="0.25">
      <c r="B496" s="1" t="s">
        <v>421</v>
      </c>
      <c r="C496" s="1" t="s">
        <v>531</v>
      </c>
      <c r="D496" s="1" t="s">
        <v>1190</v>
      </c>
      <c r="E496" s="1" t="s">
        <v>532</v>
      </c>
      <c r="F496" s="1" t="s">
        <v>533</v>
      </c>
      <c r="G496" s="1" t="s">
        <v>534</v>
      </c>
      <c r="H496" s="1" t="s">
        <v>535</v>
      </c>
      <c r="I496" s="7" t="s">
        <v>322</v>
      </c>
      <c r="J496" s="44">
        <v>1</v>
      </c>
      <c r="K496" s="45">
        <v>1</v>
      </c>
      <c r="L496" s="1" t="s">
        <v>470</v>
      </c>
      <c r="M496" s="1" t="s">
        <v>426</v>
      </c>
      <c r="N496" s="1" t="s">
        <v>1140</v>
      </c>
      <c r="O496" s="1" t="s">
        <v>1189</v>
      </c>
      <c r="P496" s="1" t="s">
        <v>1190</v>
      </c>
      <c r="Q496" s="44">
        <f>IF(L496="954",Multipliers!C203,"oops")</f>
        <v>1.27</v>
      </c>
      <c r="R496" s="44">
        <f>IF(M496="CALIFORNIA",Multipliers!C14, "GOOF")</f>
        <v>1.22</v>
      </c>
      <c r="S496" s="46">
        <f t="shared" si="243"/>
        <v>515711.21140000003</v>
      </c>
      <c r="T496" s="46">
        <f t="shared" si="244"/>
        <v>476988.9754</v>
      </c>
      <c r="U496" s="46">
        <f t="shared" ref="U496:U527" si="248">IF(O496="E",$T$3*T496,IF(O496="C",$T$4*T496,IF(O496="W",$T$5*T496,1)))</f>
        <v>472219.08564599999</v>
      </c>
      <c r="V496" s="46">
        <f t="shared" ref="V496:V527" si="249">(S496+U496)/2</f>
        <v>493965.14852300001</v>
      </c>
      <c r="W496" s="47">
        <f t="shared" si="238"/>
        <v>493965.14852300001</v>
      </c>
      <c r="X496" s="47"/>
      <c r="Y496" s="48">
        <f t="shared" ref="Y496:Y527" si="250">IF(N496="Standard",(((($Z$3*Q496)+($AD$3*R496*$T$5))/2)*$O$7),IF(N496="Severe",(((($AA$3*Q496)+($AE$3*R496*$T$5))/2)*$O$7),IF(N496="Hostile",(((($AB$3*Q496)+($AF$3*R496*$T$5))/2)*$O$7))))</f>
        <v>395085.74952000001</v>
      </c>
      <c r="Z496" s="48">
        <f t="shared" ref="Z496:Z527" si="251">IF(N496="Standard",(((($Z$4*Q496)+($AD$4*R496*$T$5))/2)*$O$7),IF(N496="Severe",(((($AA$4*Q496)+($AE$4*R496*$T$5))/2)*$O$7),IF(N496="Hostile",(((($AB$4*Q496)+($AF$4*R496*$T$5))/2)*$O$7))))</f>
        <v>436243.09877399995</v>
      </c>
      <c r="AA496" s="48">
        <f t="shared" si="245"/>
        <v>493965.14852300007</v>
      </c>
      <c r="AB496" s="48">
        <f t="shared" si="246"/>
        <v>534802.97267599998</v>
      </c>
      <c r="AC496" s="48">
        <f t="shared" si="247"/>
        <v>576488.42238400003</v>
      </c>
      <c r="AD496" s="1"/>
      <c r="AE496" s="1"/>
      <c r="AF496" s="1"/>
      <c r="AI496" s="9"/>
      <c r="AJ496" s="1"/>
      <c r="AK496" s="1"/>
      <c r="AL496" s="1"/>
      <c r="AM496" s="1"/>
      <c r="AN496" s="1"/>
      <c r="AO496" s="1"/>
      <c r="AP496" s="9"/>
      <c r="AQ496" s="3"/>
      <c r="AR496" s="4"/>
      <c r="AS496" s="1"/>
      <c r="AT496" s="1"/>
      <c r="AU496" s="1"/>
      <c r="AV496" s="1"/>
      <c r="AW496" s="1"/>
      <c r="AX496" s="3"/>
      <c r="AY496" s="3"/>
      <c r="AZ496" s="5"/>
      <c r="BA496" s="5"/>
      <c r="BB496" s="5"/>
      <c r="BC496" s="5"/>
      <c r="BD496" s="6"/>
      <c r="BE496" s="6"/>
      <c r="BF496" s="12"/>
      <c r="BG496" s="12"/>
      <c r="BH496" s="12"/>
      <c r="BI496" s="12"/>
      <c r="BJ496" s="12"/>
    </row>
    <row r="497" spans="2:62" x14ac:dyDescent="0.25">
      <c r="B497" s="1" t="s">
        <v>421</v>
      </c>
      <c r="C497" s="1" t="s">
        <v>536</v>
      </c>
      <c r="D497" s="1" t="s">
        <v>1190</v>
      </c>
      <c r="E497" s="1" t="s">
        <v>537</v>
      </c>
      <c r="F497" s="1" t="s">
        <v>538</v>
      </c>
      <c r="G497" s="1" t="s">
        <v>1190</v>
      </c>
      <c r="H497" s="1" t="s">
        <v>1190</v>
      </c>
      <c r="I497" s="7" t="s">
        <v>322</v>
      </c>
      <c r="J497" s="44">
        <v>1</v>
      </c>
      <c r="K497" s="45">
        <v>1</v>
      </c>
      <c r="L497" s="1" t="s">
        <v>443</v>
      </c>
      <c r="M497" s="1" t="s">
        <v>444</v>
      </c>
      <c r="N497" s="1" t="s">
        <v>1139</v>
      </c>
      <c r="O497" s="1" t="s">
        <v>1189</v>
      </c>
      <c r="P497" s="1" t="s">
        <v>1190</v>
      </c>
      <c r="Q497" s="44">
        <f>IF(L497="921",Multipliers!C191,"oops")</f>
        <v>1.1000000000000001</v>
      </c>
      <c r="R497" s="44">
        <f>IF(M497="San Diego",Multipliers!C22, "GOOF")</f>
        <v>1.17</v>
      </c>
      <c r="S497" s="46">
        <f t="shared" si="243"/>
        <v>421767.88500000013</v>
      </c>
      <c r="T497" s="46">
        <f t="shared" si="244"/>
        <v>438724.04939999996</v>
      </c>
      <c r="U497" s="46">
        <f t="shared" si="248"/>
        <v>434336.80890599993</v>
      </c>
      <c r="V497" s="46">
        <f t="shared" si="249"/>
        <v>428052.34695300006</v>
      </c>
      <c r="W497" s="47">
        <f t="shared" si="238"/>
        <v>428052.34695300006</v>
      </c>
      <c r="X497" s="47"/>
      <c r="Y497" s="48">
        <f t="shared" si="250"/>
        <v>340558.31309499999</v>
      </c>
      <c r="Z497" s="48">
        <f t="shared" si="251"/>
        <v>377504.28923900001</v>
      </c>
      <c r="AA497" s="48">
        <f t="shared" si="245"/>
        <v>428052.34695300006</v>
      </c>
      <c r="AB497" s="48">
        <f t="shared" si="246"/>
        <v>462168.18863599998</v>
      </c>
      <c r="AC497" s="48">
        <f t="shared" si="247"/>
        <v>498370.60442400002</v>
      </c>
      <c r="AD497" s="1"/>
      <c r="AE497" s="1"/>
      <c r="AF497" s="1"/>
      <c r="AI497" s="9"/>
      <c r="AJ497" s="1"/>
      <c r="AK497" s="1"/>
      <c r="AL497" s="1"/>
      <c r="AM497" s="1"/>
      <c r="AN497" s="1"/>
      <c r="AO497" s="1"/>
      <c r="AP497" s="9"/>
      <c r="AQ497" s="3"/>
      <c r="AR497" s="4"/>
      <c r="AS497" s="1"/>
      <c r="AT497" s="1"/>
      <c r="AU497" s="1"/>
      <c r="AV497" s="1"/>
      <c r="AW497" s="1"/>
      <c r="AX497" s="3"/>
      <c r="AY497" s="3"/>
      <c r="AZ497" s="5"/>
      <c r="BA497" s="5"/>
      <c r="BB497" s="5"/>
      <c r="BC497" s="5"/>
      <c r="BD497" s="6"/>
      <c r="BE497" s="6"/>
      <c r="BF497" s="12"/>
      <c r="BG497" s="12"/>
      <c r="BH497" s="12"/>
      <c r="BI497" s="12"/>
      <c r="BJ497" s="12"/>
    </row>
    <row r="498" spans="2:62" x14ac:dyDescent="0.25">
      <c r="B498" s="1" t="s">
        <v>421</v>
      </c>
      <c r="C498" s="1" t="s">
        <v>539</v>
      </c>
      <c r="D498" s="1" t="s">
        <v>1190</v>
      </c>
      <c r="E498" s="1" t="s">
        <v>540</v>
      </c>
      <c r="F498" s="1" t="s">
        <v>541</v>
      </c>
      <c r="G498" s="1" t="s">
        <v>1190</v>
      </c>
      <c r="H498" s="1" t="s">
        <v>1190</v>
      </c>
      <c r="I498" s="7" t="s">
        <v>322</v>
      </c>
      <c r="J498" s="44">
        <v>1</v>
      </c>
      <c r="K498" s="45">
        <v>1</v>
      </c>
      <c r="L498" s="1" t="s">
        <v>461</v>
      </c>
      <c r="M498" s="1" t="s">
        <v>426</v>
      </c>
      <c r="N498" s="1" t="s">
        <v>1140</v>
      </c>
      <c r="O498" s="1" t="s">
        <v>1189</v>
      </c>
      <c r="P498" s="1" t="s">
        <v>1190</v>
      </c>
      <c r="Q498" s="44">
        <f>IF(L498="935",Multipliers!C197,"oops")</f>
        <v>1.1299999999999999</v>
      </c>
      <c r="R498" s="44">
        <f>IF(M498="CALIFORNIA",Multipliers!C14, "GOOF")</f>
        <v>1.22</v>
      </c>
      <c r="S498" s="46">
        <f t="shared" si="243"/>
        <v>458861.15659999999</v>
      </c>
      <c r="T498" s="46">
        <f t="shared" si="244"/>
        <v>476988.9754</v>
      </c>
      <c r="U498" s="46">
        <f t="shared" si="248"/>
        <v>472219.08564599999</v>
      </c>
      <c r="V498" s="46">
        <f t="shared" si="249"/>
        <v>465540.12112299999</v>
      </c>
      <c r="W498" s="47">
        <f t="shared" si="238"/>
        <v>465540.12112299999</v>
      </c>
      <c r="X498" s="47"/>
      <c r="Y498" s="48">
        <f t="shared" si="250"/>
        <v>371622.27102000004</v>
      </c>
      <c r="Z498" s="48">
        <f t="shared" si="251"/>
        <v>410682.79757399991</v>
      </c>
      <c r="AA498" s="48">
        <f t="shared" si="245"/>
        <v>465540.12112300005</v>
      </c>
      <c r="AB498" s="48">
        <f t="shared" si="246"/>
        <v>504310.58137600002</v>
      </c>
      <c r="AC498" s="48">
        <f t="shared" si="247"/>
        <v>543668.7956839999</v>
      </c>
      <c r="AD498" s="1"/>
      <c r="AE498" s="1"/>
      <c r="AF498" s="1"/>
      <c r="AI498" s="9"/>
      <c r="AJ498" s="1"/>
      <c r="AK498" s="1"/>
      <c r="AL498" s="1"/>
      <c r="AM498" s="1"/>
      <c r="AN498" s="1"/>
      <c r="AO498" s="1"/>
      <c r="AP498" s="9"/>
      <c r="AQ498" s="3"/>
      <c r="AR498" s="4"/>
      <c r="AS498" s="1"/>
      <c r="AT498" s="1"/>
      <c r="AU498" s="1"/>
      <c r="AV498" s="1"/>
      <c r="AW498" s="1"/>
      <c r="AX498" s="3"/>
      <c r="AY498" s="3"/>
      <c r="AZ498" s="5"/>
      <c r="BA498" s="5"/>
      <c r="BB498" s="5"/>
      <c r="BC498" s="5"/>
      <c r="BD498" s="6"/>
      <c r="BE498" s="6"/>
      <c r="BF498" s="12"/>
      <c r="BG498" s="12"/>
      <c r="BH498" s="12"/>
      <c r="BI498" s="12"/>
      <c r="BJ498" s="12"/>
    </row>
    <row r="499" spans="2:62" x14ac:dyDescent="0.25">
      <c r="B499" s="1" t="s">
        <v>421</v>
      </c>
      <c r="C499" s="1" t="s">
        <v>542</v>
      </c>
      <c r="D499" s="1" t="s">
        <v>1190</v>
      </c>
      <c r="E499" s="1" t="s">
        <v>543</v>
      </c>
      <c r="F499" s="1" t="s">
        <v>544</v>
      </c>
      <c r="G499" s="1" t="s">
        <v>448</v>
      </c>
      <c r="H499" s="1" t="s">
        <v>449</v>
      </c>
      <c r="I499" s="7" t="s">
        <v>322</v>
      </c>
      <c r="J499" s="44">
        <v>1</v>
      </c>
      <c r="K499" s="45">
        <v>1</v>
      </c>
      <c r="L499" s="1" t="s">
        <v>470</v>
      </c>
      <c r="M499" s="1" t="s">
        <v>513</v>
      </c>
      <c r="N499" s="1" t="s">
        <v>1140</v>
      </c>
      <c r="O499" s="1" t="s">
        <v>1189</v>
      </c>
      <c r="P499" s="1" t="s">
        <v>1190</v>
      </c>
      <c r="Q499" s="44">
        <f>IF(L499="954",Multipliers!C203,"oops")</f>
        <v>1.27</v>
      </c>
      <c r="R499" s="44">
        <f>IF(M499="Santa Rosa",Multipliers!C24, "GOOF")</f>
        <v>1.25</v>
      </c>
      <c r="S499" s="46">
        <f t="shared" si="243"/>
        <v>515711.21140000003</v>
      </c>
      <c r="T499" s="46">
        <f t="shared" si="244"/>
        <v>488718.21249999997</v>
      </c>
      <c r="U499" s="46">
        <f t="shared" si="248"/>
        <v>483831.03037499997</v>
      </c>
      <c r="V499" s="46">
        <f t="shared" si="249"/>
        <v>499771.1208875</v>
      </c>
      <c r="W499" s="47">
        <f t="shared" si="238"/>
        <v>499771.1208875</v>
      </c>
      <c r="X499" s="47"/>
      <c r="Y499" s="48">
        <f t="shared" si="250"/>
        <v>399567.02362500003</v>
      </c>
      <c r="Z499" s="48">
        <f t="shared" si="251"/>
        <v>441268.704975</v>
      </c>
      <c r="AA499" s="48">
        <f t="shared" si="245"/>
        <v>499771.12088750006</v>
      </c>
      <c r="AB499" s="48">
        <f t="shared" si="246"/>
        <v>541151.99127499992</v>
      </c>
      <c r="AC499" s="48">
        <f t="shared" si="247"/>
        <v>583343.36147500016</v>
      </c>
      <c r="AD499" s="1"/>
      <c r="AE499" s="1"/>
      <c r="AF499" s="1"/>
      <c r="AI499" s="9"/>
      <c r="AJ499" s="1"/>
      <c r="AK499" s="1"/>
      <c r="AL499" s="1"/>
      <c r="AM499" s="1"/>
      <c r="AN499" s="1"/>
      <c r="AO499" s="1"/>
      <c r="AP499" s="9"/>
      <c r="AQ499" s="3"/>
      <c r="AR499" s="4"/>
      <c r="AS499" s="1"/>
      <c r="AT499" s="1"/>
      <c r="AU499" s="1"/>
      <c r="AV499" s="1"/>
      <c r="AW499" s="1"/>
      <c r="AX499" s="3"/>
      <c r="AY499" s="3"/>
      <c r="AZ499" s="5"/>
      <c r="BA499" s="5"/>
      <c r="BB499" s="5"/>
      <c r="BC499" s="5"/>
      <c r="BD499" s="6"/>
      <c r="BE499" s="6"/>
      <c r="BF499" s="12"/>
      <c r="BG499" s="12"/>
      <c r="BH499" s="12"/>
      <c r="BI499" s="12"/>
      <c r="BJ499" s="12"/>
    </row>
    <row r="500" spans="2:62" x14ac:dyDescent="0.25">
      <c r="B500" s="1" t="s">
        <v>421</v>
      </c>
      <c r="C500" s="1" t="s">
        <v>545</v>
      </c>
      <c r="D500" s="1" t="s">
        <v>1190</v>
      </c>
      <c r="E500" s="1" t="s">
        <v>546</v>
      </c>
      <c r="F500" s="1" t="s">
        <v>547</v>
      </c>
      <c r="G500" s="1" t="s">
        <v>1190</v>
      </c>
      <c r="H500" s="1" t="s">
        <v>1190</v>
      </c>
      <c r="I500" s="7" t="s">
        <v>322</v>
      </c>
      <c r="J500" s="44">
        <v>1</v>
      </c>
      <c r="K500" s="45">
        <v>1</v>
      </c>
      <c r="L500" s="1" t="s">
        <v>454</v>
      </c>
      <c r="M500" s="1" t="s">
        <v>426</v>
      </c>
      <c r="N500" s="1" t="s">
        <v>1140</v>
      </c>
      <c r="O500" s="1" t="s">
        <v>1189</v>
      </c>
      <c r="P500" s="1" t="s">
        <v>1190</v>
      </c>
      <c r="Q500" s="44">
        <f>IF(L500="955",Multipliers!C204,"oops")</f>
        <v>1.24</v>
      </c>
      <c r="R500" s="44">
        <f>IF(M500="CALIFORNIA",Multipliers!C14, "GOOF")</f>
        <v>1.22</v>
      </c>
      <c r="S500" s="46">
        <f t="shared" si="243"/>
        <v>503529.05680000008</v>
      </c>
      <c r="T500" s="46">
        <f t="shared" si="244"/>
        <v>476988.9754</v>
      </c>
      <c r="U500" s="46">
        <f t="shared" si="248"/>
        <v>472219.08564599999</v>
      </c>
      <c r="V500" s="46">
        <f t="shared" si="249"/>
        <v>487874.07122300006</v>
      </c>
      <c r="W500" s="47">
        <f t="shared" si="238"/>
        <v>487874.07122300006</v>
      </c>
      <c r="X500" s="47"/>
      <c r="Y500" s="48">
        <f t="shared" si="250"/>
        <v>390057.86126999999</v>
      </c>
      <c r="Z500" s="48">
        <f t="shared" si="251"/>
        <v>430765.891374</v>
      </c>
      <c r="AA500" s="48">
        <f>IF(N500="Standard",((($Z$5*Q500)+($AD$5*R500*$T$5))/2)*$O$7,IF(N500="Severe",((($AA$5*Q500)+($AE$5*R500*$T$5))/2)*$O$7,IF(N500="Hostile",((($AB$5*Q500)+($AF$5*R500*$T$5))/2)*$O$7)))</f>
        <v>487874.07122300001</v>
      </c>
      <c r="AB500" s="48">
        <f>IF(N500="Standard",((($Z$6*Q500)+($AD$6*R500*$T$5))/2)*$O$7,IF(N500="Severe",((($AA$6*Q500)+($AE$6*R500*$T$5))/2)*$O$7,IF(N500="Hostile",((($AB$6*Q500)+($AF$6*R500*$T$5))/2)*$O$7)))</f>
        <v>528268.88882599992</v>
      </c>
      <c r="AC500" s="48">
        <f>IF(N500="Standard",((($Z$7*Q500)+($AD$7*R500*$T$5))/2)*$O$7,IF(N500="Severe",((($AA$7*Q500)+($AE$7*R500*$T$5))/2)*$O$7,IF(N500="Hostile",((($AB$7*Q500)+($AF$7*R500*$T$5))/2)*$O$7)))</f>
        <v>569455.64523400005</v>
      </c>
      <c r="AD500" s="1"/>
      <c r="AE500" s="1"/>
      <c r="AF500" s="1"/>
      <c r="AI500" s="9"/>
      <c r="AJ500" s="1"/>
      <c r="AK500" s="1"/>
      <c r="AL500" s="1"/>
      <c r="AM500" s="1"/>
      <c r="AN500" s="1"/>
      <c r="AO500" s="1"/>
      <c r="AP500" s="9"/>
      <c r="AQ500" s="3"/>
      <c r="AR500" s="4"/>
      <c r="AS500" s="1"/>
      <c r="AT500" s="1"/>
      <c r="AU500" s="1"/>
      <c r="AV500" s="1"/>
      <c r="AW500" s="1"/>
      <c r="AX500" s="3"/>
      <c r="AY500" s="3"/>
      <c r="AZ500" s="5"/>
      <c r="BA500" s="5"/>
      <c r="BB500" s="5"/>
      <c r="BC500" s="5"/>
      <c r="BD500" s="6"/>
      <c r="BE500" s="6"/>
      <c r="BF500" s="12"/>
      <c r="BG500" s="12"/>
      <c r="BH500" s="12"/>
      <c r="BI500" s="12"/>
      <c r="BJ500" s="12"/>
    </row>
    <row r="501" spans="2:62" x14ac:dyDescent="0.25">
      <c r="B501" s="1" t="s">
        <v>421</v>
      </c>
      <c r="C501" s="1" t="s">
        <v>548</v>
      </c>
      <c r="D501" s="1" t="s">
        <v>1190</v>
      </c>
      <c r="E501" s="1" t="s">
        <v>549</v>
      </c>
      <c r="F501" s="1" t="s">
        <v>550</v>
      </c>
      <c r="G501" s="1" t="s">
        <v>1190</v>
      </c>
      <c r="H501" s="1" t="s">
        <v>1190</v>
      </c>
      <c r="I501" s="7" t="s">
        <v>322</v>
      </c>
      <c r="J501" s="44">
        <v>1</v>
      </c>
      <c r="K501" s="45">
        <v>1</v>
      </c>
      <c r="L501" s="1" t="s">
        <v>450</v>
      </c>
      <c r="M501" s="1" t="s">
        <v>426</v>
      </c>
      <c r="N501" s="1" t="s">
        <v>1140</v>
      </c>
      <c r="O501" s="1" t="s">
        <v>1189</v>
      </c>
      <c r="P501" s="1" t="s">
        <v>1190</v>
      </c>
      <c r="Q501" s="44">
        <f>IF(L501="959",Multipliers!C206,"oops")</f>
        <v>1.2</v>
      </c>
      <c r="R501" s="44">
        <f>IF(M501="CALIFORNIA",Multipliers!C14, "GOOF")</f>
        <v>1.22</v>
      </c>
      <c r="S501" s="46">
        <f t="shared" si="243"/>
        <v>487286.18400000001</v>
      </c>
      <c r="T501" s="46">
        <f t="shared" si="244"/>
        <v>476988.9754</v>
      </c>
      <c r="U501" s="46">
        <f t="shared" si="248"/>
        <v>472219.08564599999</v>
      </c>
      <c r="V501" s="46">
        <f t="shared" si="249"/>
        <v>479752.634823</v>
      </c>
      <c r="W501" s="47">
        <f t="shared" si="238"/>
        <v>479752.634823</v>
      </c>
      <c r="X501" s="47"/>
      <c r="Y501" s="48">
        <f t="shared" si="250"/>
        <v>383354.01027000003</v>
      </c>
      <c r="Z501" s="48">
        <f t="shared" si="251"/>
        <v>423462.94817400002</v>
      </c>
      <c r="AA501" s="48">
        <f>IF(N501="Standard",((($Z$5*Q501)+($AD$5*R501*$T$5))/2)*$O$7,IF(N501="Severe",((($AA$5*Q501)+($AE$5*R501*$T$5))/2)*$O$7,IF(N501="Hostile",((($AB$5*Q501)+($AF$5*R501*$T$5))/2)*$O$7)))</f>
        <v>479752.63482300006</v>
      </c>
      <c r="AB501" s="48">
        <f>IF(N501="Standard",((($Z$6*Q501)+($AD$6*R501*$T$5))/2)*$O$7,IF(N501="Severe",((($AA$6*Q501)+($AE$6*R501*$T$5))/2)*$O$7,IF(N501="Hostile",((($AB$6*Q501)+($AF$6*R501*$T$5))/2)*$O$7)))</f>
        <v>519556.77702600003</v>
      </c>
      <c r="AC501" s="48">
        <f>IF(N501="Standard",((($Z$7*Q501)+($AD$7*R501*$T$5))/2)*$O$7,IF(N501="Severe",((($AA$7*Q501)+($AE$7*R501*$T$5))/2)*$O$7,IF(N501="Hostile",((($AB$7*Q501)+($AF$7*R501*$T$5))/2)*$O$7)))</f>
        <v>560078.60903400008</v>
      </c>
      <c r="AD501" s="1"/>
      <c r="AE501" s="1"/>
      <c r="AF501" s="1"/>
      <c r="AI501" s="9"/>
      <c r="AJ501" s="1"/>
      <c r="AK501" s="1"/>
      <c r="AL501" s="1"/>
      <c r="AM501" s="1"/>
      <c r="AN501" s="1"/>
      <c r="AO501" s="1"/>
      <c r="AP501" s="9"/>
      <c r="AQ501" s="3"/>
      <c r="AR501" s="4"/>
      <c r="AS501" s="1"/>
      <c r="AT501" s="1"/>
      <c r="AU501" s="1"/>
      <c r="AV501" s="1"/>
      <c r="AW501" s="1"/>
      <c r="AX501" s="3"/>
      <c r="AY501" s="3"/>
      <c r="AZ501" s="5"/>
      <c r="BA501" s="5"/>
      <c r="BB501" s="5"/>
      <c r="BC501" s="5"/>
      <c r="BD501" s="6"/>
      <c r="BE501" s="6"/>
      <c r="BF501" s="12"/>
      <c r="BG501" s="12"/>
      <c r="BH501" s="12"/>
      <c r="BI501" s="12"/>
      <c r="BJ501" s="12"/>
    </row>
    <row r="502" spans="2:62" x14ac:dyDescent="0.25">
      <c r="B502" s="1" t="s">
        <v>421</v>
      </c>
      <c r="C502" s="1" t="s">
        <v>551</v>
      </c>
      <c r="D502" s="1" t="s">
        <v>1190</v>
      </c>
      <c r="E502" s="1" t="s">
        <v>552</v>
      </c>
      <c r="F502" s="1" t="s">
        <v>553</v>
      </c>
      <c r="G502" s="1" t="s">
        <v>554</v>
      </c>
      <c r="H502" s="1" t="s">
        <v>555</v>
      </c>
      <c r="I502" s="7" t="s">
        <v>322</v>
      </c>
      <c r="J502" s="44">
        <v>1</v>
      </c>
      <c r="K502" s="45">
        <v>1</v>
      </c>
      <c r="L502" s="1" t="s">
        <v>430</v>
      </c>
      <c r="M502" s="1" t="s">
        <v>556</v>
      </c>
      <c r="N502" s="1" t="s">
        <v>1140</v>
      </c>
      <c r="O502" s="1" t="s">
        <v>1189</v>
      </c>
      <c r="P502" s="1" t="s">
        <v>1190</v>
      </c>
      <c r="Q502" s="44">
        <f>IF(L502="961",Multipliers!C208,"oops")</f>
        <v>1.24</v>
      </c>
      <c r="R502" s="44">
        <f>IF(M502="Susanville",Multipliers!C25, "GOOF")</f>
        <v>1.17</v>
      </c>
      <c r="S502" s="46">
        <f t="shared" si="243"/>
        <v>503529.05680000008</v>
      </c>
      <c r="T502" s="46">
        <f t="shared" si="244"/>
        <v>457440.24689999997</v>
      </c>
      <c r="U502" s="46">
        <f t="shared" si="248"/>
        <v>452865.84443099995</v>
      </c>
      <c r="V502" s="46">
        <f t="shared" si="249"/>
        <v>478197.45061549998</v>
      </c>
      <c r="W502" s="47">
        <f t="shared" si="238"/>
        <v>478197.45061549998</v>
      </c>
      <c r="X502" s="47"/>
      <c r="Y502" s="48">
        <f t="shared" si="250"/>
        <v>382589.07109500002</v>
      </c>
      <c r="Z502" s="48">
        <f t="shared" si="251"/>
        <v>422389.88103899994</v>
      </c>
      <c r="AA502" s="48">
        <f>IF(N502="Standard",((($Z$5*Q502)+($AD$5*R502*$T$5))/2)*$O$7,IF(N502="Severe",((($AA$5*Q502)+($AE$5*R502*$T$5))/2)*$O$7,IF(N502="Hostile",((($AB$5*Q502)+($AF$5*R502*$T$5))/2)*$O$7)))</f>
        <v>478197.45061550004</v>
      </c>
      <c r="AB502" s="48">
        <f>IF(N502="Standard",((($Z$6*Q502)+($AD$6*R502*$T$5))/2)*$O$7,IF(N502="Severe",((($AA$6*Q502)+($AE$6*R502*$T$5))/2)*$O$7,IF(N502="Hostile",((($AB$6*Q502)+($AF$6*R502*$T$5))/2)*$O$7)))</f>
        <v>517687.19116099994</v>
      </c>
      <c r="AC502" s="48">
        <f>IF(N502="Standard",((($Z$7*Q502)+($AD$7*R502*$T$5))/2)*$O$7,IF(N502="Severe",((($AA$7*Q502)+($AE$7*R502*$T$5))/2)*$O$7,IF(N502="Hostile",((($AB$7*Q502)+($AF$7*R502*$T$5))/2)*$O$7)))</f>
        <v>558030.74674900004</v>
      </c>
      <c r="AD502" s="1"/>
      <c r="AE502" s="1"/>
      <c r="AF502" s="1"/>
      <c r="AI502" s="9"/>
      <c r="AJ502" s="1"/>
      <c r="AK502" s="1"/>
      <c r="AL502" s="1"/>
      <c r="AM502" s="1"/>
      <c r="AN502" s="1"/>
      <c r="AO502" s="1"/>
      <c r="AP502" s="9"/>
      <c r="AQ502" s="3"/>
      <c r="AR502" s="4"/>
      <c r="AS502" s="1"/>
      <c r="AT502" s="1"/>
      <c r="AU502" s="1"/>
      <c r="AV502" s="1"/>
      <c r="AW502" s="1"/>
      <c r="AX502" s="3"/>
      <c r="AY502" s="3"/>
      <c r="AZ502" s="5"/>
      <c r="BA502" s="5"/>
      <c r="BB502" s="5"/>
      <c r="BC502" s="5"/>
      <c r="BD502" s="6"/>
      <c r="BE502" s="6"/>
      <c r="BF502" s="12"/>
      <c r="BG502" s="12"/>
      <c r="BH502" s="12"/>
      <c r="BI502" s="12"/>
      <c r="BJ502" s="12"/>
    </row>
    <row r="503" spans="2:62" x14ac:dyDescent="0.25">
      <c r="B503" s="1" t="s">
        <v>421</v>
      </c>
      <c r="C503" s="1" t="s">
        <v>557</v>
      </c>
      <c r="D503" s="1" t="s">
        <v>1190</v>
      </c>
      <c r="E503" s="1" t="s">
        <v>558</v>
      </c>
      <c r="F503" s="1" t="s">
        <v>559</v>
      </c>
      <c r="G503" s="1" t="s">
        <v>459</v>
      </c>
      <c r="H503" s="1" t="s">
        <v>460</v>
      </c>
      <c r="I503" s="7" t="s">
        <v>322</v>
      </c>
      <c r="J503" s="44">
        <v>1</v>
      </c>
      <c r="K503" s="45">
        <v>1</v>
      </c>
      <c r="L503" s="1" t="s">
        <v>461</v>
      </c>
      <c r="M503" s="1" t="s">
        <v>426</v>
      </c>
      <c r="N503" s="1" t="s">
        <v>1140</v>
      </c>
      <c r="O503" s="1" t="s">
        <v>1189</v>
      </c>
      <c r="P503" s="1" t="s">
        <v>1190</v>
      </c>
      <c r="Q503" s="44">
        <f>IF(L503="935",Multipliers!C197,"oops")</f>
        <v>1.1299999999999999</v>
      </c>
      <c r="R503" s="44">
        <f>IF(M503="CALIFORNIA",Multipliers!C14, "GOOF")</f>
        <v>1.22</v>
      </c>
      <c r="S503" s="46">
        <f t="shared" si="243"/>
        <v>458861.15659999999</v>
      </c>
      <c r="T503" s="46">
        <f t="shared" si="244"/>
        <v>476988.9754</v>
      </c>
      <c r="U503" s="46">
        <f t="shared" si="248"/>
        <v>472219.08564599999</v>
      </c>
      <c r="V503" s="46">
        <f t="shared" si="249"/>
        <v>465540.12112299999</v>
      </c>
      <c r="W503" s="47">
        <f>IF(F503=F505,(V503+V505)/2,IF(F503=F502,(V503+V502)/2,IF(F503&lt;&gt;F502,V503)))</f>
        <v>465540.12112299999</v>
      </c>
      <c r="X503" s="47"/>
      <c r="Y503" s="48">
        <f t="shared" si="250"/>
        <v>371622.27102000004</v>
      </c>
      <c r="Z503" s="48">
        <f t="shared" si="251"/>
        <v>410682.79757399991</v>
      </c>
      <c r="AA503" s="48">
        <f>IF(N503="Standard",((($Z$5*Q503)+($AD$5*R503*$T$5))/2)*$O$7,IF(N503="Severe",((($AA$5*Q503)+($AE$5*R503*$T$5))/2)*$O$7,IF(N503="Hostile",((($AB$5*Q503)+($AF$5*R503*$T$5))/2)*$O$7)))</f>
        <v>465540.12112300005</v>
      </c>
      <c r="AB503" s="48">
        <f>IF(N503="Standard",((($Z$6*Q503)+($AD$6*R503*$T$5))/2)*$O$7,IF(N503="Severe",((($AA$6*Q503)+($AE$6*R503*$T$5))/2)*$O$7,IF(N503="Hostile",((($AB$6*Q503)+($AF$6*R503*$T$5))/2)*$O$7)))</f>
        <v>504310.58137600002</v>
      </c>
      <c r="AC503" s="48">
        <f>IF(N503="Standard",((($Z$7*Q503)+($AD$7*R503*$T$5))/2)*$O$7,IF(N503="Severe",((($AA$7*Q503)+($AE$7*R503*$T$5))/2)*$O$7,IF(N503="Hostile",((($AB$7*Q503)+($AF$7*R503*$T$5))/2)*$O$7)))</f>
        <v>543668.7956839999</v>
      </c>
      <c r="AD503" s="1"/>
      <c r="AE503" s="1"/>
      <c r="AF503" s="1"/>
      <c r="AI503" s="9"/>
      <c r="AJ503" s="1"/>
      <c r="AK503" s="1"/>
      <c r="AL503" s="1"/>
      <c r="AM503" s="1"/>
      <c r="AN503" s="1"/>
      <c r="AO503" s="1"/>
      <c r="AP503" s="9"/>
      <c r="AQ503" s="3"/>
      <c r="AR503" s="4"/>
      <c r="AS503" s="1"/>
      <c r="AT503" s="1"/>
      <c r="AU503" s="1"/>
      <c r="AV503" s="1"/>
      <c r="AW503" s="1"/>
      <c r="AX503" s="3"/>
      <c r="AY503" s="3"/>
      <c r="AZ503" s="5"/>
      <c r="BA503" s="5"/>
      <c r="BB503" s="5"/>
      <c r="BC503" s="5"/>
      <c r="BD503" s="6"/>
      <c r="BE503" s="6"/>
      <c r="BF503" s="12"/>
      <c r="BG503" s="12"/>
      <c r="BH503" s="12"/>
      <c r="BI503" s="12"/>
      <c r="BJ503" s="12"/>
    </row>
    <row r="504" spans="2:62" x14ac:dyDescent="0.25">
      <c r="B504" s="1" t="s">
        <v>421</v>
      </c>
      <c r="C504" s="1"/>
      <c r="D504" s="1"/>
      <c r="E504" s="1"/>
      <c r="F504" s="1" t="s">
        <v>560</v>
      </c>
      <c r="G504" s="1"/>
      <c r="H504" s="1"/>
      <c r="I504" s="7" t="s">
        <v>322</v>
      </c>
      <c r="J504" s="49">
        <v>1</v>
      </c>
      <c r="K504" s="1">
        <v>1</v>
      </c>
      <c r="L504" s="7" t="s">
        <v>561</v>
      </c>
      <c r="M504" s="1" t="s">
        <v>562</v>
      </c>
      <c r="N504" s="1" t="s">
        <v>1140</v>
      </c>
      <c r="O504" s="1" t="s">
        <v>1189</v>
      </c>
      <c r="P504" s="1"/>
      <c r="Q504" s="44">
        <f>IF(L504="949",Multipliers!C200,"oops")</f>
        <v>1.3</v>
      </c>
      <c r="R504" s="44">
        <f>IF(M504="Marin",Multipliers!C19, "GOOF")</f>
        <v>1.38</v>
      </c>
      <c r="S504" s="46">
        <f t="shared" si="243"/>
        <v>527893.36600000015</v>
      </c>
      <c r="T504" s="46">
        <f t="shared" si="244"/>
        <v>539544.90659999999</v>
      </c>
      <c r="U504" s="46">
        <f t="shared" si="248"/>
        <v>534149.45753399993</v>
      </c>
      <c r="V504" s="46">
        <f t="shared" si="249"/>
        <v>531021.4117670001</v>
      </c>
      <c r="W504" s="47">
        <f>IF(F504=F520,(V504+V520)/2,IF(F504=F430,(V504+V430)/2,IF(F504&lt;&gt;F430,V504)))</f>
        <v>531021.4117670001</v>
      </c>
      <c r="X504" s="47"/>
      <c r="Y504" s="48">
        <f t="shared" si="250"/>
        <v>424013.76632999995</v>
      </c>
      <c r="Z504" s="48">
        <f t="shared" si="251"/>
        <v>468523.539246</v>
      </c>
      <c r="AA504" s="48">
        <f>IF(N504="Standard",((($Z$5*Q504)+($AD$5*R504*$T$4))/2)*$O$7,IF(N504="Severe",((($AA$5*Q504)+($AE$5*R504*$T$4))/2)*$O$7,IF(N504="Hostile",((($AB$5*Q504)+($AF$5*R504*$T$4))/2)*$O$7)))</f>
        <v>525625.96270100004</v>
      </c>
      <c r="AB504" s="48">
        <f>IF(N504="Standard",((($Z$6*Q504)+($AD$6*R504*$T$4))/2)*$O$7,IF(N504="Severe",((($AA$6*Q504)+($AE$6*R504*$T$4))/2)*$O$7,IF(N504="Hostile",((($AB$6*Q504)+($AF$6*R504*$T$4))/2)*$O$7)))</f>
        <v>569298.390962</v>
      </c>
      <c r="AC504" s="48">
        <f>IF(N504="Standard",((($Z$7*Q504)+($AD$7*R504*$T$4))/2)*$O$7,IF(N504="Severe",((($AA$7*Q504)+($AE$7*R504*$T$4))/2)*$O$7,IF(N504="Hostile",((($AB$7*Q504)+($AF$7*R504*$T$4))/2)*$O$7)))</f>
        <v>613710.6282579999</v>
      </c>
      <c r="AD504" s="1"/>
      <c r="AE504" s="1"/>
      <c r="AF504" s="1"/>
      <c r="AI504" s="9"/>
      <c r="AJ504" s="1"/>
      <c r="AK504" s="1"/>
      <c r="AL504" s="1"/>
      <c r="AM504" s="1"/>
      <c r="AN504" s="1"/>
      <c r="AO504" s="1"/>
      <c r="AP504" s="9"/>
      <c r="AQ504" s="3"/>
      <c r="AR504" s="4"/>
      <c r="AS504" s="1"/>
      <c r="AT504" s="1"/>
      <c r="AU504" s="1"/>
      <c r="AV504" s="1"/>
      <c r="AW504" s="1"/>
      <c r="AX504" s="3"/>
      <c r="AY504" s="3"/>
      <c r="AZ504" s="5"/>
      <c r="BA504" s="5"/>
      <c r="BB504" s="5"/>
      <c r="BC504" s="5"/>
      <c r="BD504" s="6"/>
      <c r="BE504" s="6"/>
      <c r="BF504" s="12"/>
      <c r="BG504" s="12"/>
      <c r="BH504" s="12"/>
      <c r="BI504" s="12"/>
      <c r="BJ504" s="12"/>
    </row>
    <row r="505" spans="2:62" x14ac:dyDescent="0.25">
      <c r="B505" s="1" t="s">
        <v>421</v>
      </c>
      <c r="C505" s="1" t="s">
        <v>563</v>
      </c>
      <c r="D505" s="1" t="s">
        <v>1190</v>
      </c>
      <c r="E505" s="1" t="s">
        <v>564</v>
      </c>
      <c r="F505" s="1" t="s">
        <v>565</v>
      </c>
      <c r="G505" s="1" t="s">
        <v>1190</v>
      </c>
      <c r="H505" s="1" t="s">
        <v>1190</v>
      </c>
      <c r="I505" s="7" t="s">
        <v>322</v>
      </c>
      <c r="J505" s="44">
        <v>1</v>
      </c>
      <c r="K505" s="45">
        <v>1</v>
      </c>
      <c r="L505" s="1" t="s">
        <v>450</v>
      </c>
      <c r="M505" s="1" t="s">
        <v>426</v>
      </c>
      <c r="N505" s="1" t="s">
        <v>1140</v>
      </c>
      <c r="O505" s="1" t="s">
        <v>1189</v>
      </c>
      <c r="P505" s="1" t="s">
        <v>1190</v>
      </c>
      <c r="Q505" s="44">
        <f>IF(L505="959",Multipliers!C206,"oops")</f>
        <v>1.2</v>
      </c>
      <c r="R505" s="44">
        <f>IF(M505="CALIFORNIA",Multipliers!C14, "GOOF")</f>
        <v>1.22</v>
      </c>
      <c r="S505" s="46">
        <f t="shared" si="243"/>
        <v>487286.18400000001</v>
      </c>
      <c r="T505" s="46">
        <f t="shared" si="244"/>
        <v>476988.9754</v>
      </c>
      <c r="U505" s="46">
        <f t="shared" si="248"/>
        <v>472219.08564599999</v>
      </c>
      <c r="V505" s="46">
        <f t="shared" si="249"/>
        <v>479752.634823</v>
      </c>
      <c r="W505" s="47">
        <f>IF(F505=F506,(V505+V506)/2,IF(F505=F503,(V505+V503)/2,IF(F505&lt;&gt;F503,V505)))</f>
        <v>479752.634823</v>
      </c>
      <c r="X505" s="47"/>
      <c r="Y505" s="48">
        <f t="shared" si="250"/>
        <v>383354.01027000003</v>
      </c>
      <c r="Z505" s="48">
        <f t="shared" si="251"/>
        <v>423462.94817400002</v>
      </c>
      <c r="AA505" s="48">
        <f t="shared" ref="AA505:AA519" si="252">IF(N505="Standard",((($Z$5*Q505)+($AD$5*R505*$T$5))/2)*$O$7,IF(N505="Severe",((($AA$5*Q505)+($AE$5*R505*$T$5))/2)*$O$7,IF(N505="Hostile",((($AB$5*Q505)+($AF$5*R505*$T$5))/2)*$O$7)))</f>
        <v>479752.63482300006</v>
      </c>
      <c r="AB505" s="48">
        <f t="shared" ref="AB505:AB519" si="253">IF(N505="Standard",((($Z$6*Q505)+($AD$6*R505*$T$5))/2)*$O$7,IF(N505="Severe",((($AA$6*Q505)+($AE$6*R505*$T$5))/2)*$O$7,IF(N505="Hostile",((($AB$6*Q505)+($AF$6*R505*$T$5))/2)*$O$7)))</f>
        <v>519556.77702600003</v>
      </c>
      <c r="AC505" s="48">
        <f t="shared" ref="AC505:AC519" si="254">IF(N505="Standard",((($Z$7*Q505)+($AD$7*R505*$T$5))/2)*$O$7,IF(N505="Severe",((($AA$7*Q505)+($AE$7*R505*$T$5))/2)*$O$7,IF(N505="Hostile",((($AB$7*Q505)+($AF$7*R505*$T$5))/2)*$O$7)))</f>
        <v>560078.60903400008</v>
      </c>
      <c r="AD505" s="1"/>
      <c r="AE505" s="1"/>
      <c r="AF505" s="1"/>
      <c r="AI505" s="9"/>
      <c r="AJ505" s="1"/>
      <c r="AK505" s="1"/>
      <c r="AL505" s="1"/>
      <c r="AM505" s="1"/>
      <c r="AN505" s="1"/>
      <c r="AO505" s="1"/>
      <c r="AP505" s="9"/>
      <c r="AQ505" s="3"/>
      <c r="AR505" s="4"/>
      <c r="AS505" s="1"/>
      <c r="AT505" s="1"/>
      <c r="AU505" s="1"/>
      <c r="AV505" s="1"/>
      <c r="AW505" s="1"/>
      <c r="AX505" s="3"/>
      <c r="AY505" s="3"/>
      <c r="AZ505" s="5"/>
      <c r="BA505" s="5"/>
      <c r="BB505" s="5"/>
      <c r="BC505" s="5"/>
      <c r="BD505" s="6"/>
      <c r="BE505" s="6"/>
      <c r="BF505" s="12"/>
      <c r="BG505" s="12"/>
      <c r="BH505" s="12"/>
      <c r="BI505" s="12"/>
      <c r="BJ505" s="12"/>
    </row>
    <row r="506" spans="2:62" x14ac:dyDescent="0.25">
      <c r="B506" s="1" t="s">
        <v>421</v>
      </c>
      <c r="C506" s="1" t="s">
        <v>566</v>
      </c>
      <c r="D506" s="1" t="s">
        <v>1190</v>
      </c>
      <c r="E506" s="1" t="s">
        <v>567</v>
      </c>
      <c r="F506" s="1" t="s">
        <v>568</v>
      </c>
      <c r="G506" s="1" t="s">
        <v>554</v>
      </c>
      <c r="H506" s="1" t="s">
        <v>555</v>
      </c>
      <c r="I506" s="7" t="s">
        <v>322</v>
      </c>
      <c r="J506" s="44">
        <v>1</v>
      </c>
      <c r="K506" s="45">
        <v>1</v>
      </c>
      <c r="L506" s="1" t="s">
        <v>450</v>
      </c>
      <c r="M506" s="1" t="s">
        <v>556</v>
      </c>
      <c r="N506" s="1" t="s">
        <v>1140</v>
      </c>
      <c r="O506" s="1" t="s">
        <v>1189</v>
      </c>
      <c r="P506" s="1" t="s">
        <v>1190</v>
      </c>
      <c r="Q506" s="44">
        <f>IF(L506="959",Multipliers!C206,"oops")</f>
        <v>1.2</v>
      </c>
      <c r="R506" s="44">
        <f>IF(M506="Susanville",Multipliers!C25, "GOOF")</f>
        <v>1.17</v>
      </c>
      <c r="S506" s="46">
        <f t="shared" si="243"/>
        <v>487286.18400000001</v>
      </c>
      <c r="T506" s="46">
        <f t="shared" si="244"/>
        <v>457440.24689999997</v>
      </c>
      <c r="U506" s="46">
        <f t="shared" si="248"/>
        <v>452865.84443099995</v>
      </c>
      <c r="V506" s="46">
        <f t="shared" si="249"/>
        <v>470076.01421549998</v>
      </c>
      <c r="W506" s="47">
        <f t="shared" ref="W506:W518" si="255">IF(F506=F507,(V506+V507)/2,IF(F506=F505,(V506+V505)/2,IF(F506&lt;&gt;F505,V506)))</f>
        <v>470076.01421549998</v>
      </c>
      <c r="X506" s="47"/>
      <c r="Y506" s="48">
        <f t="shared" si="250"/>
        <v>375885.220095</v>
      </c>
      <c r="Z506" s="48">
        <f t="shared" si="251"/>
        <v>415086.9378389999</v>
      </c>
      <c r="AA506" s="48">
        <f t="shared" si="252"/>
        <v>470076.01421550009</v>
      </c>
      <c r="AB506" s="48">
        <f t="shared" si="253"/>
        <v>508975.07936100004</v>
      </c>
      <c r="AC506" s="48">
        <f t="shared" si="254"/>
        <v>548653.71054899995</v>
      </c>
      <c r="AD506" s="1"/>
      <c r="AE506" s="1"/>
      <c r="AF506" s="1"/>
      <c r="AI506" s="9"/>
      <c r="AJ506" s="1"/>
      <c r="AK506" s="1"/>
      <c r="AL506" s="1"/>
      <c r="AM506" s="1"/>
      <c r="AN506" s="1"/>
      <c r="AO506" s="1"/>
      <c r="AP506" s="9"/>
      <c r="AQ506" s="3"/>
      <c r="AR506" s="4"/>
      <c r="AS506" s="1"/>
      <c r="AT506" s="1"/>
      <c r="AU506" s="1"/>
      <c r="AV506" s="1"/>
      <c r="AW506" s="1"/>
      <c r="AX506" s="3"/>
      <c r="AY506" s="3"/>
      <c r="AZ506" s="5"/>
      <c r="BA506" s="5"/>
      <c r="BB506" s="5"/>
      <c r="BC506" s="5"/>
      <c r="BD506" s="6"/>
      <c r="BE506" s="6"/>
      <c r="BF506" s="12"/>
      <c r="BG506" s="12"/>
      <c r="BH506" s="12"/>
      <c r="BI506" s="12"/>
      <c r="BJ506" s="12"/>
    </row>
    <row r="507" spans="2:62" x14ac:dyDescent="0.25">
      <c r="B507" s="1" t="s">
        <v>421</v>
      </c>
      <c r="C507" s="1" t="s">
        <v>569</v>
      </c>
      <c r="D507" s="1" t="s">
        <v>1766</v>
      </c>
      <c r="E507" s="1" t="s">
        <v>570</v>
      </c>
      <c r="F507" s="1" t="s">
        <v>571</v>
      </c>
      <c r="G507" s="1" t="s">
        <v>448</v>
      </c>
      <c r="H507" s="1" t="s">
        <v>449</v>
      </c>
      <c r="I507" s="7" t="s">
        <v>322</v>
      </c>
      <c r="J507" s="44">
        <v>1</v>
      </c>
      <c r="K507" s="45">
        <v>1</v>
      </c>
      <c r="L507" s="1" t="s">
        <v>470</v>
      </c>
      <c r="M507" s="1" t="s">
        <v>426</v>
      </c>
      <c r="N507" s="1" t="s">
        <v>1140</v>
      </c>
      <c r="O507" s="1" t="s">
        <v>1189</v>
      </c>
      <c r="P507" s="1" t="s">
        <v>1190</v>
      </c>
      <c r="Q507" s="44">
        <f>IF(L507="954",Multipliers!C203,"oops")</f>
        <v>1.27</v>
      </c>
      <c r="R507" s="44">
        <f>IF(M507="CALIFORNIA",Multipliers!C14, "GOOF")</f>
        <v>1.22</v>
      </c>
      <c r="S507" s="46">
        <f t="shared" si="243"/>
        <v>515711.21140000003</v>
      </c>
      <c r="T507" s="46">
        <f t="shared" si="244"/>
        <v>476988.9754</v>
      </c>
      <c r="U507" s="46">
        <f t="shared" si="248"/>
        <v>472219.08564599999</v>
      </c>
      <c r="V507" s="46">
        <f t="shared" si="249"/>
        <v>493965.14852300001</v>
      </c>
      <c r="W507" s="47">
        <f t="shared" si="255"/>
        <v>493965.14852300001</v>
      </c>
      <c r="X507" s="47"/>
      <c r="Y507" s="48">
        <f t="shared" si="250"/>
        <v>395085.74952000001</v>
      </c>
      <c r="Z507" s="48">
        <f t="shared" si="251"/>
        <v>436243.09877399995</v>
      </c>
      <c r="AA507" s="48">
        <f t="shared" si="252"/>
        <v>493965.14852300007</v>
      </c>
      <c r="AB507" s="48">
        <f t="shared" si="253"/>
        <v>534802.97267599998</v>
      </c>
      <c r="AC507" s="48">
        <f t="shared" si="254"/>
        <v>576488.42238400003</v>
      </c>
      <c r="AD507" s="1"/>
      <c r="AE507" s="1"/>
      <c r="AF507" s="1"/>
      <c r="AI507" s="9"/>
      <c r="AJ507" s="1"/>
      <c r="AK507" s="1"/>
      <c r="AL507" s="1"/>
      <c r="AM507" s="1"/>
      <c r="AN507" s="1"/>
      <c r="AO507" s="1"/>
      <c r="AP507" s="9"/>
      <c r="AQ507" s="3"/>
      <c r="AR507" s="4"/>
      <c r="AS507" s="1"/>
      <c r="AT507" s="1"/>
      <c r="AU507" s="1"/>
      <c r="AV507" s="1"/>
      <c r="AW507" s="1"/>
      <c r="AX507" s="3"/>
      <c r="AY507" s="3"/>
      <c r="AZ507" s="5"/>
      <c r="BA507" s="5"/>
      <c r="BB507" s="5"/>
      <c r="BC507" s="5"/>
      <c r="BD507" s="6"/>
      <c r="BE507" s="6"/>
      <c r="BF507" s="12"/>
      <c r="BG507" s="12"/>
      <c r="BH507" s="12"/>
      <c r="BI507" s="12"/>
      <c r="BJ507" s="12"/>
    </row>
    <row r="508" spans="2:62" x14ac:dyDescent="0.25">
      <c r="B508" s="1" t="s">
        <v>421</v>
      </c>
      <c r="C508" s="1" t="s">
        <v>572</v>
      </c>
      <c r="D508" s="1" t="s">
        <v>1190</v>
      </c>
      <c r="E508" s="1" t="s">
        <v>573</v>
      </c>
      <c r="F508" s="1" t="s">
        <v>574</v>
      </c>
      <c r="G508" s="1" t="s">
        <v>575</v>
      </c>
      <c r="H508" s="1" t="s">
        <v>576</v>
      </c>
      <c r="I508" s="7" t="s">
        <v>322</v>
      </c>
      <c r="J508" s="44">
        <v>1</v>
      </c>
      <c r="K508" s="45">
        <v>1</v>
      </c>
      <c r="L508" s="1" t="s">
        <v>454</v>
      </c>
      <c r="M508" s="1" t="s">
        <v>455</v>
      </c>
      <c r="N508" s="1" t="s">
        <v>1140</v>
      </c>
      <c r="O508" s="1" t="s">
        <v>1189</v>
      </c>
      <c r="P508" s="1" t="s">
        <v>1190</v>
      </c>
      <c r="Q508" s="44">
        <f>IF(L508="955",Multipliers!C204,"oops")</f>
        <v>1.24</v>
      </c>
      <c r="R508" s="44">
        <f>IF(M508="Eureka",Multipliers!C15, "GOOF")</f>
        <v>1.26</v>
      </c>
      <c r="S508" s="46">
        <f t="shared" si="243"/>
        <v>503529.05680000008</v>
      </c>
      <c r="T508" s="46">
        <f t="shared" si="244"/>
        <v>492627.95820000005</v>
      </c>
      <c r="U508" s="46">
        <f t="shared" si="248"/>
        <v>487701.67861800006</v>
      </c>
      <c r="V508" s="46">
        <f t="shared" si="249"/>
        <v>495615.36770900007</v>
      </c>
      <c r="W508" s="47">
        <f t="shared" si="255"/>
        <v>495615.36770900007</v>
      </c>
      <c r="X508" s="47"/>
      <c r="Y508" s="48">
        <f t="shared" si="250"/>
        <v>396032.89341000002</v>
      </c>
      <c r="Z508" s="48">
        <f t="shared" si="251"/>
        <v>437466.69964199996</v>
      </c>
      <c r="AA508" s="48">
        <f t="shared" si="252"/>
        <v>495615.36770900013</v>
      </c>
      <c r="AB508" s="48">
        <f t="shared" si="253"/>
        <v>536734.24695800012</v>
      </c>
      <c r="AC508" s="48">
        <f t="shared" si="254"/>
        <v>578595.56402199995</v>
      </c>
      <c r="AD508" s="1"/>
      <c r="AE508" s="1"/>
      <c r="AF508" s="1"/>
      <c r="AI508" s="9"/>
      <c r="AJ508" s="1"/>
      <c r="AK508" s="1"/>
      <c r="AL508" s="1"/>
      <c r="AM508" s="1"/>
      <c r="AN508" s="1"/>
      <c r="AO508" s="1"/>
      <c r="AP508" s="9"/>
      <c r="AQ508" s="3"/>
      <c r="AR508" s="4"/>
      <c r="AS508" s="1"/>
      <c r="AT508" s="1"/>
      <c r="AU508" s="1"/>
      <c r="AV508" s="1"/>
      <c r="AW508" s="1"/>
      <c r="AX508" s="3"/>
      <c r="AY508" s="3"/>
      <c r="AZ508" s="5"/>
      <c r="BA508" s="5"/>
      <c r="BB508" s="5"/>
      <c r="BC508" s="5"/>
      <c r="BD508" s="6"/>
      <c r="BE508" s="6"/>
      <c r="BF508" s="12"/>
      <c r="BG508" s="12"/>
      <c r="BH508" s="12"/>
      <c r="BI508" s="12"/>
      <c r="BJ508" s="12"/>
    </row>
    <row r="509" spans="2:62" x14ac:dyDescent="0.25">
      <c r="B509" s="1" t="s">
        <v>421</v>
      </c>
      <c r="C509" s="1" t="s">
        <v>577</v>
      </c>
      <c r="D509" s="1" t="s">
        <v>1190</v>
      </c>
      <c r="E509" s="1" t="s">
        <v>578</v>
      </c>
      <c r="F509" s="1" t="s">
        <v>579</v>
      </c>
      <c r="G509" s="1" t="s">
        <v>448</v>
      </c>
      <c r="H509" s="1" t="s">
        <v>449</v>
      </c>
      <c r="I509" s="7" t="s">
        <v>322</v>
      </c>
      <c r="J509" s="44">
        <v>1</v>
      </c>
      <c r="K509" s="45">
        <v>1</v>
      </c>
      <c r="L509" s="1" t="s">
        <v>470</v>
      </c>
      <c r="M509" s="1" t="s">
        <v>426</v>
      </c>
      <c r="N509" s="1" t="s">
        <v>1140</v>
      </c>
      <c r="O509" s="1" t="s">
        <v>1189</v>
      </c>
      <c r="P509" s="1" t="s">
        <v>1190</v>
      </c>
      <c r="Q509" s="44">
        <f>IF(L509="954",Multipliers!C203,"oops")</f>
        <v>1.27</v>
      </c>
      <c r="R509" s="44">
        <f>IF(M509="CALIFORNIA",Multipliers!C14, "GOOF")</f>
        <v>1.22</v>
      </c>
      <c r="S509" s="46">
        <f t="shared" si="243"/>
        <v>515711.21140000003</v>
      </c>
      <c r="T509" s="46">
        <f t="shared" si="244"/>
        <v>476988.9754</v>
      </c>
      <c r="U509" s="46">
        <f t="shared" si="248"/>
        <v>472219.08564599999</v>
      </c>
      <c r="V509" s="46">
        <f t="shared" si="249"/>
        <v>493965.14852300001</v>
      </c>
      <c r="W509" s="47">
        <f t="shared" si="255"/>
        <v>493965.14852300001</v>
      </c>
      <c r="X509" s="47"/>
      <c r="Y509" s="48">
        <f t="shared" si="250"/>
        <v>395085.74952000001</v>
      </c>
      <c r="Z509" s="48">
        <f t="shared" si="251"/>
        <v>436243.09877399995</v>
      </c>
      <c r="AA509" s="48">
        <f t="shared" si="252"/>
        <v>493965.14852300007</v>
      </c>
      <c r="AB509" s="48">
        <f t="shared" si="253"/>
        <v>534802.97267599998</v>
      </c>
      <c r="AC509" s="48">
        <f t="shared" si="254"/>
        <v>576488.42238400003</v>
      </c>
      <c r="AD509" s="1"/>
      <c r="AE509" s="1"/>
      <c r="AF509" s="1"/>
      <c r="AI509" s="9"/>
      <c r="AJ509" s="1"/>
      <c r="AK509" s="1"/>
      <c r="AL509" s="1"/>
      <c r="AM509" s="1"/>
      <c r="AN509" s="1"/>
      <c r="AO509" s="1"/>
      <c r="AP509" s="9"/>
      <c r="AQ509" s="3"/>
      <c r="AR509" s="4"/>
      <c r="AS509" s="1"/>
      <c r="AT509" s="1"/>
      <c r="AU509" s="1"/>
      <c r="AV509" s="1"/>
      <c r="AW509" s="1"/>
      <c r="AX509" s="3"/>
      <c r="AY509" s="3"/>
      <c r="AZ509" s="5"/>
      <c r="BA509" s="5"/>
      <c r="BB509" s="5"/>
      <c r="BC509" s="5"/>
      <c r="BD509" s="6"/>
      <c r="BE509" s="6"/>
      <c r="BF509" s="12"/>
      <c r="BG509" s="12"/>
      <c r="BH509" s="12"/>
      <c r="BI509" s="12"/>
      <c r="BJ509" s="12"/>
    </row>
    <row r="510" spans="2:62" x14ac:dyDescent="0.25">
      <c r="B510" s="1" t="s">
        <v>421</v>
      </c>
      <c r="C510" s="1" t="s">
        <v>580</v>
      </c>
      <c r="D510" s="1" t="s">
        <v>1190</v>
      </c>
      <c r="E510" s="1" t="s">
        <v>581</v>
      </c>
      <c r="F510" s="1" t="s">
        <v>582</v>
      </c>
      <c r="G510" s="1" t="s">
        <v>1190</v>
      </c>
      <c r="H510" s="1" t="s">
        <v>1190</v>
      </c>
      <c r="I510" s="7" t="s">
        <v>322</v>
      </c>
      <c r="J510" s="44">
        <v>1</v>
      </c>
      <c r="K510" s="45">
        <v>1</v>
      </c>
      <c r="L510" s="1" t="s">
        <v>443</v>
      </c>
      <c r="M510" s="1" t="s">
        <v>444</v>
      </c>
      <c r="N510" s="1" t="s">
        <v>1139</v>
      </c>
      <c r="O510" s="1" t="s">
        <v>1189</v>
      </c>
      <c r="P510" s="1" t="s">
        <v>1190</v>
      </c>
      <c r="Q510" s="44">
        <f>IF(L510="921",Multipliers!C191,"oops")</f>
        <v>1.1000000000000001</v>
      </c>
      <c r="R510" s="44">
        <f>IF(M510="San Diego",Multipliers!C22, "GOOF")</f>
        <v>1.17</v>
      </c>
      <c r="S510" s="46">
        <f t="shared" si="243"/>
        <v>421767.88500000013</v>
      </c>
      <c r="T510" s="46">
        <f t="shared" si="244"/>
        <v>438724.04939999996</v>
      </c>
      <c r="U510" s="46">
        <f t="shared" si="248"/>
        <v>434336.80890599993</v>
      </c>
      <c r="V510" s="46">
        <f t="shared" si="249"/>
        <v>428052.34695300006</v>
      </c>
      <c r="W510" s="47">
        <f t="shared" si="255"/>
        <v>428052.34695300006</v>
      </c>
      <c r="X510" s="47"/>
      <c r="Y510" s="48">
        <f t="shared" si="250"/>
        <v>340558.31309499999</v>
      </c>
      <c r="Z510" s="48">
        <f t="shared" si="251"/>
        <v>377504.28923900001</v>
      </c>
      <c r="AA510" s="48">
        <f t="shared" si="252"/>
        <v>428052.34695300006</v>
      </c>
      <c r="AB510" s="48">
        <f t="shared" si="253"/>
        <v>462168.18863599998</v>
      </c>
      <c r="AC510" s="48">
        <f t="shared" si="254"/>
        <v>498370.60442400002</v>
      </c>
      <c r="AD510" s="1"/>
      <c r="AE510" s="1"/>
      <c r="AF510" s="1"/>
      <c r="AI510" s="9"/>
      <c r="AJ510" s="1"/>
      <c r="AK510" s="1"/>
      <c r="AL510" s="1"/>
      <c r="AM510" s="1"/>
      <c r="AN510" s="1"/>
      <c r="AO510" s="1"/>
      <c r="AP510" s="9"/>
      <c r="AQ510" s="3"/>
      <c r="AR510" s="4"/>
      <c r="AS510" s="1"/>
      <c r="AT510" s="1"/>
      <c r="AU510" s="1"/>
      <c r="AV510" s="1"/>
      <c r="AW510" s="1"/>
      <c r="AX510" s="3"/>
      <c r="AY510" s="3"/>
      <c r="AZ510" s="5"/>
      <c r="BA510" s="5"/>
      <c r="BB510" s="5"/>
      <c r="BC510" s="5"/>
      <c r="BD510" s="6"/>
      <c r="BE510" s="6"/>
      <c r="BF510" s="12"/>
      <c r="BG510" s="12"/>
      <c r="BH510" s="12"/>
      <c r="BI510" s="12"/>
      <c r="BJ510" s="12"/>
    </row>
    <row r="511" spans="2:62" x14ac:dyDescent="0.25">
      <c r="B511" s="1" t="s">
        <v>421</v>
      </c>
      <c r="C511" s="1" t="s">
        <v>477</v>
      </c>
      <c r="D511" s="1" t="s">
        <v>1766</v>
      </c>
      <c r="E511" s="1" t="s">
        <v>583</v>
      </c>
      <c r="F511" s="1" t="s">
        <v>584</v>
      </c>
      <c r="G511" s="1" t="s">
        <v>1190</v>
      </c>
      <c r="H511" s="1" t="s">
        <v>1190</v>
      </c>
      <c r="I511" s="7" t="s">
        <v>322</v>
      </c>
      <c r="J511" s="44">
        <v>1</v>
      </c>
      <c r="K511" s="45">
        <v>1</v>
      </c>
      <c r="L511" s="1" t="s">
        <v>434</v>
      </c>
      <c r="M511" s="1" t="s">
        <v>426</v>
      </c>
      <c r="N511" s="1" t="s">
        <v>1140</v>
      </c>
      <c r="O511" s="1" t="s">
        <v>1189</v>
      </c>
      <c r="P511" s="1" t="s">
        <v>1190</v>
      </c>
      <c r="Q511" s="44">
        <f>IF(L511="956",Multipliers!C205,"oops")</f>
        <v>1.24</v>
      </c>
      <c r="R511" s="44">
        <f>IF(M511="CALIFORNIA",Multipliers!C14, "GOOF")</f>
        <v>1.22</v>
      </c>
      <c r="S511" s="46">
        <f t="shared" si="243"/>
        <v>503529.05680000008</v>
      </c>
      <c r="T511" s="46">
        <f t="shared" si="244"/>
        <v>476988.9754</v>
      </c>
      <c r="U511" s="46">
        <f t="shared" si="248"/>
        <v>472219.08564599999</v>
      </c>
      <c r="V511" s="46">
        <f t="shared" si="249"/>
        <v>487874.07122300006</v>
      </c>
      <c r="W511" s="47">
        <f t="shared" si="255"/>
        <v>487874.07122300006</v>
      </c>
      <c r="X511" s="47"/>
      <c r="Y511" s="48">
        <f t="shared" si="250"/>
        <v>390057.86126999999</v>
      </c>
      <c r="Z511" s="48">
        <f t="shared" si="251"/>
        <v>430765.891374</v>
      </c>
      <c r="AA511" s="48">
        <f t="shared" si="252"/>
        <v>487874.07122300001</v>
      </c>
      <c r="AB511" s="48">
        <f t="shared" si="253"/>
        <v>528268.88882599992</v>
      </c>
      <c r="AC511" s="48">
        <f t="shared" si="254"/>
        <v>569455.64523400005</v>
      </c>
      <c r="AD511" s="1"/>
      <c r="AE511" s="1"/>
      <c r="AF511" s="1"/>
      <c r="AI511" s="9"/>
      <c r="AJ511" s="1"/>
      <c r="AK511" s="1"/>
      <c r="AL511" s="1"/>
      <c r="AM511" s="1"/>
      <c r="AN511" s="1"/>
      <c r="AO511" s="1"/>
      <c r="AP511" s="9"/>
      <c r="AQ511" s="3"/>
      <c r="AR511" s="4"/>
      <c r="AS511" s="1"/>
      <c r="AT511" s="1"/>
      <c r="AU511" s="1"/>
      <c r="AV511" s="1"/>
      <c r="AW511" s="1"/>
      <c r="AX511" s="3"/>
      <c r="AY511" s="3"/>
      <c r="AZ511" s="5"/>
      <c r="BA511" s="5"/>
      <c r="BB511" s="5"/>
      <c r="BC511" s="5"/>
      <c r="BD511" s="6"/>
      <c r="BE511" s="6"/>
      <c r="BF511" s="12"/>
      <c r="BG511" s="12"/>
      <c r="BH511" s="12"/>
      <c r="BI511" s="12"/>
      <c r="BJ511" s="12"/>
    </row>
    <row r="512" spans="2:62" x14ac:dyDescent="0.25">
      <c r="B512" s="1" t="s">
        <v>421</v>
      </c>
      <c r="C512" s="1" t="s">
        <v>585</v>
      </c>
      <c r="D512" s="1" t="s">
        <v>1190</v>
      </c>
      <c r="E512" s="1" t="s">
        <v>586</v>
      </c>
      <c r="F512" s="1" t="s">
        <v>587</v>
      </c>
      <c r="G512" s="1" t="s">
        <v>1190</v>
      </c>
      <c r="H512" s="1" t="s">
        <v>1190</v>
      </c>
      <c r="I512" s="7" t="s">
        <v>322</v>
      </c>
      <c r="J512" s="44">
        <v>1</v>
      </c>
      <c r="K512" s="45">
        <v>1</v>
      </c>
      <c r="L512" s="1" t="s">
        <v>434</v>
      </c>
      <c r="M512" s="1" t="s">
        <v>426</v>
      </c>
      <c r="N512" s="1" t="s">
        <v>1140</v>
      </c>
      <c r="O512" s="1" t="s">
        <v>1189</v>
      </c>
      <c r="P512" s="1" t="s">
        <v>1190</v>
      </c>
      <c r="Q512" s="44">
        <f>IF(L512="956",Multipliers!C205,"oops")</f>
        <v>1.24</v>
      </c>
      <c r="R512" s="44">
        <f>IF(M512="CALIFORNIA",Multipliers!C14, "GOOF")</f>
        <v>1.22</v>
      </c>
      <c r="S512" s="46">
        <f t="shared" si="243"/>
        <v>503529.05680000008</v>
      </c>
      <c r="T512" s="46">
        <f t="shared" si="244"/>
        <v>476988.9754</v>
      </c>
      <c r="U512" s="46">
        <f t="shared" si="248"/>
        <v>472219.08564599999</v>
      </c>
      <c r="V512" s="46">
        <f t="shared" si="249"/>
        <v>487874.07122300006</v>
      </c>
      <c r="W512" s="47">
        <f t="shared" si="255"/>
        <v>487874.07122300006</v>
      </c>
      <c r="X512" s="47"/>
      <c r="Y512" s="48">
        <f t="shared" si="250"/>
        <v>390057.86126999999</v>
      </c>
      <c r="Z512" s="48">
        <f t="shared" si="251"/>
        <v>430765.891374</v>
      </c>
      <c r="AA512" s="48">
        <f t="shared" si="252"/>
        <v>487874.07122300001</v>
      </c>
      <c r="AB512" s="48">
        <f t="shared" si="253"/>
        <v>528268.88882599992</v>
      </c>
      <c r="AC512" s="48">
        <f t="shared" si="254"/>
        <v>569455.64523400005</v>
      </c>
      <c r="AD512" s="1"/>
      <c r="AE512" s="1"/>
      <c r="AF512" s="1"/>
      <c r="AI512" s="9"/>
      <c r="AJ512" s="1"/>
      <c r="AK512" s="1"/>
      <c r="AL512" s="1"/>
      <c r="AM512" s="1"/>
      <c r="AN512" s="1"/>
      <c r="AO512" s="1"/>
      <c r="AP512" s="9"/>
      <c r="AQ512" s="3"/>
      <c r="AR512" s="4"/>
      <c r="AS512" s="1"/>
      <c r="AT512" s="1"/>
      <c r="AU512" s="1"/>
      <c r="AV512" s="1"/>
      <c r="AW512" s="1"/>
      <c r="AX512" s="3"/>
      <c r="AY512" s="3"/>
      <c r="AZ512" s="5"/>
      <c r="BA512" s="5"/>
      <c r="BB512" s="5"/>
      <c r="BC512" s="5"/>
      <c r="BD512" s="6"/>
      <c r="BE512" s="6"/>
      <c r="BF512" s="12"/>
      <c r="BG512" s="12"/>
      <c r="BH512" s="12"/>
      <c r="BI512" s="12"/>
      <c r="BJ512" s="12"/>
    </row>
    <row r="513" spans="2:62" x14ac:dyDescent="0.25">
      <c r="B513" s="1" t="s">
        <v>421</v>
      </c>
      <c r="C513" s="1" t="s">
        <v>588</v>
      </c>
      <c r="D513" s="1" t="s">
        <v>1190</v>
      </c>
      <c r="E513" s="1" t="s">
        <v>589</v>
      </c>
      <c r="F513" s="1" t="s">
        <v>590</v>
      </c>
      <c r="G513" s="1" t="s">
        <v>1190</v>
      </c>
      <c r="H513" s="1" t="s">
        <v>1190</v>
      </c>
      <c r="I513" s="7" t="s">
        <v>322</v>
      </c>
      <c r="J513" s="44">
        <v>1</v>
      </c>
      <c r="K513" s="45">
        <v>1</v>
      </c>
      <c r="L513" s="1" t="s">
        <v>443</v>
      </c>
      <c r="M513" s="1" t="s">
        <v>444</v>
      </c>
      <c r="N513" s="1" t="s">
        <v>1139</v>
      </c>
      <c r="O513" s="1" t="s">
        <v>1189</v>
      </c>
      <c r="P513" s="1" t="s">
        <v>1190</v>
      </c>
      <c r="Q513" s="44">
        <f>IF(L513="921",Multipliers!C191,"oops")</f>
        <v>1.1000000000000001</v>
      </c>
      <c r="R513" s="44">
        <f>IF(M513="San Diego",Multipliers!C22, "GOOF")</f>
        <v>1.17</v>
      </c>
      <c r="S513" s="46">
        <f t="shared" si="243"/>
        <v>421767.88500000013</v>
      </c>
      <c r="T513" s="46">
        <f t="shared" si="244"/>
        <v>438724.04939999996</v>
      </c>
      <c r="U513" s="46">
        <f t="shared" si="248"/>
        <v>434336.80890599993</v>
      </c>
      <c r="V513" s="46">
        <f t="shared" si="249"/>
        <v>428052.34695300006</v>
      </c>
      <c r="W513" s="47">
        <f t="shared" si="255"/>
        <v>428052.34695300006</v>
      </c>
      <c r="X513" s="47"/>
      <c r="Y513" s="48">
        <f t="shared" si="250"/>
        <v>340558.31309499999</v>
      </c>
      <c r="Z513" s="48">
        <f t="shared" si="251"/>
        <v>377504.28923900001</v>
      </c>
      <c r="AA513" s="48">
        <f t="shared" si="252"/>
        <v>428052.34695300006</v>
      </c>
      <c r="AB513" s="48">
        <f t="shared" si="253"/>
        <v>462168.18863599998</v>
      </c>
      <c r="AC513" s="48">
        <f t="shared" si="254"/>
        <v>498370.60442400002</v>
      </c>
      <c r="AD513" s="1"/>
      <c r="AE513" s="1"/>
      <c r="AF513" s="1"/>
      <c r="AI513" s="9"/>
      <c r="AJ513" s="1"/>
      <c r="AK513" s="1"/>
      <c r="AL513" s="1"/>
      <c r="AM513" s="1"/>
      <c r="AN513" s="1"/>
      <c r="AO513" s="1"/>
      <c r="AP513" s="9"/>
      <c r="AQ513" s="3"/>
      <c r="AR513" s="4"/>
      <c r="AS513" s="1"/>
      <c r="AT513" s="1"/>
      <c r="AU513" s="1"/>
      <c r="AV513" s="1"/>
      <c r="AW513" s="1"/>
      <c r="AX513" s="3"/>
      <c r="AY513" s="3"/>
      <c r="AZ513" s="5"/>
      <c r="BA513" s="5"/>
      <c r="BB513" s="5"/>
      <c r="BC513" s="5"/>
      <c r="BD513" s="6"/>
      <c r="BE513" s="6"/>
      <c r="BF513" s="12"/>
      <c r="BG513" s="12"/>
      <c r="BH513" s="12"/>
      <c r="BI513" s="12"/>
      <c r="BJ513" s="12"/>
    </row>
    <row r="514" spans="2:62" x14ac:dyDescent="0.25">
      <c r="B514" s="1" t="s">
        <v>421</v>
      </c>
      <c r="C514" s="1" t="s">
        <v>591</v>
      </c>
      <c r="D514" s="1" t="s">
        <v>1190</v>
      </c>
      <c r="E514" s="1" t="s">
        <v>592</v>
      </c>
      <c r="F514" s="1" t="s">
        <v>593</v>
      </c>
      <c r="G514" s="1" t="s">
        <v>594</v>
      </c>
      <c r="H514" s="1" t="s">
        <v>595</v>
      </c>
      <c r="I514" s="7" t="s">
        <v>322</v>
      </c>
      <c r="J514" s="44">
        <v>1</v>
      </c>
      <c r="K514" s="45">
        <v>1</v>
      </c>
      <c r="L514" s="1" t="s">
        <v>454</v>
      </c>
      <c r="M514" s="1" t="s">
        <v>455</v>
      </c>
      <c r="N514" s="1" t="s">
        <v>1140</v>
      </c>
      <c r="O514" s="1" t="s">
        <v>1189</v>
      </c>
      <c r="P514" s="1" t="s">
        <v>1190</v>
      </c>
      <c r="Q514" s="44">
        <f>IF(L514="955",Multipliers!C204,"oops")</f>
        <v>1.24</v>
      </c>
      <c r="R514" s="44">
        <f>IF(M514="Eureka",Multipliers!C15, "GOOF")</f>
        <v>1.26</v>
      </c>
      <c r="S514" s="46">
        <f t="shared" ref="S514:S525" si="256">IF(N514="Standard",$O$5*Q514*$O$7,IF(N514="Severe",$O$4*Q514*$O$7,IF(N514="Hostile",$O$3*Q514*$O$7)))</f>
        <v>503529.05680000008</v>
      </c>
      <c r="T514" s="46">
        <f t="shared" ref="T514:T525" si="257">IF(N514="Standard",$P$5*R514*$O$7,IF(N514="Severe",$P$4*R514*$O$7,IF(N514="Hostile",$P$3*R514*$O$7)))</f>
        <v>492627.95820000005</v>
      </c>
      <c r="U514" s="46">
        <f t="shared" si="248"/>
        <v>487701.67861800006</v>
      </c>
      <c r="V514" s="46">
        <f t="shared" si="249"/>
        <v>495615.36770900007</v>
      </c>
      <c r="W514" s="47">
        <f t="shared" si="255"/>
        <v>495615.36770900007</v>
      </c>
      <c r="X514" s="47"/>
      <c r="Y514" s="48">
        <f t="shared" si="250"/>
        <v>396032.89341000002</v>
      </c>
      <c r="Z514" s="48">
        <f t="shared" si="251"/>
        <v>437466.69964199996</v>
      </c>
      <c r="AA514" s="48">
        <f t="shared" si="252"/>
        <v>495615.36770900013</v>
      </c>
      <c r="AB514" s="48">
        <f t="shared" si="253"/>
        <v>536734.24695800012</v>
      </c>
      <c r="AC514" s="48">
        <f t="shared" si="254"/>
        <v>578595.56402199995</v>
      </c>
      <c r="AD514" s="1"/>
      <c r="AE514" s="1"/>
      <c r="AF514" s="1"/>
      <c r="AI514" s="9"/>
      <c r="AJ514" s="1"/>
      <c r="AK514" s="1"/>
      <c r="AL514" s="1"/>
      <c r="AM514" s="1"/>
      <c r="AN514" s="1"/>
      <c r="AO514" s="1"/>
      <c r="AP514" s="9"/>
      <c r="AQ514" s="3"/>
      <c r="AR514" s="4"/>
      <c r="AS514" s="1"/>
      <c r="AT514" s="1"/>
      <c r="AU514" s="1"/>
      <c r="AV514" s="1"/>
      <c r="AW514" s="1"/>
      <c r="AX514" s="3"/>
      <c r="AY514" s="3"/>
      <c r="AZ514" s="5"/>
      <c r="BA514" s="5"/>
      <c r="BB514" s="5"/>
      <c r="BC514" s="5"/>
      <c r="BD514" s="6"/>
      <c r="BE514" s="6"/>
      <c r="BF514" s="12"/>
      <c r="BG514" s="12"/>
      <c r="BH514" s="12"/>
      <c r="BI514" s="12"/>
      <c r="BJ514" s="12"/>
    </row>
    <row r="515" spans="2:62" x14ac:dyDescent="0.25">
      <c r="B515" s="1" t="s">
        <v>421</v>
      </c>
      <c r="C515" s="1" t="s">
        <v>596</v>
      </c>
      <c r="D515" s="1" t="s">
        <v>1190</v>
      </c>
      <c r="E515" s="1" t="s">
        <v>597</v>
      </c>
      <c r="F515" s="1" t="s">
        <v>598</v>
      </c>
      <c r="G515" s="1" t="s">
        <v>441</v>
      </c>
      <c r="H515" s="1" t="s">
        <v>442</v>
      </c>
      <c r="I515" s="7" t="s">
        <v>322</v>
      </c>
      <c r="J515" s="44">
        <v>1</v>
      </c>
      <c r="K515" s="45">
        <v>1</v>
      </c>
      <c r="L515" s="1" t="s">
        <v>443</v>
      </c>
      <c r="M515" s="1" t="s">
        <v>444</v>
      </c>
      <c r="N515" s="1" t="s">
        <v>1139</v>
      </c>
      <c r="O515" s="1" t="s">
        <v>1189</v>
      </c>
      <c r="P515" s="1" t="s">
        <v>1190</v>
      </c>
      <c r="Q515" s="44">
        <f>IF(L515="921",Multipliers!C191,"oops")</f>
        <v>1.1000000000000001</v>
      </c>
      <c r="R515" s="44">
        <f>IF(M515="San Diego",Multipliers!C22, "GOOF")</f>
        <v>1.17</v>
      </c>
      <c r="S515" s="46">
        <f t="shared" si="256"/>
        <v>421767.88500000013</v>
      </c>
      <c r="T515" s="46">
        <f t="shared" si="257"/>
        <v>438724.04939999996</v>
      </c>
      <c r="U515" s="46">
        <f t="shared" si="248"/>
        <v>434336.80890599993</v>
      </c>
      <c r="V515" s="46">
        <f t="shared" si="249"/>
        <v>428052.34695300006</v>
      </c>
      <c r="W515" s="47">
        <f t="shared" si="255"/>
        <v>428052.34695300006</v>
      </c>
      <c r="X515" s="47"/>
      <c r="Y515" s="48">
        <f t="shared" si="250"/>
        <v>340558.31309499999</v>
      </c>
      <c r="Z515" s="48">
        <f t="shared" si="251"/>
        <v>377504.28923900001</v>
      </c>
      <c r="AA515" s="48">
        <f t="shared" si="252"/>
        <v>428052.34695300006</v>
      </c>
      <c r="AB515" s="48">
        <f t="shared" si="253"/>
        <v>462168.18863599998</v>
      </c>
      <c r="AC515" s="48">
        <f t="shared" si="254"/>
        <v>498370.60442400002</v>
      </c>
      <c r="AD515" s="1"/>
      <c r="AE515" s="1"/>
      <c r="AF515" s="1"/>
      <c r="AI515" s="9"/>
      <c r="AJ515" s="1"/>
      <c r="AK515" s="1"/>
      <c r="AL515" s="1"/>
      <c r="AM515" s="1"/>
      <c r="AN515" s="1"/>
      <c r="AO515" s="1"/>
      <c r="AP515" s="9"/>
      <c r="AQ515" s="3"/>
      <c r="AR515" s="4"/>
      <c r="AS515" s="1"/>
      <c r="AT515" s="1"/>
      <c r="AU515" s="1"/>
      <c r="AV515" s="1"/>
      <c r="AW515" s="1"/>
      <c r="AX515" s="3"/>
      <c r="AY515" s="3"/>
      <c r="AZ515" s="5"/>
      <c r="BA515" s="5"/>
      <c r="BB515" s="5"/>
      <c r="BC515" s="5"/>
      <c r="BD515" s="6"/>
      <c r="BE515" s="6"/>
      <c r="BF515" s="12"/>
      <c r="BG515" s="12"/>
      <c r="BH515" s="12"/>
      <c r="BI515" s="12"/>
      <c r="BJ515" s="12"/>
    </row>
    <row r="516" spans="2:62" x14ac:dyDescent="0.25">
      <c r="B516" s="1" t="s">
        <v>421</v>
      </c>
      <c r="C516" s="1" t="s">
        <v>599</v>
      </c>
      <c r="D516" s="1" t="s">
        <v>1190</v>
      </c>
      <c r="E516" s="1" t="s">
        <v>600</v>
      </c>
      <c r="F516" s="1" t="s">
        <v>601</v>
      </c>
      <c r="G516" s="1" t="s">
        <v>1190</v>
      </c>
      <c r="H516" s="1" t="s">
        <v>1190</v>
      </c>
      <c r="I516" s="7" t="s">
        <v>322</v>
      </c>
      <c r="J516" s="44">
        <v>1</v>
      </c>
      <c r="K516" s="45">
        <v>1</v>
      </c>
      <c r="L516" s="1" t="s">
        <v>443</v>
      </c>
      <c r="M516" s="1" t="s">
        <v>444</v>
      </c>
      <c r="N516" s="1" t="s">
        <v>1139</v>
      </c>
      <c r="O516" s="1" t="s">
        <v>1189</v>
      </c>
      <c r="P516" s="1" t="s">
        <v>1190</v>
      </c>
      <c r="Q516" s="44">
        <f>IF(L516="921",Multipliers!C192,"oops")</f>
        <v>1.1200000000000001</v>
      </c>
      <c r="R516" s="44">
        <f>IF(M516="San Diego",Multipliers!C22, "GOOF")</f>
        <v>1.17</v>
      </c>
      <c r="S516" s="46">
        <f t="shared" si="256"/>
        <v>429436.39200000011</v>
      </c>
      <c r="T516" s="46">
        <f t="shared" si="257"/>
        <v>438724.04939999996</v>
      </c>
      <c r="U516" s="46">
        <f t="shared" si="248"/>
        <v>434336.80890599993</v>
      </c>
      <c r="V516" s="46">
        <f t="shared" si="249"/>
        <v>431886.60045300005</v>
      </c>
      <c r="W516" s="47">
        <f t="shared" si="255"/>
        <v>431886.60045300005</v>
      </c>
      <c r="X516" s="47"/>
      <c r="Y516" s="48">
        <f t="shared" si="250"/>
        <v>343708.27809500002</v>
      </c>
      <c r="Z516" s="48">
        <f t="shared" si="251"/>
        <v>380950.485139</v>
      </c>
      <c r="AA516" s="48">
        <f t="shared" si="252"/>
        <v>431886.60045300005</v>
      </c>
      <c r="AB516" s="48">
        <f t="shared" si="253"/>
        <v>466266.35263600003</v>
      </c>
      <c r="AC516" s="48">
        <f t="shared" si="254"/>
        <v>502785.05642399995</v>
      </c>
      <c r="AD516" s="1"/>
      <c r="AE516" s="1"/>
      <c r="AF516" s="1"/>
      <c r="AI516" s="9"/>
      <c r="AJ516" s="1"/>
      <c r="AK516" s="1"/>
      <c r="AL516" s="1"/>
      <c r="AM516" s="1"/>
      <c r="AN516" s="1"/>
      <c r="AO516" s="1"/>
      <c r="AP516" s="9"/>
      <c r="AQ516" s="3"/>
      <c r="AR516" s="4"/>
      <c r="AS516" s="1"/>
      <c r="AT516" s="1"/>
      <c r="AU516" s="1"/>
      <c r="AV516" s="1"/>
      <c r="AW516" s="1"/>
      <c r="AX516" s="3"/>
      <c r="AY516" s="3"/>
      <c r="AZ516" s="5"/>
      <c r="BA516" s="5"/>
      <c r="BB516" s="5"/>
      <c r="BC516" s="5"/>
      <c r="BD516" s="6"/>
      <c r="BE516" s="6"/>
      <c r="BF516" s="12"/>
      <c r="BG516" s="12"/>
      <c r="BH516" s="12"/>
      <c r="BI516" s="12"/>
      <c r="BJ516" s="12"/>
    </row>
    <row r="517" spans="2:62" x14ac:dyDescent="0.25">
      <c r="B517" s="1" t="s">
        <v>421</v>
      </c>
      <c r="C517" s="1" t="s">
        <v>602</v>
      </c>
      <c r="D517" s="1" t="s">
        <v>1190</v>
      </c>
      <c r="E517" s="1" t="s">
        <v>603</v>
      </c>
      <c r="F517" s="1" t="s">
        <v>604</v>
      </c>
      <c r="G517" s="1" t="s">
        <v>448</v>
      </c>
      <c r="H517" s="1" t="s">
        <v>449</v>
      </c>
      <c r="I517" s="7" t="s">
        <v>322</v>
      </c>
      <c r="J517" s="44">
        <v>1</v>
      </c>
      <c r="K517" s="45">
        <v>1</v>
      </c>
      <c r="L517" s="1" t="s">
        <v>470</v>
      </c>
      <c r="M517" s="1" t="s">
        <v>426</v>
      </c>
      <c r="N517" s="1" t="s">
        <v>1140</v>
      </c>
      <c r="O517" s="1" t="s">
        <v>1189</v>
      </c>
      <c r="P517" s="1" t="s">
        <v>1190</v>
      </c>
      <c r="Q517" s="44">
        <f>IF(L517="954",Multipliers!C203,"oops")</f>
        <v>1.27</v>
      </c>
      <c r="R517" s="44">
        <f>IF(M517="CALIFORNIA",Multipliers!C14, "GOOF")</f>
        <v>1.22</v>
      </c>
      <c r="S517" s="46">
        <f t="shared" si="256"/>
        <v>515711.21140000003</v>
      </c>
      <c r="T517" s="46">
        <f t="shared" si="257"/>
        <v>476988.9754</v>
      </c>
      <c r="U517" s="46">
        <f t="shared" si="248"/>
        <v>472219.08564599999</v>
      </c>
      <c r="V517" s="46">
        <f t="shared" si="249"/>
        <v>493965.14852300001</v>
      </c>
      <c r="W517" s="47">
        <f t="shared" si="255"/>
        <v>493965.14852300001</v>
      </c>
      <c r="X517" s="47"/>
      <c r="Y517" s="48">
        <f t="shared" si="250"/>
        <v>395085.74952000001</v>
      </c>
      <c r="Z517" s="48">
        <f t="shared" si="251"/>
        <v>436243.09877399995</v>
      </c>
      <c r="AA517" s="48">
        <f t="shared" si="252"/>
        <v>493965.14852300007</v>
      </c>
      <c r="AB517" s="48">
        <f t="shared" si="253"/>
        <v>534802.97267599998</v>
      </c>
      <c r="AC517" s="48">
        <f t="shared" si="254"/>
        <v>576488.42238400003</v>
      </c>
      <c r="AD517" s="1"/>
      <c r="AE517" s="1"/>
      <c r="AF517" s="1"/>
      <c r="AI517" s="9"/>
      <c r="AJ517" s="1"/>
      <c r="AK517" s="1"/>
      <c r="AL517" s="1"/>
      <c r="AM517" s="1"/>
      <c r="AN517" s="1"/>
      <c r="AO517" s="1"/>
      <c r="AP517" s="9"/>
      <c r="AQ517" s="3"/>
      <c r="AR517" s="4"/>
      <c r="AS517" s="1"/>
      <c r="AT517" s="1"/>
      <c r="AU517" s="1"/>
      <c r="AV517" s="1"/>
      <c r="AW517" s="1"/>
      <c r="AX517" s="3"/>
      <c r="AY517" s="3"/>
      <c r="AZ517" s="5"/>
      <c r="BA517" s="5"/>
      <c r="BB517" s="5"/>
      <c r="BC517" s="5"/>
      <c r="BD517" s="6"/>
      <c r="BE517" s="6"/>
      <c r="BF517" s="12"/>
      <c r="BG517" s="12"/>
      <c r="BH517" s="12"/>
      <c r="BI517" s="12"/>
      <c r="BJ517" s="12"/>
    </row>
    <row r="518" spans="2:62" x14ac:dyDescent="0.25">
      <c r="B518" s="1" t="s">
        <v>421</v>
      </c>
      <c r="C518" s="1" t="s">
        <v>605</v>
      </c>
      <c r="D518" s="1" t="s">
        <v>1190</v>
      </c>
      <c r="E518" s="1" t="s">
        <v>606</v>
      </c>
      <c r="F518" s="1" t="s">
        <v>607</v>
      </c>
      <c r="G518" s="1" t="s">
        <v>459</v>
      </c>
      <c r="H518" s="1" t="s">
        <v>460</v>
      </c>
      <c r="I518" s="7" t="s">
        <v>322</v>
      </c>
      <c r="J518" s="44">
        <v>1</v>
      </c>
      <c r="K518" s="45">
        <v>1</v>
      </c>
      <c r="L518" s="1" t="s">
        <v>461</v>
      </c>
      <c r="M518" s="1" t="s">
        <v>556</v>
      </c>
      <c r="N518" s="1" t="s">
        <v>1140</v>
      </c>
      <c r="O518" s="1" t="s">
        <v>1189</v>
      </c>
      <c r="P518" s="1" t="s">
        <v>1190</v>
      </c>
      <c r="Q518" s="44">
        <f>IF(L518="935",Multipliers!C197,"oops")</f>
        <v>1.1299999999999999</v>
      </c>
      <c r="R518" s="44">
        <f>IF(M518="Susanville",Multipliers!C25, "GOOF")</f>
        <v>1.17</v>
      </c>
      <c r="S518" s="46">
        <f t="shared" si="256"/>
        <v>458861.15659999999</v>
      </c>
      <c r="T518" s="46">
        <f t="shared" si="257"/>
        <v>457440.24689999997</v>
      </c>
      <c r="U518" s="46">
        <f t="shared" si="248"/>
        <v>452865.84443099995</v>
      </c>
      <c r="V518" s="46">
        <f t="shared" si="249"/>
        <v>455863.50051549997</v>
      </c>
      <c r="W518" s="47">
        <f t="shared" si="255"/>
        <v>455863.50051549997</v>
      </c>
      <c r="X518" s="47"/>
      <c r="Y518" s="48">
        <f t="shared" si="250"/>
        <v>364153.48084500001</v>
      </c>
      <c r="Z518" s="48">
        <f t="shared" si="251"/>
        <v>402306.78723899997</v>
      </c>
      <c r="AA518" s="48">
        <f t="shared" si="252"/>
        <v>455863.50051550003</v>
      </c>
      <c r="AB518" s="48">
        <f t="shared" si="253"/>
        <v>493728.88371099991</v>
      </c>
      <c r="AC518" s="48">
        <f t="shared" si="254"/>
        <v>532243.897199</v>
      </c>
      <c r="AD518" s="1"/>
      <c r="AE518" s="1"/>
      <c r="AF518" s="1"/>
      <c r="AI518" s="9"/>
      <c r="AJ518" s="1"/>
      <c r="AK518" s="1"/>
      <c r="AL518" s="1"/>
      <c r="AM518" s="1"/>
      <c r="AN518" s="1"/>
      <c r="AO518" s="1"/>
      <c r="AP518" s="9"/>
      <c r="AQ518" s="3"/>
      <c r="AR518" s="4"/>
      <c r="AS518" s="1"/>
      <c r="AT518" s="1"/>
      <c r="AU518" s="1"/>
      <c r="AV518" s="1"/>
      <c r="AW518" s="1"/>
      <c r="AX518" s="3"/>
      <c r="AY518" s="3"/>
      <c r="AZ518" s="5"/>
      <c r="BA518" s="5"/>
      <c r="BB518" s="5"/>
      <c r="BC518" s="5"/>
      <c r="BD518" s="6"/>
      <c r="BE518" s="6"/>
      <c r="BF518" s="12"/>
      <c r="BG518" s="12"/>
      <c r="BH518" s="12"/>
      <c r="BI518" s="12"/>
      <c r="BJ518" s="12"/>
    </row>
    <row r="519" spans="2:62" x14ac:dyDescent="0.25">
      <c r="B519" s="1" t="s">
        <v>421</v>
      </c>
      <c r="C519" s="1" t="s">
        <v>608</v>
      </c>
      <c r="D519" s="1" t="s">
        <v>1190</v>
      </c>
      <c r="E519" s="1" t="s">
        <v>609</v>
      </c>
      <c r="F519" s="1" t="s">
        <v>610</v>
      </c>
      <c r="G519" s="1" t="s">
        <v>1190</v>
      </c>
      <c r="H519" s="1" t="s">
        <v>1190</v>
      </c>
      <c r="I519" s="7" t="s">
        <v>322</v>
      </c>
      <c r="J519" s="44">
        <v>1</v>
      </c>
      <c r="K519" s="45">
        <v>1</v>
      </c>
      <c r="L519" s="1" t="s">
        <v>443</v>
      </c>
      <c r="M519" s="1" t="s">
        <v>444</v>
      </c>
      <c r="N519" s="1" t="s">
        <v>1139</v>
      </c>
      <c r="O519" s="1" t="s">
        <v>1189</v>
      </c>
      <c r="P519" s="1" t="s">
        <v>1190</v>
      </c>
      <c r="Q519" s="44">
        <f>IF(L519="921",Multipliers!C191,"oops")</f>
        <v>1.1000000000000001</v>
      </c>
      <c r="R519" s="44">
        <f>IF(M519="San Diego",Multipliers!C22, "GOOF")</f>
        <v>1.17</v>
      </c>
      <c r="S519" s="46">
        <f t="shared" si="256"/>
        <v>421767.88500000013</v>
      </c>
      <c r="T519" s="46">
        <f t="shared" si="257"/>
        <v>438724.04939999996</v>
      </c>
      <c r="U519" s="46">
        <f t="shared" si="248"/>
        <v>434336.80890599993</v>
      </c>
      <c r="V519" s="46">
        <f t="shared" si="249"/>
        <v>428052.34695300006</v>
      </c>
      <c r="W519" s="47">
        <f>IF(F519=F521,(V519+V521)/2,IF(F519=F518,(V519+V518)/2,IF(F519&lt;&gt;F518,V519)))</f>
        <v>428052.34695300006</v>
      </c>
      <c r="X519" s="47"/>
      <c r="Y519" s="48">
        <f t="shared" si="250"/>
        <v>340558.31309499999</v>
      </c>
      <c r="Z519" s="48">
        <f t="shared" si="251"/>
        <v>377504.28923900001</v>
      </c>
      <c r="AA519" s="48">
        <f t="shared" si="252"/>
        <v>428052.34695300006</v>
      </c>
      <c r="AB519" s="48">
        <f t="shared" si="253"/>
        <v>462168.18863599998</v>
      </c>
      <c r="AC519" s="48">
        <f t="shared" si="254"/>
        <v>498370.60442400002</v>
      </c>
      <c r="AD519" s="1"/>
      <c r="AE519" s="1"/>
      <c r="AF519" s="1"/>
      <c r="AI519" s="9"/>
      <c r="AJ519" s="1"/>
      <c r="AK519" s="1"/>
      <c r="AL519" s="1"/>
      <c r="AM519" s="1"/>
      <c r="AN519" s="1"/>
      <c r="AO519" s="1"/>
      <c r="AP519" s="9"/>
      <c r="AQ519" s="3"/>
      <c r="AR519" s="4"/>
      <c r="AS519" s="1"/>
      <c r="AT519" s="1"/>
      <c r="AU519" s="1"/>
      <c r="AV519" s="1"/>
      <c r="AW519" s="1"/>
      <c r="AX519" s="3"/>
      <c r="AY519" s="3"/>
      <c r="AZ519" s="5"/>
      <c r="BA519" s="5"/>
      <c r="BB519" s="5"/>
      <c r="BC519" s="5"/>
      <c r="BD519" s="6"/>
      <c r="BE519" s="6"/>
      <c r="BF519" s="12"/>
      <c r="BG519" s="12"/>
      <c r="BH519" s="12"/>
      <c r="BI519" s="12"/>
      <c r="BJ519" s="12"/>
    </row>
    <row r="520" spans="2:62" x14ac:dyDescent="0.25">
      <c r="B520" s="1" t="s">
        <v>421</v>
      </c>
      <c r="C520" s="1"/>
      <c r="D520" s="1"/>
      <c r="E520" s="1"/>
      <c r="F520" s="1" t="s">
        <v>611</v>
      </c>
      <c r="G520" s="1"/>
      <c r="H520" s="1"/>
      <c r="I520" s="7" t="s">
        <v>322</v>
      </c>
      <c r="J520" s="49">
        <v>1</v>
      </c>
      <c r="K520" s="1">
        <v>1</v>
      </c>
      <c r="L520" s="7" t="s">
        <v>470</v>
      </c>
      <c r="M520" s="1" t="s">
        <v>513</v>
      </c>
      <c r="N520" s="1" t="s">
        <v>1140</v>
      </c>
      <c r="O520" s="1" t="s">
        <v>1189</v>
      </c>
      <c r="P520" s="1"/>
      <c r="Q520" s="44">
        <f>IF(L520="954",Multipliers!C203,"oops")</f>
        <v>1.27</v>
      </c>
      <c r="R520" s="44">
        <f>IF(M520="Santa Rosa",Multipliers!C24, "GOOF")</f>
        <v>1.25</v>
      </c>
      <c r="S520" s="46">
        <f t="shared" si="256"/>
        <v>515711.21140000003</v>
      </c>
      <c r="T520" s="46">
        <f t="shared" si="257"/>
        <v>488718.21249999997</v>
      </c>
      <c r="U520" s="46">
        <f t="shared" si="248"/>
        <v>483831.03037499997</v>
      </c>
      <c r="V520" s="46">
        <f t="shared" si="249"/>
        <v>499771.1208875</v>
      </c>
      <c r="W520" s="47">
        <f>IF(F520=F674,(V520+V674)/2,IF(F520=F504,(V520+V504)/2,IF(F520&lt;&gt;F504,V520)))</f>
        <v>249885.56044375</v>
      </c>
      <c r="X520" s="47"/>
      <c r="Y520" s="48">
        <f t="shared" si="250"/>
        <v>399567.02362500003</v>
      </c>
      <c r="Z520" s="48">
        <f t="shared" si="251"/>
        <v>441268.704975</v>
      </c>
      <c r="AA520" s="48">
        <f>IF(N520="Standard",((($Z$5*Q520)+($AD$5*R520*$T$4))/2)*$O$7,IF(N520="Severe",((($AA$5*Q520)+($AE$5*R520*$T$4))/2)*$O$7,IF(N520="Hostile",((($AB$5*Q520)+($AF$5*R520*$T$4))/2)*$O$7)))</f>
        <v>494883.93876250007</v>
      </c>
      <c r="AB520" s="48">
        <f>IF(N520="Standard",((($Z$6*Q520)+($AD$6*R520*$T$4))/2)*$O$7,IF(N520="Severe",((($AA$6*Q520)+($AE$6*R520*$T$4))/2)*$O$7,IF(N520="Hostile",((($AB$6*Q520)+($AF$6*R520*$T$4))/2)*$O$7)))</f>
        <v>535807.69952500006</v>
      </c>
      <c r="AC520" s="48">
        <f>IF(N520="Standard",((($Z$7*Q520)+($AD$7*R520*$T$4))/2)*$O$7,IF(N520="Severe",((($AA$7*Q520)+($AE$7*R520*$T$4))/2)*$O$7,IF(N520="Hostile",((($AB$7*Q520)+($AF$7*R520*$T$4))/2)*$O$7)))</f>
        <v>577573.21072500001</v>
      </c>
      <c r="AD520" s="1"/>
      <c r="AE520" s="1"/>
      <c r="AF520" s="1"/>
      <c r="AI520" s="9"/>
      <c r="AJ520" s="1"/>
      <c r="AK520" s="1"/>
      <c r="AL520" s="1"/>
      <c r="AM520" s="1"/>
      <c r="AN520" s="1"/>
      <c r="AO520" s="1"/>
      <c r="AP520" s="9"/>
      <c r="AQ520" s="3"/>
      <c r="AR520" s="4"/>
      <c r="AS520" s="1"/>
      <c r="AT520" s="1"/>
      <c r="AU520" s="1"/>
      <c r="AV520" s="1"/>
      <c r="AW520" s="1"/>
      <c r="AX520" s="3"/>
      <c r="AY520" s="3"/>
      <c r="AZ520" s="5"/>
      <c r="BA520" s="5"/>
      <c r="BB520" s="5"/>
      <c r="BC520" s="5"/>
      <c r="BD520" s="6"/>
      <c r="BE520" s="6"/>
      <c r="BF520" s="12"/>
      <c r="BG520" s="12"/>
      <c r="BH520" s="12"/>
      <c r="BI520" s="12"/>
      <c r="BJ520" s="12"/>
    </row>
    <row r="521" spans="2:62" x14ac:dyDescent="0.25">
      <c r="B521" s="1" t="s">
        <v>421</v>
      </c>
      <c r="C521" s="1" t="s">
        <v>510</v>
      </c>
      <c r="D521" s="1" t="s">
        <v>1766</v>
      </c>
      <c r="E521" s="1" t="s">
        <v>612</v>
      </c>
      <c r="F521" s="1" t="s">
        <v>613</v>
      </c>
      <c r="G521" s="1" t="s">
        <v>1190</v>
      </c>
      <c r="H521" s="1" t="s">
        <v>1190</v>
      </c>
      <c r="I521" s="7" t="s">
        <v>322</v>
      </c>
      <c r="J521" s="44">
        <v>1</v>
      </c>
      <c r="K521" s="45">
        <v>1</v>
      </c>
      <c r="L521" s="1" t="s">
        <v>470</v>
      </c>
      <c r="M521" s="1" t="s">
        <v>513</v>
      </c>
      <c r="N521" s="1" t="s">
        <v>1140</v>
      </c>
      <c r="O521" s="1" t="s">
        <v>1189</v>
      </c>
      <c r="P521" s="1" t="s">
        <v>1190</v>
      </c>
      <c r="Q521" s="44">
        <f>IF(L521="954",Multipliers!C203,"oops")</f>
        <v>1.27</v>
      </c>
      <c r="R521" s="44">
        <f>IF(M521="Santa Rosa",Multipliers!C24, "GOOF")</f>
        <v>1.25</v>
      </c>
      <c r="S521" s="46">
        <f t="shared" si="256"/>
        <v>515711.21140000003</v>
      </c>
      <c r="T521" s="46">
        <f t="shared" si="257"/>
        <v>488718.21249999997</v>
      </c>
      <c r="U521" s="46">
        <f t="shared" si="248"/>
        <v>483831.03037499997</v>
      </c>
      <c r="V521" s="46">
        <f t="shared" si="249"/>
        <v>499771.1208875</v>
      </c>
      <c r="W521" s="47">
        <f>IF(F521=F522,(V521+V522)/2,IF(F521=F519,(V521+V519)/2,IF(F521&lt;&gt;F519,V521)))</f>
        <v>499771.1208875</v>
      </c>
      <c r="X521" s="47"/>
      <c r="Y521" s="48">
        <f t="shared" si="250"/>
        <v>399567.02362500003</v>
      </c>
      <c r="Z521" s="48">
        <f t="shared" si="251"/>
        <v>441268.704975</v>
      </c>
      <c r="AA521" s="48">
        <f t="shared" ref="AA521:AA531" si="258">IF(N521="Standard",((($Z$5*Q521)+($AD$5*R521*$T$5))/2)*$O$7,IF(N521="Severe",((($AA$5*Q521)+($AE$5*R521*$T$5))/2)*$O$7,IF(N521="Hostile",((($AB$5*Q521)+($AF$5*R521*$T$5))/2)*$O$7)))</f>
        <v>499771.12088750006</v>
      </c>
      <c r="AB521" s="48">
        <f t="shared" ref="AB521:AB531" si="259">IF(N521="Standard",((($Z$6*Q521)+($AD$6*R521*$T$5))/2)*$O$7,IF(N521="Severe",((($AA$6*Q521)+($AE$6*R521*$T$5))/2)*$O$7,IF(N521="Hostile",((($AB$6*Q521)+($AF$6*R521*$T$5))/2)*$O$7)))</f>
        <v>541151.99127499992</v>
      </c>
      <c r="AC521" s="48">
        <f t="shared" ref="AC521:AC531" si="260">IF(N521="Standard",((($Z$7*Q521)+($AD$7*R521*$T$5))/2)*$O$7,IF(N521="Severe",((($AA$7*Q521)+($AE$7*R521*$T$5))/2)*$O$7,IF(N521="Hostile",((($AB$7*Q521)+($AF$7*R521*$T$5))/2)*$O$7)))</f>
        <v>583343.36147500016</v>
      </c>
      <c r="AD521" s="1"/>
      <c r="AE521" s="1"/>
      <c r="AF521" s="1"/>
      <c r="AI521" s="9"/>
      <c r="AJ521" s="1"/>
      <c r="AK521" s="1"/>
      <c r="AL521" s="1"/>
      <c r="AM521" s="1"/>
      <c r="AN521" s="1"/>
      <c r="AO521" s="1"/>
      <c r="AP521" s="9"/>
      <c r="AQ521" s="3"/>
      <c r="AR521" s="4"/>
      <c r="AS521" s="1"/>
      <c r="AT521" s="1"/>
      <c r="AU521" s="1"/>
      <c r="AV521" s="1"/>
      <c r="AW521" s="1"/>
      <c r="AX521" s="3"/>
      <c r="AY521" s="3"/>
      <c r="AZ521" s="5"/>
      <c r="BA521" s="5"/>
      <c r="BB521" s="5"/>
      <c r="BC521" s="5"/>
      <c r="BD521" s="6"/>
      <c r="BE521" s="6"/>
      <c r="BF521" s="12"/>
      <c r="BG521" s="12"/>
      <c r="BH521" s="12"/>
      <c r="BI521" s="12"/>
      <c r="BJ521" s="12"/>
    </row>
    <row r="522" spans="2:62" x14ac:dyDescent="0.25">
      <c r="B522" s="1" t="s">
        <v>421</v>
      </c>
      <c r="C522" s="1" t="s">
        <v>614</v>
      </c>
      <c r="D522" s="1" t="s">
        <v>1190</v>
      </c>
      <c r="E522" s="1" t="s">
        <v>615</v>
      </c>
      <c r="F522" s="1" t="s">
        <v>616</v>
      </c>
      <c r="G522" s="1" t="s">
        <v>448</v>
      </c>
      <c r="H522" s="1" t="s">
        <v>449</v>
      </c>
      <c r="I522" s="7" t="s">
        <v>322</v>
      </c>
      <c r="J522" s="44">
        <v>1</v>
      </c>
      <c r="K522" s="45">
        <v>1</v>
      </c>
      <c r="L522" s="1" t="s">
        <v>470</v>
      </c>
      <c r="M522" s="1" t="s">
        <v>426</v>
      </c>
      <c r="N522" s="1" t="s">
        <v>1140</v>
      </c>
      <c r="O522" s="1" t="s">
        <v>1189</v>
      </c>
      <c r="P522" s="1" t="s">
        <v>1190</v>
      </c>
      <c r="Q522" s="44">
        <f>IF(L522="954",Multipliers!C203,"oops")</f>
        <v>1.27</v>
      </c>
      <c r="R522" s="44">
        <f>IF(M522="CALIFORNIA",Multipliers!C14, "GOOF")</f>
        <v>1.22</v>
      </c>
      <c r="S522" s="46">
        <f t="shared" si="256"/>
        <v>515711.21140000003</v>
      </c>
      <c r="T522" s="46">
        <f t="shared" si="257"/>
        <v>476988.9754</v>
      </c>
      <c r="U522" s="46">
        <f t="shared" si="248"/>
        <v>472219.08564599999</v>
      </c>
      <c r="V522" s="46">
        <f t="shared" si="249"/>
        <v>493965.14852300001</v>
      </c>
      <c r="W522" s="47">
        <f>IF(F522=F523,(V522+V523)/2,IF(F522=F521,(V522+V521)/2,IF(F522&lt;&gt;F521,V522)))</f>
        <v>493965.14852300001</v>
      </c>
      <c r="X522" s="47"/>
      <c r="Y522" s="48">
        <f t="shared" si="250"/>
        <v>395085.74952000001</v>
      </c>
      <c r="Z522" s="48">
        <f t="shared" si="251"/>
        <v>436243.09877399995</v>
      </c>
      <c r="AA522" s="48">
        <f t="shared" si="258"/>
        <v>493965.14852300007</v>
      </c>
      <c r="AB522" s="48">
        <f t="shared" si="259"/>
        <v>534802.97267599998</v>
      </c>
      <c r="AC522" s="48">
        <f t="shared" si="260"/>
        <v>576488.42238400003</v>
      </c>
      <c r="AD522" s="1"/>
      <c r="AE522" s="1"/>
      <c r="AF522" s="1"/>
      <c r="AI522" s="9"/>
      <c r="AJ522" s="1"/>
      <c r="AK522" s="1"/>
      <c r="AL522" s="1"/>
      <c r="AM522" s="1"/>
      <c r="AN522" s="1"/>
      <c r="AO522" s="1"/>
      <c r="AP522" s="9"/>
      <c r="AQ522" s="3"/>
      <c r="AR522" s="4"/>
      <c r="AS522" s="1"/>
      <c r="AT522" s="1"/>
      <c r="AU522" s="1"/>
      <c r="AV522" s="1"/>
      <c r="AW522" s="1"/>
      <c r="AX522" s="3"/>
      <c r="AY522" s="3"/>
      <c r="AZ522" s="5"/>
      <c r="BA522" s="5"/>
      <c r="BB522" s="5"/>
      <c r="BC522" s="5"/>
      <c r="BD522" s="6"/>
      <c r="BE522" s="6"/>
      <c r="BF522" s="12"/>
      <c r="BG522" s="12"/>
      <c r="BH522" s="12"/>
      <c r="BI522" s="12"/>
      <c r="BJ522" s="12"/>
    </row>
    <row r="523" spans="2:62" x14ac:dyDescent="0.25">
      <c r="B523" s="1" t="s">
        <v>421</v>
      </c>
      <c r="C523" s="1" t="s">
        <v>617</v>
      </c>
      <c r="D523" s="1" t="s">
        <v>1190</v>
      </c>
      <c r="E523" s="1" t="s">
        <v>618</v>
      </c>
      <c r="F523" s="1" t="s">
        <v>619</v>
      </c>
      <c r="G523" s="1" t="s">
        <v>1190</v>
      </c>
      <c r="H523" s="1" t="s">
        <v>1190</v>
      </c>
      <c r="I523" s="7" t="s">
        <v>322</v>
      </c>
      <c r="J523" s="44">
        <v>1</v>
      </c>
      <c r="K523" s="45">
        <v>1</v>
      </c>
      <c r="L523" s="1" t="s">
        <v>443</v>
      </c>
      <c r="M523" s="1" t="s">
        <v>444</v>
      </c>
      <c r="N523" s="1" t="s">
        <v>1139</v>
      </c>
      <c r="O523" s="1" t="s">
        <v>1189</v>
      </c>
      <c r="P523" s="1" t="s">
        <v>1190</v>
      </c>
      <c r="Q523" s="44">
        <f>IF(L523="921",Multipliers!C191,"oops")</f>
        <v>1.1000000000000001</v>
      </c>
      <c r="R523" s="44">
        <f>IF(M523="San Diego",Multipliers!C22, "GOOF")</f>
        <v>1.17</v>
      </c>
      <c r="S523" s="46">
        <f t="shared" si="256"/>
        <v>421767.88500000013</v>
      </c>
      <c r="T523" s="46">
        <f t="shared" si="257"/>
        <v>438724.04939999996</v>
      </c>
      <c r="U523" s="46">
        <f t="shared" si="248"/>
        <v>434336.80890599993</v>
      </c>
      <c r="V523" s="46">
        <f t="shared" si="249"/>
        <v>428052.34695300006</v>
      </c>
      <c r="W523" s="47">
        <f>IF(F523=F524,(V523+V524)/2,IF(F523=F522,(V523+V522)/2,IF(F523&lt;&gt;F522,V523)))</f>
        <v>428052.34695300006</v>
      </c>
      <c r="X523" s="47"/>
      <c r="Y523" s="48">
        <f t="shared" si="250"/>
        <v>340558.31309499999</v>
      </c>
      <c r="Z523" s="48">
        <f t="shared" si="251"/>
        <v>377504.28923900001</v>
      </c>
      <c r="AA523" s="48">
        <f t="shared" si="258"/>
        <v>428052.34695300006</v>
      </c>
      <c r="AB523" s="48">
        <f t="shared" si="259"/>
        <v>462168.18863599998</v>
      </c>
      <c r="AC523" s="48">
        <f t="shared" si="260"/>
        <v>498370.60442400002</v>
      </c>
      <c r="AD523" s="1"/>
      <c r="AE523" s="1"/>
      <c r="AF523" s="1"/>
      <c r="AI523" s="9"/>
      <c r="AJ523" s="1"/>
      <c r="AK523" s="1"/>
      <c r="AL523" s="1"/>
      <c r="AM523" s="1"/>
      <c r="AN523" s="1"/>
      <c r="AO523" s="1"/>
      <c r="AP523" s="9"/>
      <c r="AQ523" s="3"/>
      <c r="AR523" s="4"/>
      <c r="AS523" s="1"/>
      <c r="AT523" s="1"/>
      <c r="AU523" s="1"/>
      <c r="AV523" s="1"/>
      <c r="AW523" s="1"/>
      <c r="AX523" s="3"/>
      <c r="AY523" s="3"/>
      <c r="AZ523" s="5"/>
      <c r="BA523" s="5"/>
      <c r="BB523" s="5"/>
      <c r="BC523" s="5"/>
      <c r="BD523" s="6"/>
      <c r="BE523" s="6"/>
      <c r="BF523" s="12"/>
      <c r="BG523" s="12"/>
      <c r="BH523" s="12"/>
      <c r="BI523" s="12"/>
      <c r="BJ523" s="12"/>
    </row>
    <row r="524" spans="2:62" x14ac:dyDescent="0.25">
      <c r="B524" s="1" t="s">
        <v>421</v>
      </c>
      <c r="C524" s="1" t="s">
        <v>620</v>
      </c>
      <c r="D524" s="1" t="s">
        <v>1190</v>
      </c>
      <c r="E524" s="1" t="s">
        <v>621</v>
      </c>
      <c r="F524" s="1" t="s">
        <v>622</v>
      </c>
      <c r="G524" s="1" t="s">
        <v>623</v>
      </c>
      <c r="H524" s="1" t="s">
        <v>624</v>
      </c>
      <c r="I524" s="7" t="s">
        <v>322</v>
      </c>
      <c r="J524" s="44">
        <v>1</v>
      </c>
      <c r="K524" s="45">
        <v>1</v>
      </c>
      <c r="L524" s="1" t="s">
        <v>443</v>
      </c>
      <c r="M524" s="1" t="s">
        <v>444</v>
      </c>
      <c r="N524" s="1" t="s">
        <v>1139</v>
      </c>
      <c r="O524" s="1" t="s">
        <v>1189</v>
      </c>
      <c r="P524" s="1" t="s">
        <v>1190</v>
      </c>
      <c r="Q524" s="44">
        <f>IF(L524="921",Multipliers!C191,"oops")</f>
        <v>1.1000000000000001</v>
      </c>
      <c r="R524" s="44">
        <f>IF(M524="San Diego",Multipliers!C22, "GOOF")</f>
        <v>1.17</v>
      </c>
      <c r="S524" s="46">
        <f t="shared" si="256"/>
        <v>421767.88500000013</v>
      </c>
      <c r="T524" s="46">
        <f t="shared" si="257"/>
        <v>438724.04939999996</v>
      </c>
      <c r="U524" s="46">
        <f t="shared" si="248"/>
        <v>434336.80890599993</v>
      </c>
      <c r="V524" s="46">
        <f t="shared" si="249"/>
        <v>428052.34695300006</v>
      </c>
      <c r="W524" s="47">
        <f>IF(F524=F525,(V524+V525)/2,IF(F524=F523,(V524+V523)/2,IF(F524&lt;&gt;F523,V524)))</f>
        <v>428052.34695300006</v>
      </c>
      <c r="X524" s="47"/>
      <c r="Y524" s="48">
        <f t="shared" si="250"/>
        <v>340558.31309499999</v>
      </c>
      <c r="Z524" s="48">
        <f t="shared" si="251"/>
        <v>377504.28923900001</v>
      </c>
      <c r="AA524" s="48">
        <f t="shared" si="258"/>
        <v>428052.34695300006</v>
      </c>
      <c r="AB524" s="48">
        <f t="shared" si="259"/>
        <v>462168.18863599998</v>
      </c>
      <c r="AC524" s="48">
        <f t="shared" si="260"/>
        <v>498370.60442400002</v>
      </c>
      <c r="AD524" s="1"/>
      <c r="AE524" s="1"/>
      <c r="AF524" s="1"/>
      <c r="AI524" s="9"/>
      <c r="AJ524" s="1"/>
      <c r="AK524" s="1"/>
      <c r="AL524" s="1"/>
      <c r="AM524" s="1"/>
      <c r="AN524" s="1"/>
      <c r="AO524" s="1"/>
      <c r="AP524" s="9"/>
      <c r="AQ524" s="3"/>
      <c r="AR524" s="4"/>
      <c r="AS524" s="1"/>
      <c r="AT524" s="1"/>
      <c r="AU524" s="1"/>
      <c r="AV524" s="1"/>
      <c r="AW524" s="1"/>
      <c r="AX524" s="3"/>
      <c r="AY524" s="3"/>
      <c r="AZ524" s="5"/>
      <c r="BA524" s="5"/>
      <c r="BB524" s="5"/>
      <c r="BC524" s="5"/>
      <c r="BD524" s="6"/>
      <c r="BE524" s="6"/>
      <c r="BF524" s="12"/>
      <c r="BG524" s="12"/>
      <c r="BH524" s="12"/>
      <c r="BI524" s="12"/>
      <c r="BJ524" s="12"/>
    </row>
    <row r="525" spans="2:62" x14ac:dyDescent="0.25">
      <c r="B525" s="1" t="s">
        <v>421</v>
      </c>
      <c r="C525" s="1" t="s">
        <v>625</v>
      </c>
      <c r="D525" s="1" t="s">
        <v>1190</v>
      </c>
      <c r="E525" s="1" t="s">
        <v>626</v>
      </c>
      <c r="F525" s="1" t="s">
        <v>627</v>
      </c>
      <c r="G525" s="1" t="s">
        <v>1190</v>
      </c>
      <c r="H525" s="1" t="s">
        <v>1190</v>
      </c>
      <c r="I525" s="7" t="s">
        <v>322</v>
      </c>
      <c r="J525" s="44">
        <v>1</v>
      </c>
      <c r="K525" s="45">
        <v>1</v>
      </c>
      <c r="L525" s="1" t="s">
        <v>470</v>
      </c>
      <c r="M525" s="1" t="s">
        <v>426</v>
      </c>
      <c r="N525" s="1" t="s">
        <v>1140</v>
      </c>
      <c r="O525" s="1" t="s">
        <v>1189</v>
      </c>
      <c r="P525" s="1" t="s">
        <v>1190</v>
      </c>
      <c r="Q525" s="44">
        <f>IF(L525="954",Multipliers!C203,"oops")</f>
        <v>1.27</v>
      </c>
      <c r="R525" s="44">
        <f>IF(M525="CALIFORNIA",Multipliers!C14, "GOOF")</f>
        <v>1.22</v>
      </c>
      <c r="S525" s="46">
        <f t="shared" si="256"/>
        <v>515711.21140000003</v>
      </c>
      <c r="T525" s="46">
        <f t="shared" si="257"/>
        <v>476988.9754</v>
      </c>
      <c r="U525" s="46">
        <f t="shared" si="248"/>
        <v>472219.08564599999</v>
      </c>
      <c r="V525" s="46">
        <f t="shared" si="249"/>
        <v>493965.14852300001</v>
      </c>
      <c r="W525" s="47">
        <f>IF(F525=F526,(V525+V526)/2,IF(F525=F524,(V525+V524)/2,IF(F525&lt;&gt;F524,V525)))</f>
        <v>493965.14852300001</v>
      </c>
      <c r="X525" s="47"/>
      <c r="Y525" s="48">
        <f t="shared" si="250"/>
        <v>395085.74952000001</v>
      </c>
      <c r="Z525" s="48">
        <f t="shared" si="251"/>
        <v>436243.09877399995</v>
      </c>
      <c r="AA525" s="48">
        <f t="shared" si="258"/>
        <v>493965.14852300007</v>
      </c>
      <c r="AB525" s="48">
        <f t="shared" si="259"/>
        <v>534802.97267599998</v>
      </c>
      <c r="AC525" s="48">
        <f t="shared" si="260"/>
        <v>576488.42238400003</v>
      </c>
      <c r="AD525" s="1"/>
      <c r="AE525" s="1"/>
      <c r="AF525" s="1"/>
      <c r="AI525" s="9"/>
      <c r="AJ525" s="1"/>
      <c r="AK525" s="1"/>
      <c r="AL525" s="1"/>
      <c r="AM525" s="1"/>
      <c r="AN525" s="1"/>
      <c r="AO525" s="1"/>
      <c r="AP525" s="9"/>
      <c r="AQ525" s="3"/>
      <c r="AR525" s="4"/>
      <c r="AS525" s="1"/>
      <c r="AT525" s="1"/>
      <c r="AU525" s="1"/>
      <c r="AV525" s="1"/>
      <c r="AW525" s="1"/>
      <c r="AX525" s="3"/>
      <c r="AY525" s="3"/>
      <c r="AZ525" s="5"/>
      <c r="BA525" s="5"/>
      <c r="BB525" s="5"/>
      <c r="BC525" s="5"/>
      <c r="BD525" s="6"/>
      <c r="BE525" s="6"/>
      <c r="BF525" s="12"/>
      <c r="BG525" s="12"/>
      <c r="BH525" s="12"/>
      <c r="BI525" s="12"/>
      <c r="BJ525" s="12"/>
    </row>
    <row r="526" spans="2:62" x14ac:dyDescent="0.25">
      <c r="B526" s="1" t="s">
        <v>421</v>
      </c>
      <c r="C526" s="1" t="s">
        <v>507</v>
      </c>
      <c r="D526" s="1" t="s">
        <v>1766</v>
      </c>
      <c r="E526" s="1" t="s">
        <v>628</v>
      </c>
      <c r="F526" s="1" t="s">
        <v>629</v>
      </c>
      <c r="G526" s="1" t="s">
        <v>448</v>
      </c>
      <c r="H526" s="1" t="s">
        <v>449</v>
      </c>
      <c r="I526" s="7" t="s">
        <v>322</v>
      </c>
      <c r="J526" s="44">
        <v>1</v>
      </c>
      <c r="K526" s="45">
        <v>1</v>
      </c>
      <c r="L526" s="1" t="s">
        <v>450</v>
      </c>
      <c r="M526" s="1" t="s">
        <v>426</v>
      </c>
      <c r="N526" s="1" t="s">
        <v>1140</v>
      </c>
      <c r="O526" s="1" t="s">
        <v>1189</v>
      </c>
      <c r="P526" s="1" t="s">
        <v>1190</v>
      </c>
      <c r="Q526" s="44">
        <f>IF(L526="959",Multipliers!C206,"oops")</f>
        <v>1.2</v>
      </c>
      <c r="R526" s="44">
        <f>IF(M526="CALIFORNIA",Multipliers!C14, "GOOF")</f>
        <v>1.22</v>
      </c>
      <c r="S526" s="46">
        <f t="shared" ref="S526:S551" si="261">IF(N526="Standard",$O$5*Q526*$O$7,IF(N526="Severe",$O$4*Q526*$O$7,IF(N526="Hostile",$O$3*Q526*$O$7)))</f>
        <v>487286.18400000001</v>
      </c>
      <c r="T526" s="46">
        <f t="shared" ref="T526:T551" si="262">IF(N526="Standard",$P$5*R526*$O$7,IF(N526="Severe",$P$4*R526*$O$7,IF(N526="Hostile",$P$3*R526*$O$7)))</f>
        <v>476988.9754</v>
      </c>
      <c r="U526" s="46">
        <f t="shared" si="248"/>
        <v>472219.08564599999</v>
      </c>
      <c r="V526" s="46">
        <f t="shared" si="249"/>
        <v>479752.634823</v>
      </c>
      <c r="W526" s="47">
        <f t="shared" ref="W526:W543" si="263">IF(F526=F527,(V526+V527)/2,IF(F526=F525,(V526+V525)/2,IF(F526&lt;&gt;F525,V526)))</f>
        <v>479752.634823</v>
      </c>
      <c r="X526" s="47"/>
      <c r="Y526" s="48">
        <f t="shared" si="250"/>
        <v>383354.01027000003</v>
      </c>
      <c r="Z526" s="48">
        <f t="shared" si="251"/>
        <v>423462.94817400002</v>
      </c>
      <c r="AA526" s="48">
        <f t="shared" si="258"/>
        <v>479752.63482300006</v>
      </c>
      <c r="AB526" s="48">
        <f t="shared" si="259"/>
        <v>519556.77702600003</v>
      </c>
      <c r="AC526" s="48">
        <f t="shared" si="260"/>
        <v>560078.60903400008</v>
      </c>
      <c r="AD526" s="1"/>
      <c r="AE526" s="1"/>
      <c r="AF526" s="1"/>
      <c r="AI526" s="9"/>
      <c r="AJ526" s="1"/>
      <c r="AK526" s="1"/>
      <c r="AL526" s="1"/>
      <c r="AM526" s="1"/>
      <c r="AN526" s="1"/>
      <c r="AO526" s="1"/>
      <c r="AP526" s="9"/>
      <c r="AQ526" s="3"/>
      <c r="AR526" s="4"/>
      <c r="AS526" s="1"/>
      <c r="AT526" s="1"/>
      <c r="AU526" s="1"/>
      <c r="AV526" s="1"/>
      <c r="AW526" s="1"/>
      <c r="AX526" s="3"/>
      <c r="AY526" s="3"/>
      <c r="AZ526" s="5"/>
      <c r="BA526" s="5"/>
      <c r="BB526" s="5"/>
      <c r="BC526" s="5"/>
      <c r="BD526" s="6"/>
      <c r="BE526" s="6"/>
      <c r="BF526" s="12"/>
      <c r="BG526" s="12"/>
      <c r="BH526" s="12"/>
      <c r="BI526" s="12"/>
      <c r="BJ526" s="12"/>
    </row>
    <row r="527" spans="2:62" x14ac:dyDescent="0.25">
      <c r="B527" s="1" t="s">
        <v>421</v>
      </c>
      <c r="C527" s="1" t="s">
        <v>630</v>
      </c>
      <c r="D527" s="1" t="s">
        <v>1190</v>
      </c>
      <c r="E527" s="1" t="s">
        <v>631</v>
      </c>
      <c r="F527" s="1" t="s">
        <v>632</v>
      </c>
      <c r="G527" s="1" t="s">
        <v>441</v>
      </c>
      <c r="H527" s="1" t="s">
        <v>442</v>
      </c>
      <c r="I527" s="7" t="s">
        <v>322</v>
      </c>
      <c r="J527" s="44">
        <v>1</v>
      </c>
      <c r="K527" s="45">
        <v>1</v>
      </c>
      <c r="L527" s="1" t="s">
        <v>633</v>
      </c>
      <c r="M527" s="1" t="s">
        <v>634</v>
      </c>
      <c r="N527" s="1" t="s">
        <v>1139</v>
      </c>
      <c r="O527" s="1" t="s">
        <v>1189</v>
      </c>
      <c r="P527" s="1" t="s">
        <v>1190</v>
      </c>
      <c r="Q527" s="44">
        <f>IF(L527="922",Multipliers!C192,"oops")</f>
        <v>1.1200000000000001</v>
      </c>
      <c r="R527" s="44">
        <f>IF(M527="Palm Springs",Multipliers!C20, "GOOF")</f>
        <v>1.22</v>
      </c>
      <c r="S527" s="46">
        <f>IF(N527="Standard",$O$5*Q527*$O$7,IF(N527="Severe",$O$4*Q527*$O$7,IF(N527="Hostile",$O$3*Q527*$O$7)))</f>
        <v>429436.39200000011</v>
      </c>
      <c r="T527" s="46">
        <f>IF(N527="Standard",$P$5*R527*$O$7,IF(N527="Severe",$P$4*R527*$O$7,IF(N527="Hostile",$P$3*R527*$O$7)))</f>
        <v>457472.94040000002</v>
      </c>
      <c r="U527" s="46">
        <f t="shared" si="248"/>
        <v>452898.21099600004</v>
      </c>
      <c r="V527" s="46">
        <f t="shared" si="249"/>
        <v>441167.30149800004</v>
      </c>
      <c r="W527" s="47">
        <f>IF(F527=F528,(V527+V528)/2,IF(F527=F526,(V527+V526)/2,IF(F527&lt;&gt;F526,V527)))</f>
        <v>441167.30149800004</v>
      </c>
      <c r="X527" s="47"/>
      <c r="Y527" s="48">
        <f t="shared" si="250"/>
        <v>350858.28826999996</v>
      </c>
      <c r="Z527" s="48">
        <f t="shared" si="251"/>
        <v>388983.11397400004</v>
      </c>
      <c r="AA527" s="48">
        <f t="shared" si="258"/>
        <v>441167.30149800004</v>
      </c>
      <c r="AB527" s="48">
        <f t="shared" si="259"/>
        <v>476384.69317600003</v>
      </c>
      <c r="AC527" s="48">
        <f t="shared" si="260"/>
        <v>513707.09678400005</v>
      </c>
      <c r="AD527" s="1"/>
      <c r="AE527" s="1"/>
      <c r="AF527" s="1"/>
      <c r="AI527" s="9"/>
      <c r="AJ527" s="1"/>
      <c r="AK527" s="1"/>
      <c r="AL527" s="1"/>
      <c r="AM527" s="1"/>
      <c r="AN527" s="1"/>
      <c r="AO527" s="1"/>
      <c r="AP527" s="9"/>
      <c r="AQ527" s="3"/>
      <c r="AR527" s="4"/>
      <c r="AS527" s="1"/>
      <c r="AT527" s="1"/>
      <c r="AU527" s="1"/>
      <c r="AV527" s="1"/>
      <c r="AW527" s="1"/>
      <c r="AX527" s="3"/>
      <c r="AY527" s="3"/>
      <c r="AZ527" s="5"/>
      <c r="BA527" s="5"/>
      <c r="BB527" s="5"/>
      <c r="BC527" s="5"/>
      <c r="BD527" s="6"/>
      <c r="BE527" s="6"/>
      <c r="BF527" s="12"/>
      <c r="BG527" s="12"/>
      <c r="BH527" s="12"/>
      <c r="BI527" s="12"/>
      <c r="BJ527" s="12"/>
    </row>
    <row r="528" spans="2:62" x14ac:dyDescent="0.25">
      <c r="B528" s="1" t="s">
        <v>421</v>
      </c>
      <c r="C528" s="1" t="s">
        <v>635</v>
      </c>
      <c r="D528" s="1" t="s">
        <v>1190</v>
      </c>
      <c r="E528" s="1" t="s">
        <v>636</v>
      </c>
      <c r="F528" s="1" t="s">
        <v>637</v>
      </c>
      <c r="G528" s="1" t="s">
        <v>1190</v>
      </c>
      <c r="H528" s="1" t="s">
        <v>1190</v>
      </c>
      <c r="I528" s="7" t="s">
        <v>322</v>
      </c>
      <c r="J528" s="44">
        <v>1</v>
      </c>
      <c r="K528" s="45">
        <v>1</v>
      </c>
      <c r="L528" s="1" t="s">
        <v>638</v>
      </c>
      <c r="M528" s="1" t="s">
        <v>426</v>
      </c>
      <c r="N528" s="1" t="s">
        <v>1140</v>
      </c>
      <c r="O528" s="1" t="s">
        <v>1189</v>
      </c>
      <c r="P528" s="1" t="s">
        <v>1190</v>
      </c>
      <c r="Q528" s="44">
        <f>IF(L528="936",Multipliers!C198,"oops")</f>
        <v>1.17</v>
      </c>
      <c r="R528" s="44">
        <f>IF(M528="CALIFORNIA",Multipliers!C14, "GOOF")</f>
        <v>1.22</v>
      </c>
      <c r="S528" s="46">
        <f t="shared" si="261"/>
        <v>475104.02940000006</v>
      </c>
      <c r="T528" s="46">
        <f t="shared" si="262"/>
        <v>476988.9754</v>
      </c>
      <c r="U528" s="46">
        <f t="shared" ref="U528:U543" si="264">IF(O528="E",$T$3*T528,IF(O528="C",$T$4*T528,IF(O528="W",$T$5*T528,1)))</f>
        <v>472219.08564599999</v>
      </c>
      <c r="V528" s="46">
        <f t="shared" ref="V528:V543" si="265">(S528+U528)/2</f>
        <v>473661.55752300005</v>
      </c>
      <c r="W528" s="47">
        <f t="shared" si="263"/>
        <v>473661.55752300005</v>
      </c>
      <c r="X528" s="47"/>
      <c r="Y528" s="48">
        <f t="shared" ref="Y528:Y543" si="266">IF(N528="Standard",(((($Z$3*Q528)+($AD$3*R528*$T$5))/2)*$O$7),IF(N528="Severe",(((($AA$3*Q528)+($AE$3*R528*$T$5))/2)*$O$7),IF(N528="Hostile",(((($AB$3*Q528)+($AF$3*R528*$T$5))/2)*$O$7))))</f>
        <v>378326.12202000001</v>
      </c>
      <c r="Z528" s="48">
        <f t="shared" ref="Z528:Z543" si="267">IF(N528="Standard",(((($Z$4*Q528)+($AD$4*R528*$T$5))/2)*$O$7),IF(N528="Severe",(((($AA$4*Q528)+($AE$4*R528*$T$5))/2)*$O$7),IF(N528="Hostile",(((($AB$4*Q528)+($AF$4*R528*$T$5))/2)*$O$7))))</f>
        <v>417985.74077399995</v>
      </c>
      <c r="AA528" s="48">
        <f t="shared" si="258"/>
        <v>473661.557523</v>
      </c>
      <c r="AB528" s="48">
        <f t="shared" si="259"/>
        <v>513022.69317600003</v>
      </c>
      <c r="AC528" s="48">
        <f t="shared" si="260"/>
        <v>553045.83188399998</v>
      </c>
      <c r="AD528" s="1"/>
      <c r="AE528" s="1"/>
      <c r="AF528" s="1"/>
      <c r="AI528" s="9"/>
      <c r="AJ528" s="1"/>
      <c r="AK528" s="1"/>
      <c r="AL528" s="1"/>
      <c r="AM528" s="1"/>
      <c r="AN528" s="1"/>
      <c r="AO528" s="1"/>
      <c r="AP528" s="9"/>
      <c r="AQ528" s="3"/>
      <c r="AR528" s="4"/>
      <c r="AS528" s="1"/>
      <c r="AT528" s="1"/>
      <c r="AU528" s="1"/>
      <c r="AV528" s="1"/>
      <c r="AW528" s="1"/>
      <c r="AX528" s="3"/>
      <c r="AY528" s="3"/>
      <c r="AZ528" s="5"/>
      <c r="BA528" s="5"/>
      <c r="BB528" s="5"/>
      <c r="BC528" s="5"/>
      <c r="BD528" s="6"/>
      <c r="BE528" s="6"/>
      <c r="BF528" s="12"/>
      <c r="BG528" s="12"/>
      <c r="BH528" s="12"/>
      <c r="BI528" s="12"/>
      <c r="BJ528" s="12"/>
    </row>
    <row r="529" spans="2:62" x14ac:dyDescent="0.25">
      <c r="B529" s="1" t="s">
        <v>421</v>
      </c>
      <c r="C529" s="1" t="s">
        <v>639</v>
      </c>
      <c r="D529" s="1" t="s">
        <v>1190</v>
      </c>
      <c r="E529" s="1" t="s">
        <v>640</v>
      </c>
      <c r="F529" s="1" t="s">
        <v>641</v>
      </c>
      <c r="G529" s="1" t="s">
        <v>459</v>
      </c>
      <c r="H529" s="1" t="s">
        <v>460</v>
      </c>
      <c r="I529" s="7" t="s">
        <v>322</v>
      </c>
      <c r="J529" s="44">
        <v>1</v>
      </c>
      <c r="K529" s="45">
        <v>1</v>
      </c>
      <c r="L529" s="1" t="s">
        <v>461</v>
      </c>
      <c r="M529" s="1" t="s">
        <v>426</v>
      </c>
      <c r="N529" s="1" t="s">
        <v>1140</v>
      </c>
      <c r="O529" s="1" t="s">
        <v>1189</v>
      </c>
      <c r="P529" s="1" t="s">
        <v>1190</v>
      </c>
      <c r="Q529" s="44">
        <f>IF(L529="935",Multipliers!C197,"oops")</f>
        <v>1.1299999999999999</v>
      </c>
      <c r="R529" s="44">
        <f>IF(M529="CALIFORNIA",Multipliers!C14, "GOOF")</f>
        <v>1.22</v>
      </c>
      <c r="S529" s="46">
        <f>IF(N529="Standard",$O$5*Q529*$O$7,IF(N529="Severe",$O$4*Q529*$O$7,IF(N529="Hostile",$O$3*Q529*$O$7)))</f>
        <v>458861.15659999999</v>
      </c>
      <c r="T529" s="46">
        <f>IF(N529="Standard",$P$5*R529*$O$7,IF(N529="Severe",$P$4*R529*$O$7,IF(N529="Hostile",$P$3*R529*$O$7)))</f>
        <v>476988.9754</v>
      </c>
      <c r="U529" s="46">
        <f t="shared" si="264"/>
        <v>472219.08564599999</v>
      </c>
      <c r="V529" s="46">
        <f t="shared" si="265"/>
        <v>465540.12112299999</v>
      </c>
      <c r="W529" s="47">
        <f>IF(F529=F530,(V529+V530)/2,IF(F529=F528,(V529+V528)/2,IF(F529&lt;&gt;F528,V529)))</f>
        <v>465540.12112299999</v>
      </c>
      <c r="X529" s="47"/>
      <c r="Y529" s="48">
        <f t="shared" si="266"/>
        <v>371622.27102000004</v>
      </c>
      <c r="Z529" s="48">
        <f t="shared" si="267"/>
        <v>410682.79757399991</v>
      </c>
      <c r="AA529" s="48">
        <f t="shared" si="258"/>
        <v>465540.12112300005</v>
      </c>
      <c r="AB529" s="48">
        <f t="shared" si="259"/>
        <v>504310.58137600002</v>
      </c>
      <c r="AC529" s="48">
        <f t="shared" si="260"/>
        <v>543668.7956839999</v>
      </c>
      <c r="AD529" s="1"/>
      <c r="AE529" s="1"/>
      <c r="AF529" s="1"/>
      <c r="AI529" s="9"/>
      <c r="AJ529" s="1"/>
      <c r="AK529" s="1"/>
      <c r="AL529" s="1"/>
      <c r="AM529" s="1"/>
      <c r="AN529" s="1"/>
      <c r="AO529" s="1"/>
      <c r="AP529" s="9"/>
      <c r="AQ529" s="3"/>
      <c r="AR529" s="4"/>
      <c r="AS529" s="1"/>
      <c r="AT529" s="1"/>
      <c r="AU529" s="1"/>
      <c r="AV529" s="1"/>
      <c r="AW529" s="1"/>
      <c r="AX529" s="3"/>
      <c r="AY529" s="3"/>
      <c r="AZ529" s="5"/>
      <c r="BA529" s="5"/>
      <c r="BB529" s="5"/>
      <c r="BC529" s="5"/>
      <c r="BD529" s="6"/>
      <c r="BE529" s="6"/>
      <c r="BF529" s="12"/>
      <c r="BG529" s="12"/>
      <c r="BH529" s="12"/>
      <c r="BI529" s="12"/>
      <c r="BJ529" s="12"/>
    </row>
    <row r="530" spans="2:62" x14ac:dyDescent="0.25">
      <c r="B530" s="1" t="s">
        <v>421</v>
      </c>
      <c r="C530" s="1" t="s">
        <v>642</v>
      </c>
      <c r="D530" s="1" t="s">
        <v>1190</v>
      </c>
      <c r="E530" s="1" t="s">
        <v>643</v>
      </c>
      <c r="F530" s="1" t="s">
        <v>644</v>
      </c>
      <c r="G530" s="1" t="s">
        <v>441</v>
      </c>
      <c r="H530" s="1" t="s">
        <v>442</v>
      </c>
      <c r="I530" s="7" t="s">
        <v>322</v>
      </c>
      <c r="J530" s="44">
        <v>1</v>
      </c>
      <c r="K530" s="45">
        <v>1</v>
      </c>
      <c r="L530" s="1" t="s">
        <v>493</v>
      </c>
      <c r="M530" s="1" t="s">
        <v>444</v>
      </c>
      <c r="N530" s="1" t="s">
        <v>1139</v>
      </c>
      <c r="O530" s="1" t="s">
        <v>1189</v>
      </c>
      <c r="P530" s="1" t="s">
        <v>1190</v>
      </c>
      <c r="Q530" s="44">
        <f>IF(L530="920",Multipliers!C190,"oops")</f>
        <v>1.1000000000000001</v>
      </c>
      <c r="R530" s="44">
        <f>IF(M530="San Diego",Multipliers!C22, "GOOF")</f>
        <v>1.17</v>
      </c>
      <c r="S530" s="46">
        <f t="shared" si="261"/>
        <v>421767.88500000013</v>
      </c>
      <c r="T530" s="46">
        <f t="shared" si="262"/>
        <v>438724.04939999996</v>
      </c>
      <c r="U530" s="46">
        <f t="shared" si="264"/>
        <v>434336.80890599993</v>
      </c>
      <c r="V530" s="46">
        <f t="shared" si="265"/>
        <v>428052.34695300006</v>
      </c>
      <c r="W530" s="47">
        <f t="shared" si="263"/>
        <v>428052.34695300006</v>
      </c>
      <c r="X530" s="47"/>
      <c r="Y530" s="48">
        <f t="shared" si="266"/>
        <v>340558.31309499999</v>
      </c>
      <c r="Z530" s="48">
        <f t="shared" si="267"/>
        <v>377504.28923900001</v>
      </c>
      <c r="AA530" s="48">
        <f t="shared" si="258"/>
        <v>428052.34695300006</v>
      </c>
      <c r="AB530" s="48">
        <f t="shared" si="259"/>
        <v>462168.18863599998</v>
      </c>
      <c r="AC530" s="48">
        <f t="shared" si="260"/>
        <v>498370.60442400002</v>
      </c>
      <c r="AD530" s="1"/>
      <c r="AE530" s="1"/>
      <c r="AF530" s="1"/>
      <c r="AI530" s="9"/>
      <c r="AJ530" s="1"/>
      <c r="AK530" s="1"/>
      <c r="AL530" s="1"/>
      <c r="AM530" s="1"/>
      <c r="AN530" s="1"/>
      <c r="AO530" s="1"/>
      <c r="AP530" s="9"/>
      <c r="AQ530" s="3"/>
      <c r="AR530" s="4"/>
      <c r="AS530" s="1"/>
      <c r="AT530" s="1"/>
      <c r="AU530" s="1"/>
      <c r="AV530" s="1"/>
      <c r="AW530" s="1"/>
      <c r="AX530" s="3"/>
      <c r="AY530" s="3"/>
      <c r="AZ530" s="5"/>
      <c r="BA530" s="5"/>
      <c r="BB530" s="5"/>
      <c r="BC530" s="5"/>
      <c r="BD530" s="6"/>
      <c r="BE530" s="6"/>
      <c r="BF530" s="12"/>
      <c r="BG530" s="12"/>
      <c r="BH530" s="12"/>
      <c r="BI530" s="12"/>
      <c r="BJ530" s="12"/>
    </row>
    <row r="531" spans="2:62" x14ac:dyDescent="0.25">
      <c r="B531" s="1" t="s">
        <v>421</v>
      </c>
      <c r="C531" s="1" t="s">
        <v>645</v>
      </c>
      <c r="D531" s="1" t="s">
        <v>1190</v>
      </c>
      <c r="E531" s="1" t="s">
        <v>486</v>
      </c>
      <c r="F531" s="1" t="s">
        <v>646</v>
      </c>
      <c r="G531" s="1" t="s">
        <v>1190</v>
      </c>
      <c r="H531" s="1" t="s">
        <v>1190</v>
      </c>
      <c r="I531" s="7" t="s">
        <v>322</v>
      </c>
      <c r="J531" s="44">
        <v>1</v>
      </c>
      <c r="K531" s="45">
        <v>1</v>
      </c>
      <c r="L531" s="1" t="s">
        <v>647</v>
      </c>
      <c r="M531" s="1" t="s">
        <v>426</v>
      </c>
      <c r="N531" s="1" t="s">
        <v>1140</v>
      </c>
      <c r="O531" s="1" t="s">
        <v>1189</v>
      </c>
      <c r="P531" s="1" t="s">
        <v>1190</v>
      </c>
      <c r="Q531" s="44">
        <f>IF(L531="960",Multipliers!C207,"oops")</f>
        <v>1.24</v>
      </c>
      <c r="R531" s="44">
        <f>IF(M531="CALIFORNIA",Multipliers!C14, "GOOF")</f>
        <v>1.22</v>
      </c>
      <c r="S531" s="46">
        <f t="shared" si="261"/>
        <v>503529.05680000008</v>
      </c>
      <c r="T531" s="46">
        <f t="shared" si="262"/>
        <v>476988.9754</v>
      </c>
      <c r="U531" s="46">
        <f t="shared" si="264"/>
        <v>472219.08564599999</v>
      </c>
      <c r="V531" s="46">
        <f t="shared" si="265"/>
        <v>487874.07122300006</v>
      </c>
      <c r="W531" s="47">
        <f t="shared" si="263"/>
        <v>487874.07122300006</v>
      </c>
      <c r="X531" s="47"/>
      <c r="Y531" s="48">
        <f t="shared" si="266"/>
        <v>390057.86126999999</v>
      </c>
      <c r="Z531" s="48">
        <f t="shared" si="267"/>
        <v>430765.891374</v>
      </c>
      <c r="AA531" s="48">
        <f t="shared" si="258"/>
        <v>487874.07122300001</v>
      </c>
      <c r="AB531" s="48">
        <f t="shared" si="259"/>
        <v>528268.88882599992</v>
      </c>
      <c r="AC531" s="48">
        <f t="shared" si="260"/>
        <v>569455.64523400005</v>
      </c>
      <c r="AD531" s="1"/>
      <c r="AE531" s="1"/>
      <c r="AF531" s="1"/>
      <c r="AI531" s="9"/>
      <c r="AJ531" s="1"/>
      <c r="AK531" s="1"/>
      <c r="AL531" s="1"/>
      <c r="AM531" s="1"/>
      <c r="AN531" s="1"/>
      <c r="AO531" s="1"/>
      <c r="AP531" s="9"/>
      <c r="AQ531" s="3"/>
      <c r="AR531" s="4"/>
      <c r="AS531" s="1"/>
      <c r="AT531" s="1"/>
      <c r="AU531" s="1"/>
      <c r="AV531" s="1"/>
      <c r="AW531" s="1"/>
      <c r="AX531" s="3"/>
      <c r="AY531" s="3"/>
      <c r="AZ531" s="5"/>
      <c r="BA531" s="5"/>
      <c r="BB531" s="5"/>
      <c r="BC531" s="5"/>
      <c r="BD531" s="6"/>
      <c r="BE531" s="6"/>
      <c r="BF531" s="12"/>
      <c r="BG531" s="12"/>
      <c r="BH531" s="12"/>
      <c r="BI531" s="12"/>
      <c r="BJ531" s="12"/>
    </row>
    <row r="532" spans="2:62" x14ac:dyDescent="0.25">
      <c r="B532" s="1" t="s">
        <v>421</v>
      </c>
      <c r="C532" s="1" t="s">
        <v>648</v>
      </c>
      <c r="D532" s="1" t="s">
        <v>1190</v>
      </c>
      <c r="E532" s="1" t="s">
        <v>649</v>
      </c>
      <c r="F532" s="1" t="s">
        <v>650</v>
      </c>
      <c r="G532" s="1" t="s">
        <v>441</v>
      </c>
      <c r="H532" s="1" t="s">
        <v>442</v>
      </c>
      <c r="I532" s="7" t="s">
        <v>322</v>
      </c>
      <c r="J532" s="44">
        <v>1</v>
      </c>
      <c r="K532" s="45">
        <v>1</v>
      </c>
      <c r="L532" s="1" t="s">
        <v>443</v>
      </c>
      <c r="M532" s="1" t="s">
        <v>444</v>
      </c>
      <c r="N532" s="1" t="s">
        <v>1139</v>
      </c>
      <c r="O532" s="1" t="s">
        <v>1189</v>
      </c>
      <c r="P532" s="1" t="s">
        <v>1190</v>
      </c>
      <c r="Q532" s="44">
        <f>IF(L532="921",Multipliers!C191,"oops")</f>
        <v>1.1000000000000001</v>
      </c>
      <c r="R532" s="44">
        <f>IF(M532="San Diego",Multipliers!C22, "GOOF")</f>
        <v>1.17</v>
      </c>
      <c r="S532" s="46">
        <f t="shared" si="261"/>
        <v>421767.88500000013</v>
      </c>
      <c r="T532" s="46">
        <f t="shared" si="262"/>
        <v>438724.04939999996</v>
      </c>
      <c r="U532" s="46">
        <f t="shared" si="264"/>
        <v>434336.80890599993</v>
      </c>
      <c r="V532" s="46">
        <f t="shared" si="265"/>
        <v>428052.34695300006</v>
      </c>
      <c r="W532" s="47">
        <f t="shared" si="263"/>
        <v>428052.34695300006</v>
      </c>
      <c r="X532" s="47"/>
      <c r="Y532" s="48">
        <f t="shared" si="266"/>
        <v>340558.31309499999</v>
      </c>
      <c r="Z532" s="48">
        <f t="shared" si="267"/>
        <v>377504.28923900001</v>
      </c>
      <c r="AA532" s="48">
        <f t="shared" ref="AA532:AA547" si="268">IF(N532="Standard",((($Z$5*Q532)+($AD$5*R532*$T$5))/2)*$O$7,IF(N532="Severe",((($AA$5*Q532)+($AE$5*R532*$T$5))/2)*$O$7,IF(N532="Hostile",((($AB$5*Q532)+($AF$5*R532*$T$5))/2)*$O$7)))</f>
        <v>428052.34695300006</v>
      </c>
      <c r="AB532" s="48">
        <f t="shared" ref="AB532:AB547" si="269">IF(N532="Standard",((($Z$6*Q532)+($AD$6*R532*$T$5))/2)*$O$7,IF(N532="Severe",((($AA$6*Q532)+($AE$6*R532*$T$5))/2)*$O$7,IF(N532="Hostile",((($AB$6*Q532)+($AF$6*R532*$T$5))/2)*$O$7)))</f>
        <v>462168.18863599998</v>
      </c>
      <c r="AC532" s="48">
        <f t="shared" ref="AC532:AC547" si="270">IF(N532="Standard",((($Z$7*Q532)+($AD$7*R532*$T$5))/2)*$O$7,IF(N532="Severe",((($AA$7*Q532)+($AE$7*R532*$T$5))/2)*$O$7,IF(N532="Hostile",((($AB$7*Q532)+($AF$7*R532*$T$5))/2)*$O$7)))</f>
        <v>498370.60442400002</v>
      </c>
      <c r="AD532" s="1"/>
      <c r="AE532" s="1"/>
      <c r="AF532" s="1"/>
      <c r="AI532" s="9"/>
      <c r="AJ532" s="1"/>
      <c r="AK532" s="1"/>
      <c r="AL532" s="1"/>
      <c r="AM532" s="1"/>
      <c r="AN532" s="1"/>
      <c r="AO532" s="1"/>
      <c r="AP532" s="9"/>
      <c r="AQ532" s="3"/>
      <c r="AR532" s="4"/>
      <c r="AS532" s="1"/>
      <c r="AT532" s="1"/>
      <c r="AU532" s="1"/>
      <c r="AV532" s="1"/>
      <c r="AW532" s="1"/>
      <c r="AX532" s="3"/>
      <c r="AY532" s="3"/>
      <c r="AZ532" s="5"/>
      <c r="BA532" s="5"/>
      <c r="BB532" s="5"/>
      <c r="BC532" s="5"/>
      <c r="BD532" s="6"/>
      <c r="BE532" s="6"/>
      <c r="BF532" s="12"/>
      <c r="BG532" s="12"/>
      <c r="BH532" s="12"/>
      <c r="BI532" s="12"/>
      <c r="BJ532" s="12"/>
    </row>
    <row r="533" spans="2:62" x14ac:dyDescent="0.25">
      <c r="B533" s="1" t="s">
        <v>421</v>
      </c>
      <c r="C533" s="1" t="s">
        <v>651</v>
      </c>
      <c r="D533" s="1" t="s">
        <v>1190</v>
      </c>
      <c r="E533" s="1" t="s">
        <v>652</v>
      </c>
      <c r="F533" s="1" t="s">
        <v>653</v>
      </c>
      <c r="G533" s="1" t="s">
        <v>1190</v>
      </c>
      <c r="H533" s="1" t="s">
        <v>1190</v>
      </c>
      <c r="I533" s="7" t="s">
        <v>322</v>
      </c>
      <c r="J533" s="44">
        <v>1</v>
      </c>
      <c r="K533" s="45">
        <v>1</v>
      </c>
      <c r="L533" s="1" t="s">
        <v>425</v>
      </c>
      <c r="M533" s="1" t="s">
        <v>426</v>
      </c>
      <c r="N533" s="1" t="s">
        <v>1139</v>
      </c>
      <c r="O533" s="1" t="s">
        <v>1189</v>
      </c>
      <c r="P533" s="1" t="s">
        <v>1190</v>
      </c>
      <c r="Q533" s="44">
        <f>IF(L533="925",Multipliers!C194,"oops")</f>
        <v>1.1399999999999999</v>
      </c>
      <c r="R533" s="44">
        <f>IF(M533="CALIFORNIA",Multipliers!C14, "GOOF")</f>
        <v>1.22</v>
      </c>
      <c r="S533" s="46">
        <f t="shared" si="261"/>
        <v>437104.89900000003</v>
      </c>
      <c r="T533" s="46">
        <f t="shared" si="262"/>
        <v>457472.94040000002</v>
      </c>
      <c r="U533" s="46">
        <f t="shared" si="264"/>
        <v>452898.21099600004</v>
      </c>
      <c r="V533" s="46">
        <f t="shared" si="265"/>
        <v>445001.55499800004</v>
      </c>
      <c r="W533" s="47">
        <f t="shared" si="263"/>
        <v>445001.55499800004</v>
      </c>
      <c r="X533" s="47"/>
      <c r="Y533" s="48">
        <f t="shared" si="266"/>
        <v>354008.25326999993</v>
      </c>
      <c r="Z533" s="48">
        <f t="shared" si="267"/>
        <v>392429.30987399997</v>
      </c>
      <c r="AA533" s="48">
        <f t="shared" si="268"/>
        <v>445001.55499800004</v>
      </c>
      <c r="AB533" s="48">
        <f t="shared" si="269"/>
        <v>480482.85717599996</v>
      </c>
      <c r="AC533" s="48">
        <f t="shared" si="270"/>
        <v>518121.54878399998</v>
      </c>
      <c r="AD533" s="1"/>
      <c r="AE533" s="1"/>
      <c r="AF533" s="1"/>
      <c r="AI533" s="9"/>
      <c r="AJ533" s="1"/>
      <c r="AK533" s="1"/>
      <c r="AL533" s="1"/>
      <c r="AM533" s="1"/>
      <c r="AN533" s="1"/>
      <c r="AO533" s="1"/>
      <c r="AP533" s="9"/>
      <c r="AQ533" s="3"/>
      <c r="AR533" s="4"/>
      <c r="AS533" s="1"/>
      <c r="AT533" s="1"/>
      <c r="AU533" s="1"/>
      <c r="AV533" s="1"/>
      <c r="AW533" s="1"/>
      <c r="AX533" s="3"/>
      <c r="AY533" s="3"/>
      <c r="AZ533" s="5"/>
      <c r="BA533" s="5"/>
      <c r="BB533" s="5"/>
      <c r="BC533" s="5"/>
      <c r="BD533" s="6"/>
      <c r="BE533" s="6"/>
      <c r="BF533" s="12"/>
      <c r="BG533" s="12"/>
      <c r="BH533" s="12"/>
      <c r="BI533" s="12"/>
      <c r="BJ533" s="12"/>
    </row>
    <row r="534" spans="2:62" x14ac:dyDescent="0.25">
      <c r="B534" s="1" t="s">
        <v>421</v>
      </c>
      <c r="C534" s="1" t="s">
        <v>654</v>
      </c>
      <c r="D534" s="1" t="s">
        <v>1190</v>
      </c>
      <c r="E534" s="1" t="s">
        <v>655</v>
      </c>
      <c r="F534" s="1" t="s">
        <v>656</v>
      </c>
      <c r="G534" s="1" t="s">
        <v>518</v>
      </c>
      <c r="H534" s="1" t="s">
        <v>519</v>
      </c>
      <c r="I534" s="7" t="s">
        <v>322</v>
      </c>
      <c r="J534" s="44">
        <v>1</v>
      </c>
      <c r="K534" s="45">
        <v>1</v>
      </c>
      <c r="L534" s="1" t="s">
        <v>638</v>
      </c>
      <c r="M534" s="1" t="s">
        <v>426</v>
      </c>
      <c r="N534" s="1" t="s">
        <v>1140</v>
      </c>
      <c r="O534" s="1" t="s">
        <v>1189</v>
      </c>
      <c r="P534" s="1" t="s">
        <v>1190</v>
      </c>
      <c r="Q534" s="44">
        <f>IF(L534="936",Multipliers!C198,"oops")</f>
        <v>1.17</v>
      </c>
      <c r="R534" s="44">
        <f>IF(M534="CALIFORNIA",Multipliers!C14, "GOOF")</f>
        <v>1.22</v>
      </c>
      <c r="S534" s="46">
        <f t="shared" si="261"/>
        <v>475104.02940000006</v>
      </c>
      <c r="T534" s="46">
        <f t="shared" si="262"/>
        <v>476988.9754</v>
      </c>
      <c r="U534" s="46">
        <f t="shared" si="264"/>
        <v>472219.08564599999</v>
      </c>
      <c r="V534" s="46">
        <f t="shared" si="265"/>
        <v>473661.55752300005</v>
      </c>
      <c r="W534" s="47">
        <f t="shared" si="263"/>
        <v>473661.55752300005</v>
      </c>
      <c r="X534" s="47"/>
      <c r="Y534" s="48">
        <f t="shared" si="266"/>
        <v>378326.12202000001</v>
      </c>
      <c r="Z534" s="48">
        <f t="shared" si="267"/>
        <v>417985.74077399995</v>
      </c>
      <c r="AA534" s="48">
        <f t="shared" si="268"/>
        <v>473661.557523</v>
      </c>
      <c r="AB534" s="48">
        <f t="shared" si="269"/>
        <v>513022.69317600003</v>
      </c>
      <c r="AC534" s="48">
        <f t="shared" si="270"/>
        <v>553045.83188399998</v>
      </c>
      <c r="AD534" s="1"/>
      <c r="AE534" s="1"/>
      <c r="AF534" s="1"/>
      <c r="AI534" s="9"/>
      <c r="AJ534" s="1"/>
      <c r="AK534" s="1"/>
      <c r="AL534" s="1"/>
      <c r="AM534" s="1"/>
      <c r="AN534" s="1"/>
      <c r="AO534" s="1"/>
      <c r="AP534" s="9"/>
      <c r="AQ534" s="3"/>
      <c r="AR534" s="4"/>
      <c r="AS534" s="1"/>
      <c r="AT534" s="1"/>
      <c r="AU534" s="1"/>
      <c r="AV534" s="1"/>
      <c r="AW534" s="1"/>
      <c r="AX534" s="3"/>
      <c r="AY534" s="3"/>
      <c r="AZ534" s="5"/>
      <c r="BA534" s="5"/>
      <c r="BB534" s="5"/>
      <c r="BC534" s="5"/>
      <c r="BD534" s="6"/>
      <c r="BE534" s="6"/>
      <c r="BF534" s="12"/>
      <c r="BG534" s="12"/>
      <c r="BH534" s="12"/>
      <c r="BI534" s="12"/>
      <c r="BJ534" s="12"/>
    </row>
    <row r="535" spans="2:62" x14ac:dyDescent="0.25">
      <c r="B535" s="1" t="s">
        <v>421</v>
      </c>
      <c r="C535" s="1" t="s">
        <v>657</v>
      </c>
      <c r="D535" s="1" t="s">
        <v>1190</v>
      </c>
      <c r="E535" s="1" t="s">
        <v>673</v>
      </c>
      <c r="F535" s="1" t="s">
        <v>674</v>
      </c>
      <c r="G535" s="1" t="s">
        <v>448</v>
      </c>
      <c r="H535" s="1" t="s">
        <v>449</v>
      </c>
      <c r="I535" s="7" t="s">
        <v>322</v>
      </c>
      <c r="J535" s="44">
        <v>1</v>
      </c>
      <c r="K535" s="45">
        <v>1</v>
      </c>
      <c r="L535" s="1" t="s">
        <v>470</v>
      </c>
      <c r="M535" s="1" t="s">
        <v>426</v>
      </c>
      <c r="N535" s="1" t="s">
        <v>1140</v>
      </c>
      <c r="O535" s="1" t="s">
        <v>1189</v>
      </c>
      <c r="P535" s="1" t="s">
        <v>1190</v>
      </c>
      <c r="Q535" s="44">
        <f>IF(L535="954",Multipliers!C203,"oops")</f>
        <v>1.27</v>
      </c>
      <c r="R535" s="44">
        <f>IF(M535="CALIFORNIA",Multipliers!C14, "GOOF")</f>
        <v>1.22</v>
      </c>
      <c r="S535" s="46">
        <f>IF(N535="Standard",$O$5*Q535*$O$7,IF(N535="Severe",$O$4*Q535*$O$7,IF(N535="Hostile",$O$3*Q535*$O$7)))</f>
        <v>515711.21140000003</v>
      </c>
      <c r="T535" s="46">
        <f>IF(N535="Standard",$P$5*R535*$O$7,IF(N535="Severe",$P$4*R535*$O$7,IF(N535="Hostile",$P$3*R535*$O$7)))</f>
        <v>476988.9754</v>
      </c>
      <c r="U535" s="46">
        <f t="shared" si="264"/>
        <v>472219.08564599999</v>
      </c>
      <c r="V535" s="46">
        <f t="shared" si="265"/>
        <v>493965.14852300001</v>
      </c>
      <c r="W535" s="47">
        <f t="shared" si="263"/>
        <v>493965.14852300001</v>
      </c>
      <c r="X535" s="47"/>
      <c r="Y535" s="48">
        <f t="shared" si="266"/>
        <v>395085.74952000001</v>
      </c>
      <c r="Z535" s="48">
        <f t="shared" si="267"/>
        <v>436243.09877399995</v>
      </c>
      <c r="AA535" s="48">
        <f t="shared" si="268"/>
        <v>493965.14852300007</v>
      </c>
      <c r="AB535" s="48">
        <f t="shared" si="269"/>
        <v>534802.97267599998</v>
      </c>
      <c r="AC535" s="48">
        <f t="shared" si="270"/>
        <v>576488.42238400003</v>
      </c>
      <c r="AD535" s="1"/>
      <c r="AE535" s="1"/>
      <c r="AF535" s="1"/>
      <c r="AI535" s="9"/>
      <c r="AJ535" s="1"/>
      <c r="AK535" s="1"/>
      <c r="AL535" s="1"/>
      <c r="AM535" s="1"/>
      <c r="AN535" s="1"/>
      <c r="AO535" s="1"/>
      <c r="AP535" s="9"/>
      <c r="AQ535" s="3"/>
      <c r="AR535" s="4"/>
      <c r="AS535" s="1"/>
      <c r="AT535" s="1"/>
      <c r="AU535" s="1"/>
      <c r="AV535" s="1"/>
      <c r="AW535" s="1"/>
      <c r="AX535" s="3"/>
      <c r="AY535" s="3"/>
      <c r="AZ535" s="5"/>
      <c r="BA535" s="5"/>
      <c r="BB535" s="5"/>
      <c r="BC535" s="5"/>
      <c r="BD535" s="6"/>
      <c r="BE535" s="6"/>
      <c r="BF535" s="12"/>
      <c r="BG535" s="12"/>
      <c r="BH535" s="12"/>
      <c r="BI535" s="12"/>
      <c r="BJ535" s="12"/>
    </row>
    <row r="536" spans="2:62" x14ac:dyDescent="0.25">
      <c r="B536" s="1" t="s">
        <v>421</v>
      </c>
      <c r="C536" s="1" t="s">
        <v>675</v>
      </c>
      <c r="D536" s="1" t="s">
        <v>1190</v>
      </c>
      <c r="E536" s="1" t="s">
        <v>676</v>
      </c>
      <c r="F536" s="1" t="s">
        <v>677</v>
      </c>
      <c r="G536" s="1" t="s">
        <v>1190</v>
      </c>
      <c r="H536" s="1" t="s">
        <v>1190</v>
      </c>
      <c r="I536" s="7" t="s">
        <v>322</v>
      </c>
      <c r="J536" s="44">
        <v>1</v>
      </c>
      <c r="K536" s="45">
        <v>1</v>
      </c>
      <c r="L536" s="1" t="s">
        <v>647</v>
      </c>
      <c r="M536" s="1" t="s">
        <v>678</v>
      </c>
      <c r="N536" s="1" t="s">
        <v>1140</v>
      </c>
      <c r="O536" s="1" t="s">
        <v>1189</v>
      </c>
      <c r="P536" s="1" t="s">
        <v>1190</v>
      </c>
      <c r="Q536" s="44">
        <f>IF(L536="960",Multipliers!C207,"oops")</f>
        <v>1.24</v>
      </c>
      <c r="R536" s="44">
        <f>IF(M536="Redding",Multipliers!C21, "GOOF")</f>
        <v>1.28</v>
      </c>
      <c r="S536" s="46">
        <f t="shared" si="261"/>
        <v>503529.05680000008</v>
      </c>
      <c r="T536" s="46">
        <f t="shared" si="262"/>
        <v>500447.44960000005</v>
      </c>
      <c r="U536" s="46">
        <f t="shared" si="264"/>
        <v>495442.97510400007</v>
      </c>
      <c r="V536" s="46">
        <f t="shared" si="265"/>
        <v>499486.01595200005</v>
      </c>
      <c r="W536" s="47">
        <f t="shared" si="263"/>
        <v>499486.01595200005</v>
      </c>
      <c r="X536" s="47"/>
      <c r="Y536" s="48">
        <f t="shared" si="266"/>
        <v>399020.40948000003</v>
      </c>
      <c r="Z536" s="48">
        <f t="shared" si="267"/>
        <v>440817.10377599997</v>
      </c>
      <c r="AA536" s="48">
        <f t="shared" si="268"/>
        <v>499486.01595200005</v>
      </c>
      <c r="AB536" s="48">
        <f t="shared" si="269"/>
        <v>540966.92602400004</v>
      </c>
      <c r="AC536" s="48">
        <f t="shared" si="270"/>
        <v>583165.52341600007</v>
      </c>
      <c r="AD536" s="1"/>
      <c r="AE536" s="1"/>
      <c r="AF536" s="1"/>
      <c r="AI536" s="9"/>
      <c r="AJ536" s="1"/>
      <c r="AK536" s="1"/>
      <c r="AL536" s="1"/>
      <c r="AM536" s="1"/>
      <c r="AN536" s="1"/>
      <c r="AO536" s="1"/>
      <c r="AP536" s="9"/>
      <c r="AQ536" s="3"/>
      <c r="AR536" s="4"/>
      <c r="AS536" s="1"/>
      <c r="AT536" s="1"/>
      <c r="AU536" s="1"/>
      <c r="AV536" s="1"/>
      <c r="AW536" s="1"/>
      <c r="AX536" s="3"/>
      <c r="AY536" s="3"/>
      <c r="AZ536" s="5"/>
      <c r="BA536" s="5"/>
      <c r="BB536" s="5"/>
      <c r="BC536" s="5"/>
      <c r="BD536" s="6"/>
      <c r="BE536" s="6"/>
      <c r="BF536" s="12"/>
      <c r="BG536" s="12"/>
      <c r="BH536" s="12"/>
      <c r="BI536" s="12"/>
      <c r="BJ536" s="12"/>
    </row>
    <row r="537" spans="2:62" x14ac:dyDescent="0.25">
      <c r="B537" s="1" t="s">
        <v>421</v>
      </c>
      <c r="C537" s="1" t="s">
        <v>569</v>
      </c>
      <c r="D537" s="1" t="s">
        <v>1772</v>
      </c>
      <c r="E537" s="1" t="s">
        <v>679</v>
      </c>
      <c r="F537" s="1" t="s">
        <v>680</v>
      </c>
      <c r="G537" s="1" t="s">
        <v>1190</v>
      </c>
      <c r="H537" s="1" t="s">
        <v>1190</v>
      </c>
      <c r="I537" s="7" t="s">
        <v>322</v>
      </c>
      <c r="J537" s="44">
        <v>1</v>
      </c>
      <c r="K537" s="45">
        <v>1</v>
      </c>
      <c r="L537" s="1" t="s">
        <v>470</v>
      </c>
      <c r="M537" s="1" t="s">
        <v>426</v>
      </c>
      <c r="N537" s="1" t="s">
        <v>1140</v>
      </c>
      <c r="O537" s="1" t="s">
        <v>1189</v>
      </c>
      <c r="P537" s="1" t="s">
        <v>1190</v>
      </c>
      <c r="Q537" s="44">
        <f>IF(L537="954",Multipliers!C203,"oops")</f>
        <v>1.27</v>
      </c>
      <c r="R537" s="44">
        <f>IF(M537="CALIFORNIA",Multipliers!C14, "GOOF")</f>
        <v>1.22</v>
      </c>
      <c r="S537" s="46">
        <f t="shared" si="261"/>
        <v>515711.21140000003</v>
      </c>
      <c r="T537" s="46">
        <f t="shared" si="262"/>
        <v>476988.9754</v>
      </c>
      <c r="U537" s="46">
        <f t="shared" si="264"/>
        <v>472219.08564599999</v>
      </c>
      <c r="V537" s="46">
        <f t="shared" si="265"/>
        <v>493965.14852300001</v>
      </c>
      <c r="W537" s="47">
        <f t="shared" si="263"/>
        <v>493965.14852300001</v>
      </c>
      <c r="X537" s="47"/>
      <c r="Y537" s="48">
        <f t="shared" si="266"/>
        <v>395085.74952000001</v>
      </c>
      <c r="Z537" s="48">
        <f t="shared" si="267"/>
        <v>436243.09877399995</v>
      </c>
      <c r="AA537" s="48">
        <f t="shared" si="268"/>
        <v>493965.14852300007</v>
      </c>
      <c r="AB537" s="48">
        <f t="shared" si="269"/>
        <v>534802.97267599998</v>
      </c>
      <c r="AC537" s="48">
        <f t="shared" si="270"/>
        <v>576488.42238400003</v>
      </c>
      <c r="AD537" s="1"/>
      <c r="AE537" s="1"/>
      <c r="AF537" s="1"/>
      <c r="AI537" s="9"/>
      <c r="AJ537" s="1"/>
      <c r="AK537" s="1"/>
      <c r="AL537" s="1"/>
      <c r="AM537" s="1"/>
      <c r="AN537" s="1"/>
      <c r="AO537" s="1"/>
      <c r="AP537" s="9"/>
      <c r="AQ537" s="3"/>
      <c r="AR537" s="4"/>
      <c r="AS537" s="1"/>
      <c r="AT537" s="1"/>
      <c r="AU537" s="1"/>
      <c r="AV537" s="1"/>
      <c r="AW537" s="1"/>
      <c r="AX537" s="3"/>
      <c r="AY537" s="3"/>
      <c r="AZ537" s="5"/>
      <c r="BA537" s="5"/>
      <c r="BB537" s="5"/>
      <c r="BC537" s="5"/>
      <c r="BD537" s="6"/>
      <c r="BE537" s="6"/>
      <c r="BF537" s="12"/>
      <c r="BG537" s="12"/>
      <c r="BH537" s="12"/>
      <c r="BI537" s="12"/>
      <c r="BJ537" s="12"/>
    </row>
    <row r="538" spans="2:62" x14ac:dyDescent="0.25">
      <c r="B538" s="1" t="s">
        <v>421</v>
      </c>
      <c r="C538" s="1" t="s">
        <v>681</v>
      </c>
      <c r="D538" s="1" t="s">
        <v>1190</v>
      </c>
      <c r="E538" s="1" t="s">
        <v>682</v>
      </c>
      <c r="F538" s="1" t="s">
        <v>683</v>
      </c>
      <c r="G538" s="1" t="s">
        <v>554</v>
      </c>
      <c r="H538" s="1" t="s">
        <v>555</v>
      </c>
      <c r="I538" s="7" t="s">
        <v>322</v>
      </c>
      <c r="J538" s="44">
        <v>1</v>
      </c>
      <c r="K538" s="45">
        <v>1</v>
      </c>
      <c r="L538" s="1" t="s">
        <v>647</v>
      </c>
      <c r="M538" s="1" t="s">
        <v>455</v>
      </c>
      <c r="N538" s="1" t="s">
        <v>1140</v>
      </c>
      <c r="O538" s="1" t="s">
        <v>1189</v>
      </c>
      <c r="P538" s="1" t="s">
        <v>1190</v>
      </c>
      <c r="Q538" s="44">
        <f>IF(L538="960",Multipliers!C207,"oops")</f>
        <v>1.24</v>
      </c>
      <c r="R538" s="44">
        <f>IF(M538="Eureka",Multipliers!C15, "GOOF")</f>
        <v>1.26</v>
      </c>
      <c r="S538" s="46">
        <f t="shared" si="261"/>
        <v>503529.05680000008</v>
      </c>
      <c r="T538" s="46">
        <f t="shared" si="262"/>
        <v>492627.95820000005</v>
      </c>
      <c r="U538" s="46">
        <f t="shared" si="264"/>
        <v>487701.67861800006</v>
      </c>
      <c r="V538" s="46">
        <f t="shared" si="265"/>
        <v>495615.36770900007</v>
      </c>
      <c r="W538" s="47">
        <f t="shared" si="263"/>
        <v>495615.36770900007</v>
      </c>
      <c r="X538" s="47"/>
      <c r="Y538" s="48">
        <f t="shared" si="266"/>
        <v>396032.89341000002</v>
      </c>
      <c r="Z538" s="48">
        <f t="shared" si="267"/>
        <v>437466.69964199996</v>
      </c>
      <c r="AA538" s="48">
        <f t="shared" si="268"/>
        <v>495615.36770900013</v>
      </c>
      <c r="AB538" s="48">
        <f t="shared" si="269"/>
        <v>536734.24695800012</v>
      </c>
      <c r="AC538" s="48">
        <f t="shared" si="270"/>
        <v>578595.56402199995</v>
      </c>
      <c r="AD538" s="1"/>
      <c r="AE538" s="1"/>
      <c r="AF538" s="1"/>
      <c r="AI538" s="9"/>
      <c r="AJ538" s="1"/>
      <c r="AK538" s="1"/>
      <c r="AL538" s="1"/>
      <c r="AM538" s="1"/>
      <c r="AN538" s="1"/>
      <c r="AO538" s="1"/>
      <c r="AP538" s="9"/>
      <c r="AQ538" s="3"/>
      <c r="AR538" s="4"/>
      <c r="AS538" s="1"/>
      <c r="AT538" s="1"/>
      <c r="AU538" s="1"/>
      <c r="AV538" s="1"/>
      <c r="AW538" s="1"/>
      <c r="AX538" s="3"/>
      <c r="AY538" s="3"/>
      <c r="AZ538" s="5"/>
      <c r="BA538" s="5"/>
      <c r="BB538" s="5"/>
      <c r="BC538" s="5"/>
      <c r="BD538" s="6"/>
      <c r="BE538" s="6"/>
      <c r="BF538" s="12"/>
      <c r="BG538" s="12"/>
      <c r="BH538" s="12"/>
      <c r="BI538" s="12"/>
      <c r="BJ538" s="12"/>
    </row>
    <row r="539" spans="2:62" x14ac:dyDescent="0.25">
      <c r="B539" s="1" t="s">
        <v>421</v>
      </c>
      <c r="C539" s="1" t="s">
        <v>684</v>
      </c>
      <c r="D539" s="1" t="s">
        <v>1190</v>
      </c>
      <c r="E539" s="1" t="s">
        <v>685</v>
      </c>
      <c r="F539" s="1" t="s">
        <v>686</v>
      </c>
      <c r="G539" s="1" t="s">
        <v>687</v>
      </c>
      <c r="H539" s="1" t="s">
        <v>688</v>
      </c>
      <c r="I539" s="7" t="s">
        <v>322</v>
      </c>
      <c r="J539" s="44">
        <v>1</v>
      </c>
      <c r="K539" s="45">
        <v>1</v>
      </c>
      <c r="L539" s="1" t="s">
        <v>633</v>
      </c>
      <c r="M539" s="7" t="s">
        <v>343</v>
      </c>
      <c r="N539" s="1" t="s">
        <v>1139</v>
      </c>
      <c r="O539" s="1" t="s">
        <v>1189</v>
      </c>
      <c r="P539" s="1" t="s">
        <v>1190</v>
      </c>
      <c r="Q539" s="44">
        <f>IF(L539="922",Multipliers!C192,"oops")</f>
        <v>1.1200000000000001</v>
      </c>
      <c r="R539" s="44">
        <f>IF(M539="Imperial Co. Calif.",Multipliers!C18, "GOOF")</f>
        <v>1.1499999999999999</v>
      </c>
      <c r="S539" s="46">
        <f t="shared" si="261"/>
        <v>429436.39200000011</v>
      </c>
      <c r="T539" s="46">
        <f t="shared" si="262"/>
        <v>431224.49299999996</v>
      </c>
      <c r="U539" s="46">
        <f t="shared" si="264"/>
        <v>426912.24806999997</v>
      </c>
      <c r="V539" s="46">
        <f t="shared" si="265"/>
        <v>428174.32003500004</v>
      </c>
      <c r="W539" s="47">
        <f t="shared" si="263"/>
        <v>428174.32003500004</v>
      </c>
      <c r="X539" s="47"/>
      <c r="Y539" s="48">
        <f t="shared" si="266"/>
        <v>340848.27402499999</v>
      </c>
      <c r="Z539" s="48">
        <f t="shared" si="267"/>
        <v>377737.43360499997</v>
      </c>
      <c r="AA539" s="48">
        <f t="shared" si="268"/>
        <v>428174.32003500004</v>
      </c>
      <c r="AB539" s="48">
        <f t="shared" si="269"/>
        <v>462219.01641999994</v>
      </c>
      <c r="AC539" s="48">
        <f t="shared" si="270"/>
        <v>498416.24027999991</v>
      </c>
      <c r="AD539" s="1"/>
      <c r="AE539" s="1"/>
      <c r="AF539" s="1"/>
      <c r="AI539" s="9"/>
      <c r="AJ539" s="1"/>
      <c r="AK539" s="1"/>
      <c r="AL539" s="1"/>
      <c r="AM539" s="1"/>
      <c r="AN539" s="1"/>
      <c r="AO539" s="1"/>
      <c r="AP539" s="9"/>
      <c r="AQ539" s="3"/>
      <c r="AR539" s="4"/>
      <c r="AS539" s="1"/>
      <c r="AT539" s="1"/>
      <c r="AU539" s="1"/>
      <c r="AV539" s="1"/>
      <c r="AW539" s="1"/>
      <c r="AX539" s="3"/>
      <c r="AY539" s="3"/>
      <c r="AZ539" s="5"/>
      <c r="BA539" s="5"/>
      <c r="BB539" s="5"/>
      <c r="BC539" s="5"/>
      <c r="BD539" s="6"/>
      <c r="BE539" s="6"/>
      <c r="BF539" s="12"/>
      <c r="BG539" s="12"/>
      <c r="BH539" s="12"/>
      <c r="BI539" s="12"/>
      <c r="BJ539" s="12"/>
    </row>
    <row r="540" spans="2:62" x14ac:dyDescent="0.25">
      <c r="B540" s="1" t="s">
        <v>421</v>
      </c>
      <c r="C540" s="1" t="s">
        <v>689</v>
      </c>
      <c r="D540" s="1" t="s">
        <v>1190</v>
      </c>
      <c r="E540" s="1" t="s">
        <v>690</v>
      </c>
      <c r="F540" s="1" t="s">
        <v>691</v>
      </c>
      <c r="G540" s="1" t="s">
        <v>1190</v>
      </c>
      <c r="H540" s="1" t="s">
        <v>1190</v>
      </c>
      <c r="I540" s="7" t="s">
        <v>322</v>
      </c>
      <c r="J540" s="44">
        <v>1</v>
      </c>
      <c r="K540" s="45">
        <v>1</v>
      </c>
      <c r="L540" s="1" t="s">
        <v>425</v>
      </c>
      <c r="M540" s="1" t="s">
        <v>426</v>
      </c>
      <c r="N540" s="1" t="s">
        <v>1139</v>
      </c>
      <c r="O540" s="1" t="s">
        <v>1189</v>
      </c>
      <c r="P540" s="1" t="s">
        <v>1190</v>
      </c>
      <c r="Q540" s="44">
        <f>IF(L540="925",Multipliers!C194,"oops")</f>
        <v>1.1399999999999999</v>
      </c>
      <c r="R540" s="44">
        <f>IF(M540="CALIFORNIA",Multipliers!C14, "GOOF")</f>
        <v>1.22</v>
      </c>
      <c r="S540" s="46">
        <f t="shared" si="261"/>
        <v>437104.89900000003</v>
      </c>
      <c r="T540" s="46">
        <f t="shared" si="262"/>
        <v>457472.94040000002</v>
      </c>
      <c r="U540" s="46">
        <f t="shared" si="264"/>
        <v>452898.21099600004</v>
      </c>
      <c r="V540" s="46">
        <f t="shared" si="265"/>
        <v>445001.55499800004</v>
      </c>
      <c r="W540" s="47">
        <f t="shared" si="263"/>
        <v>445001.55499800004</v>
      </c>
      <c r="X540" s="47"/>
      <c r="Y540" s="48">
        <f t="shared" si="266"/>
        <v>354008.25326999993</v>
      </c>
      <c r="Z540" s="48">
        <f t="shared" si="267"/>
        <v>392429.30987399997</v>
      </c>
      <c r="AA540" s="48">
        <f t="shared" si="268"/>
        <v>445001.55499800004</v>
      </c>
      <c r="AB540" s="48">
        <f t="shared" si="269"/>
        <v>480482.85717599996</v>
      </c>
      <c r="AC540" s="48">
        <f t="shared" si="270"/>
        <v>518121.54878399998</v>
      </c>
      <c r="AD540" s="1"/>
      <c r="AE540" s="1"/>
      <c r="AF540" s="1"/>
      <c r="AI540" s="9"/>
      <c r="AJ540" s="1"/>
      <c r="AK540" s="1"/>
      <c r="AL540" s="1"/>
      <c r="AM540" s="1"/>
      <c r="AN540" s="1"/>
      <c r="AO540" s="1"/>
      <c r="AP540" s="9"/>
      <c r="AQ540" s="3"/>
      <c r="AR540" s="4"/>
      <c r="AS540" s="1"/>
      <c r="AT540" s="1"/>
      <c r="AU540" s="1"/>
      <c r="AV540" s="1"/>
      <c r="AW540" s="1"/>
      <c r="AX540" s="3"/>
      <c r="AY540" s="3"/>
      <c r="AZ540" s="5"/>
      <c r="BA540" s="5"/>
      <c r="BB540" s="5"/>
      <c r="BC540" s="5"/>
      <c r="BD540" s="6"/>
      <c r="BE540" s="6"/>
      <c r="BF540" s="12"/>
      <c r="BG540" s="12"/>
      <c r="BH540" s="12"/>
      <c r="BI540" s="12"/>
      <c r="BJ540" s="12"/>
    </row>
    <row r="541" spans="2:62" x14ac:dyDescent="0.25">
      <c r="B541" s="1" t="s">
        <v>421</v>
      </c>
      <c r="C541" s="1" t="s">
        <v>692</v>
      </c>
      <c r="D541" s="1" t="s">
        <v>1190</v>
      </c>
      <c r="E541" s="1" t="s">
        <v>693</v>
      </c>
      <c r="F541" s="1" t="s">
        <v>694</v>
      </c>
      <c r="G541" s="1" t="s">
        <v>1190</v>
      </c>
      <c r="H541" s="1" t="s">
        <v>1190</v>
      </c>
      <c r="I541" s="7" t="s">
        <v>322</v>
      </c>
      <c r="J541" s="44">
        <v>1</v>
      </c>
      <c r="K541" s="45">
        <v>1</v>
      </c>
      <c r="L541" s="1" t="s">
        <v>647</v>
      </c>
      <c r="M541" s="1" t="s">
        <v>678</v>
      </c>
      <c r="N541" s="1" t="s">
        <v>1140</v>
      </c>
      <c r="O541" s="1" t="s">
        <v>1189</v>
      </c>
      <c r="P541" s="1" t="s">
        <v>1190</v>
      </c>
      <c r="Q541" s="44">
        <f>IF(L541="960",Multipliers!C207,"oops")</f>
        <v>1.24</v>
      </c>
      <c r="R541" s="44">
        <f>IF(M541="Redding",Multipliers!C21, "GOOF")</f>
        <v>1.28</v>
      </c>
      <c r="S541" s="46">
        <f>IF(N541="Standard",$O$5*Q541*$O$7,IF(N541="Severe",$O$4*Q541*$O$7,IF(N541="Hostile",$O$3*Q541*$O$7)))</f>
        <v>503529.05680000008</v>
      </c>
      <c r="T541" s="46">
        <f>IF(N541="Standard",$P$5*R541*$O$7,IF(N541="Severe",$P$4*R541*$O$7,IF(N541="Hostile",$P$3*R541*$O$7)))</f>
        <v>500447.44960000005</v>
      </c>
      <c r="U541" s="46">
        <f t="shared" si="264"/>
        <v>495442.97510400007</v>
      </c>
      <c r="V541" s="46">
        <f t="shared" si="265"/>
        <v>499486.01595200005</v>
      </c>
      <c r="W541" s="47">
        <f>IF(F541=F542,(V541+V542)/2,IF(F541=F540,(V541+V540)/2,IF(F541&lt;&gt;F540,V541)))</f>
        <v>499486.01595200005</v>
      </c>
      <c r="X541" s="47"/>
      <c r="Y541" s="48">
        <f t="shared" si="266"/>
        <v>399020.40948000003</v>
      </c>
      <c r="Z541" s="48">
        <f t="shared" si="267"/>
        <v>440817.10377599997</v>
      </c>
      <c r="AA541" s="48">
        <f t="shared" si="268"/>
        <v>499486.01595200005</v>
      </c>
      <c r="AB541" s="48">
        <f t="shared" si="269"/>
        <v>540966.92602400004</v>
      </c>
      <c r="AC541" s="48">
        <f t="shared" si="270"/>
        <v>583165.52341600007</v>
      </c>
      <c r="AD541" s="1"/>
      <c r="AE541" s="1"/>
      <c r="AF541" s="1"/>
      <c r="AI541" s="9"/>
      <c r="AJ541" s="1"/>
      <c r="AK541" s="1"/>
      <c r="AL541" s="1"/>
      <c r="AM541" s="1"/>
      <c r="AN541" s="1"/>
      <c r="AO541" s="1"/>
      <c r="AP541" s="9"/>
      <c r="AQ541" s="3"/>
      <c r="AR541" s="4"/>
      <c r="AS541" s="1"/>
      <c r="AT541" s="1"/>
      <c r="AU541" s="1"/>
      <c r="AV541" s="1"/>
      <c r="AW541" s="1"/>
      <c r="AX541" s="3"/>
      <c r="AY541" s="3"/>
      <c r="AZ541" s="5"/>
      <c r="BA541" s="5"/>
      <c r="BB541" s="5"/>
      <c r="BC541" s="5"/>
      <c r="BD541" s="6"/>
      <c r="BE541" s="6"/>
      <c r="BF541" s="12"/>
      <c r="BG541" s="12"/>
      <c r="BH541" s="12"/>
      <c r="BI541" s="12"/>
      <c r="BJ541" s="12"/>
    </row>
    <row r="542" spans="2:62" x14ac:dyDescent="0.25">
      <c r="B542" s="1" t="s">
        <v>421</v>
      </c>
      <c r="C542" s="1" t="s">
        <v>695</v>
      </c>
      <c r="D542" s="1" t="s">
        <v>1190</v>
      </c>
      <c r="E542" s="1" t="s">
        <v>696</v>
      </c>
      <c r="F542" s="1" t="s">
        <v>697</v>
      </c>
      <c r="G542" s="1" t="s">
        <v>448</v>
      </c>
      <c r="H542" s="1" t="s">
        <v>449</v>
      </c>
      <c r="I542" s="7" t="s">
        <v>322</v>
      </c>
      <c r="J542" s="44">
        <v>1</v>
      </c>
      <c r="K542" s="45">
        <v>1</v>
      </c>
      <c r="L542" s="1" t="s">
        <v>470</v>
      </c>
      <c r="M542" s="1" t="s">
        <v>426</v>
      </c>
      <c r="N542" s="1" t="s">
        <v>1140</v>
      </c>
      <c r="O542" s="1" t="s">
        <v>1189</v>
      </c>
      <c r="P542" s="1" t="s">
        <v>1190</v>
      </c>
      <c r="Q542" s="44">
        <f>IF(L542="954",Multipliers!C203,"oops")</f>
        <v>1.27</v>
      </c>
      <c r="R542" s="44">
        <f>IF(M542="CALIFORNIA",Multipliers!C14, "GOOF")</f>
        <v>1.22</v>
      </c>
      <c r="S542" s="46">
        <f t="shared" si="261"/>
        <v>515711.21140000003</v>
      </c>
      <c r="T542" s="46">
        <f t="shared" si="262"/>
        <v>476988.9754</v>
      </c>
      <c r="U542" s="46">
        <f t="shared" si="264"/>
        <v>472219.08564599999</v>
      </c>
      <c r="V542" s="46">
        <f t="shared" si="265"/>
        <v>493965.14852300001</v>
      </c>
      <c r="W542" s="47">
        <f t="shared" si="263"/>
        <v>493965.14852300001</v>
      </c>
      <c r="X542" s="47"/>
      <c r="Y542" s="48">
        <f t="shared" si="266"/>
        <v>395085.74952000001</v>
      </c>
      <c r="Z542" s="48">
        <f t="shared" si="267"/>
        <v>436243.09877399995</v>
      </c>
      <c r="AA542" s="48">
        <f t="shared" si="268"/>
        <v>493965.14852300007</v>
      </c>
      <c r="AB542" s="48">
        <f t="shared" si="269"/>
        <v>534802.97267599998</v>
      </c>
      <c r="AC542" s="48">
        <f t="shared" si="270"/>
        <v>576488.42238400003</v>
      </c>
      <c r="AD542" s="1"/>
      <c r="AE542" s="1"/>
      <c r="AF542" s="1"/>
      <c r="AI542" s="9"/>
      <c r="AJ542" s="1"/>
      <c r="AK542" s="1"/>
      <c r="AL542" s="1"/>
      <c r="AM542" s="1"/>
      <c r="AN542" s="1"/>
      <c r="AO542" s="1"/>
      <c r="AP542" s="9"/>
      <c r="AQ542" s="3"/>
      <c r="AR542" s="4"/>
      <c r="AS542" s="1"/>
      <c r="AT542" s="1"/>
      <c r="AU542" s="1"/>
      <c r="AV542" s="1"/>
      <c r="AW542" s="1"/>
      <c r="AX542" s="3"/>
      <c r="AY542" s="3"/>
      <c r="AZ542" s="5"/>
      <c r="BA542" s="5"/>
      <c r="BB542" s="5"/>
      <c r="BC542" s="5"/>
      <c r="BD542" s="6"/>
      <c r="BE542" s="6"/>
      <c r="BF542" s="12"/>
      <c r="BG542" s="12"/>
      <c r="BH542" s="12"/>
      <c r="BI542" s="12"/>
      <c r="BJ542" s="12"/>
    </row>
    <row r="543" spans="2:62" x14ac:dyDescent="0.25">
      <c r="B543" s="1" t="s">
        <v>421</v>
      </c>
      <c r="C543" s="1" t="s">
        <v>698</v>
      </c>
      <c r="D543" s="1" t="s">
        <v>1190</v>
      </c>
      <c r="E543" s="1" t="s">
        <v>699</v>
      </c>
      <c r="F543" s="1" t="s">
        <v>700</v>
      </c>
      <c r="G543" s="1" t="s">
        <v>1190</v>
      </c>
      <c r="H543" s="1" t="s">
        <v>1190</v>
      </c>
      <c r="I543" s="7" t="s">
        <v>322</v>
      </c>
      <c r="J543" s="44">
        <v>1</v>
      </c>
      <c r="K543" s="45">
        <v>1</v>
      </c>
      <c r="L543" s="1" t="s">
        <v>454</v>
      </c>
      <c r="M543" s="1" t="s">
        <v>426</v>
      </c>
      <c r="N543" s="1" t="s">
        <v>1140</v>
      </c>
      <c r="O543" s="1" t="s">
        <v>1189</v>
      </c>
      <c r="P543" s="1" t="s">
        <v>1190</v>
      </c>
      <c r="Q543" s="44">
        <f>IF(L543="955",Multipliers!C204,"oops")</f>
        <v>1.24</v>
      </c>
      <c r="R543" s="44">
        <f>IF(M543="CALIFORNIA",Multipliers!C14, "GOOF")</f>
        <v>1.22</v>
      </c>
      <c r="S543" s="46">
        <f t="shared" ref="S543:S549" si="271">IF(N543="Standard",$O$5*Q543*$O$7,IF(N543="Severe",$O$4*Q543*$O$7,IF(N543="Hostile",$O$3*Q543*$O$7)))</f>
        <v>503529.05680000008</v>
      </c>
      <c r="T543" s="46">
        <f t="shared" ref="T543:T549" si="272">IF(N543="Standard",$P$5*R543*$O$7,IF(N543="Severe",$P$4*R543*$O$7,IF(N543="Hostile",$P$3*R543*$O$7)))</f>
        <v>476988.9754</v>
      </c>
      <c r="U543" s="46">
        <f t="shared" si="264"/>
        <v>472219.08564599999</v>
      </c>
      <c r="V543" s="46">
        <f t="shared" si="265"/>
        <v>487874.07122300006</v>
      </c>
      <c r="W543" s="47">
        <f t="shared" si="263"/>
        <v>487874.07122300006</v>
      </c>
      <c r="X543" s="47"/>
      <c r="Y543" s="48">
        <f t="shared" si="266"/>
        <v>390057.86126999999</v>
      </c>
      <c r="Z543" s="48">
        <f t="shared" si="267"/>
        <v>430765.891374</v>
      </c>
      <c r="AA543" s="48">
        <f t="shared" si="268"/>
        <v>487874.07122300001</v>
      </c>
      <c r="AB543" s="48">
        <f t="shared" si="269"/>
        <v>528268.88882599992</v>
      </c>
      <c r="AC543" s="48">
        <f t="shared" si="270"/>
        <v>569455.64523400005</v>
      </c>
      <c r="AD543" s="1"/>
      <c r="AE543" s="1"/>
      <c r="AF543" s="1"/>
      <c r="AI543" s="9"/>
      <c r="AJ543" s="1"/>
      <c r="AK543" s="1"/>
      <c r="AL543" s="1"/>
      <c r="AM543" s="1"/>
      <c r="AN543" s="1"/>
      <c r="AO543" s="1"/>
      <c r="AP543" s="9"/>
      <c r="AQ543" s="3"/>
      <c r="AR543" s="4"/>
      <c r="AS543" s="1"/>
      <c r="AT543" s="1"/>
      <c r="AU543" s="1"/>
      <c r="AV543" s="1"/>
      <c r="AW543" s="1"/>
      <c r="AX543" s="3"/>
      <c r="AY543" s="3"/>
      <c r="AZ543" s="5"/>
      <c r="BA543" s="5"/>
      <c r="BB543" s="5"/>
      <c r="BC543" s="5"/>
      <c r="BD543" s="6"/>
      <c r="BE543" s="6"/>
      <c r="BF543" s="12"/>
      <c r="BG543" s="12"/>
      <c r="BH543" s="12"/>
      <c r="BI543" s="12"/>
      <c r="BJ543" s="12"/>
    </row>
    <row r="544" spans="2:62" x14ac:dyDescent="0.25">
      <c r="B544" s="1" t="s">
        <v>421</v>
      </c>
      <c r="C544" s="1" t="s">
        <v>701</v>
      </c>
      <c r="D544" s="1" t="s">
        <v>1190</v>
      </c>
      <c r="E544" s="1" t="s">
        <v>702</v>
      </c>
      <c r="F544" s="1" t="s">
        <v>703</v>
      </c>
      <c r="G544" s="1" t="s">
        <v>441</v>
      </c>
      <c r="H544" s="1" t="s">
        <v>442</v>
      </c>
      <c r="I544" s="7" t="s">
        <v>322</v>
      </c>
      <c r="J544" s="44">
        <v>1</v>
      </c>
      <c r="K544" s="45">
        <v>1</v>
      </c>
      <c r="L544" s="1" t="s">
        <v>493</v>
      </c>
      <c r="M544" s="1" t="s">
        <v>444</v>
      </c>
      <c r="N544" s="1" t="s">
        <v>1139</v>
      </c>
      <c r="O544" s="1" t="s">
        <v>1189</v>
      </c>
      <c r="P544" s="1" t="s">
        <v>1190</v>
      </c>
      <c r="Q544" s="44">
        <f>IF(L544="920",Multipliers!C190,"oops")</f>
        <v>1.1000000000000001</v>
      </c>
      <c r="R544" s="44">
        <f>IF(M544="San Diego",Multipliers!C22, "GOOF")</f>
        <v>1.17</v>
      </c>
      <c r="S544" s="46">
        <f t="shared" si="271"/>
        <v>421767.88500000013</v>
      </c>
      <c r="T544" s="46">
        <f t="shared" si="272"/>
        <v>438724.04939999996</v>
      </c>
      <c r="U544" s="46">
        <f t="shared" ref="U544:U559" si="273">IF(O544="E",$T$3*T544,IF(O544="C",$T$4*T544,IF(O544="W",$T$5*T544,1)))</f>
        <v>434336.80890599993</v>
      </c>
      <c r="V544" s="46">
        <f t="shared" ref="V544:V559" si="274">(S544+U544)/2</f>
        <v>428052.34695300006</v>
      </c>
      <c r="W544" s="47">
        <f t="shared" ref="W544:W553" si="275">IF(F544=F545,(V544+V545)/2,IF(F544=F543,(V544+V543)/2,IF(F544&lt;&gt;F543,V544)))</f>
        <v>428052.34695300006</v>
      </c>
      <c r="X544" s="47"/>
      <c r="Y544" s="48">
        <f t="shared" ref="Y544:Y559" si="276">IF(N544="Standard",(((($Z$3*Q544)+($AD$3*R544*$T$5))/2)*$O$7),IF(N544="Severe",(((($AA$3*Q544)+($AE$3*R544*$T$5))/2)*$O$7),IF(N544="Hostile",(((($AB$3*Q544)+($AF$3*R544*$T$5))/2)*$O$7))))</f>
        <v>340558.31309499999</v>
      </c>
      <c r="Z544" s="48">
        <f t="shared" ref="Z544:Z559" si="277">IF(N544="Standard",(((($Z$4*Q544)+($AD$4*R544*$T$5))/2)*$O$7),IF(N544="Severe",(((($AA$4*Q544)+($AE$4*R544*$T$5))/2)*$O$7),IF(N544="Hostile",(((($AB$4*Q544)+($AF$4*R544*$T$5))/2)*$O$7))))</f>
        <v>377504.28923900001</v>
      </c>
      <c r="AA544" s="48">
        <f t="shared" si="268"/>
        <v>428052.34695300006</v>
      </c>
      <c r="AB544" s="48">
        <f t="shared" si="269"/>
        <v>462168.18863599998</v>
      </c>
      <c r="AC544" s="48">
        <f t="shared" si="270"/>
        <v>498370.60442400002</v>
      </c>
      <c r="AD544" s="1"/>
      <c r="AE544" s="1"/>
      <c r="AF544" s="1"/>
      <c r="AI544" s="9"/>
      <c r="AJ544" s="1"/>
      <c r="AK544" s="1"/>
      <c r="AL544" s="1"/>
      <c r="AM544" s="1"/>
      <c r="AN544" s="1"/>
      <c r="AO544" s="1"/>
      <c r="AP544" s="9"/>
      <c r="AQ544" s="3"/>
      <c r="AR544" s="4"/>
      <c r="AS544" s="1"/>
      <c r="AT544" s="1"/>
      <c r="AU544" s="1"/>
      <c r="AV544" s="1"/>
      <c r="AW544" s="1"/>
      <c r="AX544" s="3"/>
      <c r="AY544" s="3"/>
      <c r="AZ544" s="5"/>
      <c r="BA544" s="5"/>
      <c r="BB544" s="5"/>
      <c r="BC544" s="5"/>
      <c r="BD544" s="6"/>
      <c r="BE544" s="6"/>
      <c r="BF544" s="12"/>
      <c r="BG544" s="12"/>
      <c r="BH544" s="12"/>
      <c r="BI544" s="12"/>
      <c r="BJ544" s="12"/>
    </row>
    <row r="545" spans="2:62" x14ac:dyDescent="0.25">
      <c r="B545" s="1" t="s">
        <v>421</v>
      </c>
      <c r="C545" s="1" t="s">
        <v>704</v>
      </c>
      <c r="D545" s="1" t="s">
        <v>1190</v>
      </c>
      <c r="E545" s="1" t="s">
        <v>705</v>
      </c>
      <c r="F545" s="1" t="s">
        <v>706</v>
      </c>
      <c r="G545" s="1" t="s">
        <v>448</v>
      </c>
      <c r="H545" s="1" t="s">
        <v>449</v>
      </c>
      <c r="I545" s="7" t="s">
        <v>322</v>
      </c>
      <c r="J545" s="44">
        <v>1</v>
      </c>
      <c r="K545" s="45">
        <v>1</v>
      </c>
      <c r="L545" s="1" t="s">
        <v>470</v>
      </c>
      <c r="M545" s="1" t="s">
        <v>426</v>
      </c>
      <c r="N545" s="1" t="s">
        <v>1140</v>
      </c>
      <c r="O545" s="1" t="s">
        <v>1189</v>
      </c>
      <c r="P545" s="1" t="s">
        <v>1190</v>
      </c>
      <c r="Q545" s="44">
        <f>IF(L545="954",Multipliers!C203,"oops")</f>
        <v>1.27</v>
      </c>
      <c r="R545" s="44">
        <f>IF(M545="CALIFORNIA",Multipliers!C14, "GOOF")</f>
        <v>1.22</v>
      </c>
      <c r="S545" s="46">
        <f t="shared" si="271"/>
        <v>515711.21140000003</v>
      </c>
      <c r="T545" s="46">
        <f t="shared" si="272"/>
        <v>476988.9754</v>
      </c>
      <c r="U545" s="46">
        <f t="shared" si="273"/>
        <v>472219.08564599999</v>
      </c>
      <c r="V545" s="46">
        <f t="shared" si="274"/>
        <v>493965.14852300001</v>
      </c>
      <c r="W545" s="47">
        <f t="shared" si="275"/>
        <v>493965.14852300001</v>
      </c>
      <c r="X545" s="47"/>
      <c r="Y545" s="48">
        <f t="shared" si="276"/>
        <v>395085.74952000001</v>
      </c>
      <c r="Z545" s="48">
        <f t="shared" si="277"/>
        <v>436243.09877399995</v>
      </c>
      <c r="AA545" s="48">
        <f t="shared" si="268"/>
        <v>493965.14852300007</v>
      </c>
      <c r="AB545" s="48">
        <f t="shared" si="269"/>
        <v>534802.97267599998</v>
      </c>
      <c r="AC545" s="48">
        <f t="shared" si="270"/>
        <v>576488.42238400003</v>
      </c>
      <c r="AD545" s="1"/>
      <c r="AE545" s="1"/>
      <c r="AF545" s="1"/>
      <c r="AI545" s="9"/>
      <c r="AJ545" s="1"/>
      <c r="AK545" s="1"/>
      <c r="AL545" s="1"/>
      <c r="AM545" s="1"/>
      <c r="AN545" s="1"/>
      <c r="AO545" s="1"/>
      <c r="AP545" s="9"/>
      <c r="AQ545" s="3"/>
      <c r="AR545" s="4"/>
      <c r="AS545" s="1"/>
      <c r="AT545" s="1"/>
      <c r="AU545" s="1"/>
      <c r="AV545" s="1"/>
      <c r="AW545" s="1"/>
      <c r="AX545" s="3"/>
      <c r="AY545" s="3"/>
      <c r="AZ545" s="5"/>
      <c r="BA545" s="5"/>
      <c r="BB545" s="5"/>
      <c r="BC545" s="5"/>
      <c r="BD545" s="6"/>
      <c r="BE545" s="6"/>
      <c r="BF545" s="12"/>
      <c r="BG545" s="12"/>
      <c r="BH545" s="12"/>
      <c r="BI545" s="12"/>
      <c r="BJ545" s="12"/>
    </row>
    <row r="546" spans="2:62" x14ac:dyDescent="0.25">
      <c r="B546" s="1" t="s">
        <v>421</v>
      </c>
      <c r="C546" s="1" t="s">
        <v>707</v>
      </c>
      <c r="D546" s="1" t="s">
        <v>1190</v>
      </c>
      <c r="E546" s="1" t="s">
        <v>708</v>
      </c>
      <c r="F546" s="1" t="s">
        <v>709</v>
      </c>
      <c r="G546" s="1" t="s">
        <v>1190</v>
      </c>
      <c r="H546" s="1" t="s">
        <v>1190</v>
      </c>
      <c r="I546" s="7" t="s">
        <v>322</v>
      </c>
      <c r="J546" s="44">
        <v>1</v>
      </c>
      <c r="K546" s="45">
        <v>1</v>
      </c>
      <c r="L546" s="1" t="s">
        <v>454</v>
      </c>
      <c r="M546" s="1" t="s">
        <v>455</v>
      </c>
      <c r="N546" s="1" t="s">
        <v>1140</v>
      </c>
      <c r="O546" s="1" t="s">
        <v>1189</v>
      </c>
      <c r="P546" s="1" t="s">
        <v>1190</v>
      </c>
      <c r="Q546" s="44">
        <f>IF(L546="955",Multipliers!C204,"oops")</f>
        <v>1.24</v>
      </c>
      <c r="R546" s="44">
        <f>IF(M546="Eureka",Multipliers!C15, "GOOF")</f>
        <v>1.26</v>
      </c>
      <c r="S546" s="46">
        <f t="shared" si="271"/>
        <v>503529.05680000008</v>
      </c>
      <c r="T546" s="46">
        <f t="shared" si="272"/>
        <v>492627.95820000005</v>
      </c>
      <c r="U546" s="46">
        <f t="shared" si="273"/>
        <v>487701.67861800006</v>
      </c>
      <c r="V546" s="46">
        <f t="shared" si="274"/>
        <v>495615.36770900007</v>
      </c>
      <c r="W546" s="47">
        <f t="shared" si="275"/>
        <v>495615.36770900007</v>
      </c>
      <c r="X546" s="47"/>
      <c r="Y546" s="48">
        <f t="shared" si="276"/>
        <v>396032.89341000002</v>
      </c>
      <c r="Z546" s="48">
        <f t="shared" si="277"/>
        <v>437466.69964199996</v>
      </c>
      <c r="AA546" s="48">
        <f t="shared" si="268"/>
        <v>495615.36770900013</v>
      </c>
      <c r="AB546" s="48">
        <f t="shared" si="269"/>
        <v>536734.24695800012</v>
      </c>
      <c r="AC546" s="48">
        <f t="shared" si="270"/>
        <v>578595.56402199995</v>
      </c>
      <c r="AD546" s="1"/>
      <c r="AE546" s="1"/>
      <c r="AF546" s="1"/>
      <c r="AI546" s="9"/>
      <c r="AJ546" s="1"/>
      <c r="AK546" s="1"/>
      <c r="AL546" s="1"/>
      <c r="AM546" s="1"/>
      <c r="AN546" s="1"/>
      <c r="AO546" s="1"/>
      <c r="AP546" s="9"/>
      <c r="AQ546" s="3"/>
      <c r="AR546" s="4"/>
      <c r="AS546" s="1"/>
      <c r="AT546" s="1"/>
      <c r="AU546" s="1"/>
      <c r="AV546" s="1"/>
      <c r="AW546" s="1"/>
      <c r="AX546" s="3"/>
      <c r="AY546" s="3"/>
      <c r="AZ546" s="5"/>
      <c r="BA546" s="5"/>
      <c r="BB546" s="5"/>
      <c r="BC546" s="5"/>
      <c r="BD546" s="6"/>
      <c r="BE546" s="6"/>
      <c r="BF546" s="12"/>
      <c r="BG546" s="12"/>
      <c r="BH546" s="12"/>
      <c r="BI546" s="12"/>
      <c r="BJ546" s="12"/>
    </row>
    <row r="547" spans="2:62" x14ac:dyDescent="0.25">
      <c r="B547" s="1" t="s">
        <v>421</v>
      </c>
      <c r="C547" s="1" t="s">
        <v>710</v>
      </c>
      <c r="D547" s="1" t="s">
        <v>1190</v>
      </c>
      <c r="E547" s="1" t="s">
        <v>711</v>
      </c>
      <c r="F547" s="1" t="s">
        <v>712</v>
      </c>
      <c r="G547" s="1" t="s">
        <v>534</v>
      </c>
      <c r="H547" s="1" t="s">
        <v>535</v>
      </c>
      <c r="I547" s="7" t="s">
        <v>322</v>
      </c>
      <c r="J547" s="44">
        <v>1</v>
      </c>
      <c r="K547" s="45">
        <v>1</v>
      </c>
      <c r="L547" s="1" t="s">
        <v>470</v>
      </c>
      <c r="M547" s="1" t="s">
        <v>426</v>
      </c>
      <c r="N547" s="1" t="s">
        <v>1140</v>
      </c>
      <c r="O547" s="1" t="s">
        <v>1189</v>
      </c>
      <c r="P547" s="1" t="s">
        <v>1190</v>
      </c>
      <c r="Q547" s="44">
        <f>IF(L547="954",Multipliers!C203,"oops")</f>
        <v>1.27</v>
      </c>
      <c r="R547" s="44">
        <f>IF(M547="CALIFORNIA",Multipliers!C14, "GOOF")</f>
        <v>1.22</v>
      </c>
      <c r="S547" s="46">
        <f t="shared" si="271"/>
        <v>515711.21140000003</v>
      </c>
      <c r="T547" s="46">
        <f t="shared" si="272"/>
        <v>476988.9754</v>
      </c>
      <c r="U547" s="46">
        <f t="shared" si="273"/>
        <v>472219.08564599999</v>
      </c>
      <c r="V547" s="46">
        <f t="shared" si="274"/>
        <v>493965.14852300001</v>
      </c>
      <c r="W547" s="47">
        <f t="shared" si="275"/>
        <v>493965.14852300001</v>
      </c>
      <c r="X547" s="47"/>
      <c r="Y547" s="48">
        <f t="shared" si="276"/>
        <v>395085.74952000001</v>
      </c>
      <c r="Z547" s="48">
        <f t="shared" si="277"/>
        <v>436243.09877399995</v>
      </c>
      <c r="AA547" s="48">
        <f t="shared" si="268"/>
        <v>493965.14852300007</v>
      </c>
      <c r="AB547" s="48">
        <f t="shared" si="269"/>
        <v>534802.97267599998</v>
      </c>
      <c r="AC547" s="48">
        <f t="shared" si="270"/>
        <v>576488.42238400003</v>
      </c>
      <c r="AD547" s="1"/>
      <c r="AE547" s="1"/>
      <c r="AF547" s="1"/>
      <c r="AI547" s="9"/>
      <c r="AJ547" s="1"/>
      <c r="AK547" s="1"/>
      <c r="AL547" s="1"/>
      <c r="AM547" s="1"/>
      <c r="AN547" s="1"/>
      <c r="AO547" s="1"/>
      <c r="AP547" s="9"/>
      <c r="AQ547" s="3"/>
      <c r="AR547" s="4"/>
      <c r="AS547" s="1"/>
      <c r="AT547" s="1"/>
      <c r="AU547" s="1"/>
      <c r="AV547" s="1"/>
      <c r="AW547" s="1"/>
      <c r="AX547" s="3"/>
      <c r="AY547" s="3"/>
      <c r="AZ547" s="5"/>
      <c r="BA547" s="5"/>
      <c r="BB547" s="5"/>
      <c r="BC547" s="5"/>
      <c r="BD547" s="6"/>
      <c r="BE547" s="6"/>
      <c r="BF547" s="12"/>
      <c r="BG547" s="12"/>
      <c r="BH547" s="12"/>
      <c r="BI547" s="12"/>
      <c r="BJ547" s="12"/>
    </row>
    <row r="548" spans="2:62" x14ac:dyDescent="0.25">
      <c r="B548" s="1" t="s">
        <v>421</v>
      </c>
      <c r="C548" s="1" t="s">
        <v>713</v>
      </c>
      <c r="D548" s="1" t="s">
        <v>1190</v>
      </c>
      <c r="E548" s="1" t="s">
        <v>714</v>
      </c>
      <c r="F548" s="1" t="s">
        <v>715</v>
      </c>
      <c r="G548" s="1" t="s">
        <v>448</v>
      </c>
      <c r="H548" s="1" t="s">
        <v>449</v>
      </c>
      <c r="I548" s="7" t="s">
        <v>322</v>
      </c>
      <c r="J548" s="44">
        <v>1</v>
      </c>
      <c r="K548" s="45">
        <v>1</v>
      </c>
      <c r="L548" s="1" t="s">
        <v>434</v>
      </c>
      <c r="M548" s="1" t="s">
        <v>426</v>
      </c>
      <c r="N548" s="1" t="s">
        <v>1140</v>
      </c>
      <c r="O548" s="1" t="s">
        <v>1189</v>
      </c>
      <c r="P548" s="1" t="s">
        <v>1190</v>
      </c>
      <c r="Q548" s="44">
        <f>IF(L548="956",Multipliers!C205,"oops")</f>
        <v>1.24</v>
      </c>
      <c r="R548" s="44">
        <f>IF(M548="CALIFORNIA",Multipliers!C14, "GOOF")</f>
        <v>1.22</v>
      </c>
      <c r="S548" s="46">
        <f t="shared" si="271"/>
        <v>503529.05680000008</v>
      </c>
      <c r="T548" s="46">
        <f t="shared" si="272"/>
        <v>476988.9754</v>
      </c>
      <c r="U548" s="46">
        <f t="shared" si="273"/>
        <v>472219.08564599999</v>
      </c>
      <c r="V548" s="46">
        <f t="shared" si="274"/>
        <v>487874.07122300006</v>
      </c>
      <c r="W548" s="47">
        <f t="shared" si="275"/>
        <v>487874.07122300006</v>
      </c>
      <c r="X548" s="47"/>
      <c r="Y548" s="48">
        <f t="shared" si="276"/>
        <v>390057.86126999999</v>
      </c>
      <c r="Z548" s="48">
        <f t="shared" si="277"/>
        <v>430765.891374</v>
      </c>
      <c r="AA548" s="48">
        <f t="shared" ref="AA548:AA563" si="278">IF(N548="Standard",((($Z$5*Q548)+($AD$5*R548*$T$5))/2)*$O$7,IF(N548="Severe",((($AA$5*Q548)+($AE$5*R548*$T$5))/2)*$O$7,IF(N548="Hostile",((($AB$5*Q548)+($AF$5*R548*$T$5))/2)*$O$7)))</f>
        <v>487874.07122300001</v>
      </c>
      <c r="AB548" s="48">
        <f t="shared" ref="AB548:AB563" si="279">IF(N548="Standard",((($Z$6*Q548)+($AD$6*R548*$T$5))/2)*$O$7,IF(N548="Severe",((($AA$6*Q548)+($AE$6*R548*$T$5))/2)*$O$7,IF(N548="Hostile",((($AB$6*Q548)+($AF$6*R548*$T$5))/2)*$O$7)))</f>
        <v>528268.88882599992</v>
      </c>
      <c r="AC548" s="48">
        <f t="shared" ref="AC548:AC563" si="280">IF(N548="Standard",((($Z$7*Q548)+($AD$7*R548*$T$5))/2)*$O$7,IF(N548="Severe",((($AA$7*Q548)+($AE$7*R548*$T$5))/2)*$O$7,IF(N548="Hostile",((($AB$7*Q548)+($AF$7*R548*$T$5))/2)*$O$7)))</f>
        <v>569455.64523400005</v>
      </c>
      <c r="AD548" s="1"/>
      <c r="AE548" s="1"/>
      <c r="AF548" s="1"/>
      <c r="AI548" s="9"/>
      <c r="AJ548" s="1"/>
      <c r="AK548" s="1"/>
      <c r="AL548" s="1"/>
      <c r="AM548" s="1"/>
      <c r="AN548" s="1"/>
      <c r="AO548" s="1"/>
      <c r="AP548" s="9"/>
      <c r="AQ548" s="3"/>
      <c r="AR548" s="4"/>
      <c r="AS548" s="1"/>
      <c r="AT548" s="1"/>
      <c r="AU548" s="1"/>
      <c r="AV548" s="1"/>
      <c r="AW548" s="1"/>
      <c r="AX548" s="3"/>
      <c r="AY548" s="3"/>
      <c r="AZ548" s="5"/>
      <c r="BA548" s="5"/>
      <c r="BB548" s="5"/>
      <c r="BC548" s="5"/>
      <c r="BD548" s="6"/>
      <c r="BE548" s="6"/>
      <c r="BF548" s="12"/>
      <c r="BG548" s="12"/>
      <c r="BH548" s="12"/>
      <c r="BI548" s="12"/>
      <c r="BJ548" s="12"/>
    </row>
    <row r="549" spans="2:62" x14ac:dyDescent="0.25">
      <c r="B549" s="1" t="s">
        <v>421</v>
      </c>
      <c r="C549" s="1" t="s">
        <v>716</v>
      </c>
      <c r="D549" s="1" t="s">
        <v>1190</v>
      </c>
      <c r="E549" s="1" t="s">
        <v>717</v>
      </c>
      <c r="F549" s="1" t="s">
        <v>718</v>
      </c>
      <c r="G549" s="1" t="s">
        <v>441</v>
      </c>
      <c r="H549" s="1" t="s">
        <v>442</v>
      </c>
      <c r="I549" s="7" t="s">
        <v>322</v>
      </c>
      <c r="J549" s="44">
        <v>1</v>
      </c>
      <c r="K549" s="45">
        <v>1</v>
      </c>
      <c r="L549" s="1" t="s">
        <v>502</v>
      </c>
      <c r="M549" s="1" t="s">
        <v>426</v>
      </c>
      <c r="N549" s="1" t="s">
        <v>1139</v>
      </c>
      <c r="O549" s="1" t="s">
        <v>1189</v>
      </c>
      <c r="P549" s="1" t="s">
        <v>1190</v>
      </c>
      <c r="Q549" s="44">
        <f>IF(L549="923",Multipliers!C193,"oops")</f>
        <v>1.1299999999999999</v>
      </c>
      <c r="R549" s="44">
        <f>IF(M549="CALIFORNIA",Multipliers!C14, "GOOF")</f>
        <v>1.22</v>
      </c>
      <c r="S549" s="46">
        <f t="shared" si="271"/>
        <v>433270.64550000004</v>
      </c>
      <c r="T549" s="46">
        <f t="shared" si="272"/>
        <v>457472.94040000002</v>
      </c>
      <c r="U549" s="46">
        <f t="shared" si="273"/>
        <v>452898.21099600004</v>
      </c>
      <c r="V549" s="46">
        <f t="shared" si="274"/>
        <v>443084.42824800004</v>
      </c>
      <c r="W549" s="47">
        <f t="shared" si="275"/>
        <v>443084.42824800004</v>
      </c>
      <c r="X549" s="47"/>
      <c r="Y549" s="48">
        <f t="shared" si="276"/>
        <v>352433.27076999994</v>
      </c>
      <c r="Z549" s="48">
        <f t="shared" si="277"/>
        <v>390706.21192399994</v>
      </c>
      <c r="AA549" s="48">
        <f t="shared" si="278"/>
        <v>443084.42824800004</v>
      </c>
      <c r="AB549" s="48">
        <f t="shared" si="279"/>
        <v>478433.77517599997</v>
      </c>
      <c r="AC549" s="48">
        <f t="shared" si="280"/>
        <v>515914.32278399996</v>
      </c>
      <c r="AD549" s="1"/>
      <c r="AE549" s="1"/>
      <c r="AF549" s="1"/>
      <c r="AI549" s="9"/>
      <c r="AJ549" s="1"/>
      <c r="AK549" s="1"/>
      <c r="AL549" s="1"/>
      <c r="AM549" s="1"/>
      <c r="AN549" s="1"/>
      <c r="AO549" s="1"/>
      <c r="AP549" s="9"/>
      <c r="AQ549" s="3"/>
      <c r="AR549" s="4"/>
      <c r="AS549" s="1"/>
      <c r="AT549" s="1"/>
      <c r="AU549" s="1"/>
      <c r="AV549" s="1"/>
      <c r="AW549" s="1"/>
      <c r="AX549" s="3"/>
      <c r="AY549" s="3"/>
      <c r="AZ549" s="5"/>
      <c r="BA549" s="5"/>
      <c r="BB549" s="5"/>
      <c r="BC549" s="5"/>
      <c r="BD549" s="6"/>
      <c r="BE549" s="6"/>
      <c r="BF549" s="12"/>
      <c r="BG549" s="12"/>
      <c r="BH549" s="12"/>
      <c r="BI549" s="12"/>
      <c r="BJ549" s="12"/>
    </row>
    <row r="550" spans="2:62" x14ac:dyDescent="0.25">
      <c r="B550" s="1" t="s">
        <v>421</v>
      </c>
      <c r="C550" s="1" t="s">
        <v>719</v>
      </c>
      <c r="D550" s="1" t="s">
        <v>1190</v>
      </c>
      <c r="E550" s="1" t="s">
        <v>720</v>
      </c>
      <c r="F550" s="1" t="s">
        <v>721</v>
      </c>
      <c r="G550" s="1" t="s">
        <v>441</v>
      </c>
      <c r="H550" s="1" t="s">
        <v>442</v>
      </c>
      <c r="I550" s="7" t="s">
        <v>322</v>
      </c>
      <c r="J550" s="44">
        <v>1</v>
      </c>
      <c r="K550" s="45">
        <v>1</v>
      </c>
      <c r="L550" s="1" t="s">
        <v>443</v>
      </c>
      <c r="M550" s="1" t="s">
        <v>444</v>
      </c>
      <c r="N550" s="1" t="s">
        <v>1139</v>
      </c>
      <c r="O550" s="1" t="s">
        <v>1189</v>
      </c>
      <c r="P550" s="1" t="s">
        <v>1190</v>
      </c>
      <c r="Q550" s="44">
        <f>IF(L550="921",Multipliers!C191,"oops")</f>
        <v>1.1000000000000001</v>
      </c>
      <c r="R550" s="44">
        <f>IF(M550="San Diego",Multipliers!C22, "GOOF")</f>
        <v>1.17</v>
      </c>
      <c r="S550" s="46">
        <f>IF(N550="Standard",$O$5*Q550*$O$7,IF(N550="Severe",$O$4*Q550*$O$7,IF(N550="Hostile",$O$3*Q550*$O$7)))</f>
        <v>421767.88500000013</v>
      </c>
      <c r="T550" s="46">
        <f>IF(N550="Standard",$P$5*R550*$O$7,IF(N550="Severe",$P$4*R550*$O$7,IF(N550="Hostile",$P$3*R550*$O$7)))</f>
        <v>438724.04939999996</v>
      </c>
      <c r="U550" s="46">
        <f t="shared" si="273"/>
        <v>434336.80890599993</v>
      </c>
      <c r="V550" s="46">
        <f t="shared" si="274"/>
        <v>428052.34695300006</v>
      </c>
      <c r="W550" s="47">
        <f t="shared" si="275"/>
        <v>428052.34695300006</v>
      </c>
      <c r="X550" s="47"/>
      <c r="Y550" s="48">
        <f t="shared" si="276"/>
        <v>340558.31309499999</v>
      </c>
      <c r="Z550" s="48">
        <f t="shared" si="277"/>
        <v>377504.28923900001</v>
      </c>
      <c r="AA550" s="48">
        <f t="shared" si="278"/>
        <v>428052.34695300006</v>
      </c>
      <c r="AB550" s="48">
        <f t="shared" si="279"/>
        <v>462168.18863599998</v>
      </c>
      <c r="AC550" s="48">
        <f t="shared" si="280"/>
        <v>498370.60442400002</v>
      </c>
      <c r="AD550" s="1"/>
      <c r="AE550" s="1"/>
      <c r="AF550" s="1"/>
      <c r="AI550" s="9"/>
      <c r="AJ550" s="1"/>
      <c r="AK550" s="1"/>
      <c r="AL550" s="1"/>
      <c r="AM550" s="1"/>
      <c r="AN550" s="1"/>
      <c r="AO550" s="1"/>
      <c r="AP550" s="9"/>
      <c r="AQ550" s="3"/>
      <c r="AR550" s="4"/>
      <c r="AS550" s="1"/>
      <c r="AT550" s="1"/>
      <c r="AU550" s="1"/>
      <c r="AV550" s="1"/>
      <c r="AW550" s="1"/>
      <c r="AX550" s="3"/>
      <c r="AY550" s="3"/>
      <c r="AZ550" s="5"/>
      <c r="BA550" s="5"/>
      <c r="BB550" s="5"/>
      <c r="BC550" s="5"/>
      <c r="BD550" s="6"/>
      <c r="BE550" s="6"/>
      <c r="BF550" s="12"/>
      <c r="BG550" s="12"/>
      <c r="BH550" s="12"/>
      <c r="BI550" s="12"/>
      <c r="BJ550" s="12"/>
    </row>
    <row r="551" spans="2:62" x14ac:dyDescent="0.25">
      <c r="B551" s="1" t="s">
        <v>421</v>
      </c>
      <c r="C551" s="1" t="s">
        <v>722</v>
      </c>
      <c r="D551" s="1" t="s">
        <v>1190</v>
      </c>
      <c r="E551" s="1" t="s">
        <v>723</v>
      </c>
      <c r="F551" s="1" t="s">
        <v>724</v>
      </c>
      <c r="G551" s="1" t="s">
        <v>441</v>
      </c>
      <c r="H551" s="1" t="s">
        <v>442</v>
      </c>
      <c r="I551" s="7" t="s">
        <v>322</v>
      </c>
      <c r="J551" s="44">
        <v>1</v>
      </c>
      <c r="K551" s="45">
        <v>1</v>
      </c>
      <c r="L551" s="1" t="s">
        <v>425</v>
      </c>
      <c r="M551" s="1" t="s">
        <v>426</v>
      </c>
      <c r="N551" s="1" t="s">
        <v>1139</v>
      </c>
      <c r="O551" s="1" t="s">
        <v>1189</v>
      </c>
      <c r="P551" s="1" t="s">
        <v>1190</v>
      </c>
      <c r="Q551" s="44">
        <f>IF(L551="925",Multipliers!C194,"oops")</f>
        <v>1.1399999999999999</v>
      </c>
      <c r="R551" s="44">
        <f>IF(M551="CALIFORNIA",Multipliers!C14, "GOOF")</f>
        <v>1.22</v>
      </c>
      <c r="S551" s="46">
        <f t="shared" si="261"/>
        <v>437104.89900000003</v>
      </c>
      <c r="T551" s="46">
        <f t="shared" si="262"/>
        <v>457472.94040000002</v>
      </c>
      <c r="U551" s="46">
        <f t="shared" si="273"/>
        <v>452898.21099600004</v>
      </c>
      <c r="V551" s="46">
        <f t="shared" si="274"/>
        <v>445001.55499800004</v>
      </c>
      <c r="W551" s="47">
        <f t="shared" si="275"/>
        <v>445001.55499800004</v>
      </c>
      <c r="X551" s="47"/>
      <c r="Y551" s="48">
        <f t="shared" si="276"/>
        <v>354008.25326999993</v>
      </c>
      <c r="Z551" s="48">
        <f t="shared" si="277"/>
        <v>392429.30987399997</v>
      </c>
      <c r="AA551" s="48">
        <f t="shared" si="278"/>
        <v>445001.55499800004</v>
      </c>
      <c r="AB551" s="48">
        <f t="shared" si="279"/>
        <v>480482.85717599996</v>
      </c>
      <c r="AC551" s="48">
        <f t="shared" si="280"/>
        <v>518121.54878399998</v>
      </c>
      <c r="AD551" s="1"/>
      <c r="AE551" s="1"/>
      <c r="AF551" s="1"/>
      <c r="AI551" s="9"/>
      <c r="AJ551" s="1"/>
      <c r="AK551" s="1"/>
      <c r="AL551" s="1"/>
      <c r="AM551" s="1"/>
      <c r="AN551" s="1"/>
      <c r="AO551" s="1"/>
      <c r="AP551" s="9"/>
      <c r="AQ551" s="3"/>
      <c r="AR551" s="4"/>
      <c r="AS551" s="1"/>
      <c r="AT551" s="1"/>
      <c r="AU551" s="1"/>
      <c r="AV551" s="1"/>
      <c r="AW551" s="1"/>
      <c r="AX551" s="3"/>
      <c r="AY551" s="3"/>
      <c r="AZ551" s="5"/>
      <c r="BA551" s="5"/>
      <c r="BB551" s="5"/>
      <c r="BC551" s="5"/>
      <c r="BD551" s="6"/>
      <c r="BE551" s="6"/>
      <c r="BF551" s="12"/>
      <c r="BG551" s="12"/>
      <c r="BH551" s="12"/>
      <c r="BI551" s="12"/>
      <c r="BJ551" s="12"/>
    </row>
    <row r="552" spans="2:62" x14ac:dyDescent="0.25">
      <c r="B552" s="1" t="s">
        <v>421</v>
      </c>
      <c r="C552" s="1" t="s">
        <v>725</v>
      </c>
      <c r="D552" s="1" t="s">
        <v>1190</v>
      </c>
      <c r="E552" s="1" t="s">
        <v>726</v>
      </c>
      <c r="F552" s="1" t="s">
        <v>727</v>
      </c>
      <c r="G552" s="1" t="s">
        <v>1190</v>
      </c>
      <c r="H552" s="1" t="s">
        <v>1190</v>
      </c>
      <c r="I552" s="7" t="s">
        <v>322</v>
      </c>
      <c r="J552" s="44">
        <v>1</v>
      </c>
      <c r="K552" s="45">
        <v>1</v>
      </c>
      <c r="L552" s="1" t="s">
        <v>443</v>
      </c>
      <c r="M552" s="1" t="s">
        <v>444</v>
      </c>
      <c r="N552" s="1" t="s">
        <v>1139</v>
      </c>
      <c r="O552" s="1" t="s">
        <v>1189</v>
      </c>
      <c r="P552" s="1" t="s">
        <v>1190</v>
      </c>
      <c r="Q552" s="44">
        <f>IF(L552="921",Multipliers!C191,"oops")</f>
        <v>1.1000000000000001</v>
      </c>
      <c r="R552" s="44">
        <f>IF(M552="San Diego",Multipliers!C22, "GOOF")</f>
        <v>1.17</v>
      </c>
      <c r="S552" s="46">
        <f t="shared" ref="S552:S557" si="281">IF(N552="Standard",$O$5*Q552*$O$7,IF(N552="Severe",$O$4*Q552*$O$7,IF(N552="Hostile",$O$3*Q552*$O$7)))</f>
        <v>421767.88500000013</v>
      </c>
      <c r="T552" s="46">
        <f t="shared" ref="T552:T557" si="282">IF(N552="Standard",$P$5*R552*$O$7,IF(N552="Severe",$P$4*R552*$O$7,IF(N552="Hostile",$P$3*R552*$O$7)))</f>
        <v>438724.04939999996</v>
      </c>
      <c r="U552" s="46">
        <f t="shared" si="273"/>
        <v>434336.80890599993</v>
      </c>
      <c r="V552" s="46">
        <f t="shared" si="274"/>
        <v>428052.34695300006</v>
      </c>
      <c r="W552" s="47">
        <f t="shared" si="275"/>
        <v>428052.34695300006</v>
      </c>
      <c r="X552" s="47"/>
      <c r="Y552" s="48">
        <f t="shared" si="276"/>
        <v>340558.31309499999</v>
      </c>
      <c r="Z552" s="48">
        <f t="shared" si="277"/>
        <v>377504.28923900001</v>
      </c>
      <c r="AA552" s="48">
        <f t="shared" si="278"/>
        <v>428052.34695300006</v>
      </c>
      <c r="AB552" s="48">
        <f t="shared" si="279"/>
        <v>462168.18863599998</v>
      </c>
      <c r="AC552" s="48">
        <f t="shared" si="280"/>
        <v>498370.60442400002</v>
      </c>
      <c r="AD552" s="1"/>
      <c r="AE552" s="1"/>
      <c r="AF552" s="1"/>
      <c r="AI552" s="9"/>
      <c r="AJ552" s="1"/>
      <c r="AK552" s="1"/>
      <c r="AL552" s="1"/>
      <c r="AM552" s="1"/>
      <c r="AN552" s="1"/>
      <c r="AO552" s="1"/>
      <c r="AP552" s="9"/>
      <c r="AQ552" s="3"/>
      <c r="AR552" s="4"/>
      <c r="AS552" s="1"/>
      <c r="AT552" s="1"/>
      <c r="AU552" s="1"/>
      <c r="AV552" s="1"/>
      <c r="AW552" s="1"/>
      <c r="AX552" s="3"/>
      <c r="AY552" s="3"/>
      <c r="AZ552" s="5"/>
      <c r="BA552" s="5"/>
      <c r="BB552" s="5"/>
      <c r="BC552" s="5"/>
      <c r="BD552" s="6"/>
      <c r="BE552" s="6"/>
      <c r="BF552" s="12"/>
      <c r="BG552" s="12"/>
      <c r="BH552" s="12"/>
      <c r="BI552" s="12"/>
      <c r="BJ552" s="12"/>
    </row>
    <row r="553" spans="2:62" x14ac:dyDescent="0.25">
      <c r="B553" s="1" t="s">
        <v>421</v>
      </c>
      <c r="C553" s="1" t="s">
        <v>728</v>
      </c>
      <c r="D553" s="1" t="s">
        <v>1190</v>
      </c>
      <c r="E553" s="1" t="s">
        <v>729</v>
      </c>
      <c r="F553" s="1" t="s">
        <v>730</v>
      </c>
      <c r="G553" s="1" t="s">
        <v>518</v>
      </c>
      <c r="H553" s="1" t="s">
        <v>519</v>
      </c>
      <c r="I553" s="7" t="s">
        <v>322</v>
      </c>
      <c r="J553" s="44">
        <v>1</v>
      </c>
      <c r="K553" s="45">
        <v>1</v>
      </c>
      <c r="L553" s="1" t="s">
        <v>731</v>
      </c>
      <c r="M553" s="1" t="s">
        <v>732</v>
      </c>
      <c r="N553" s="1" t="s">
        <v>1140</v>
      </c>
      <c r="O553" s="1" t="s">
        <v>1189</v>
      </c>
      <c r="P553" s="1" t="s">
        <v>1190</v>
      </c>
      <c r="Q553" s="44">
        <f>IF(L553="932",Multipliers!C195,"oops")</f>
        <v>1.1200000000000001</v>
      </c>
      <c r="R553" s="44">
        <f>IF(M553="Hanford",Multipliers!C17, "GOOF")</f>
        <v>1.17</v>
      </c>
      <c r="S553" s="46">
        <f t="shared" si="281"/>
        <v>454800.4384000001</v>
      </c>
      <c r="T553" s="46">
        <f t="shared" si="282"/>
        <v>457440.24689999997</v>
      </c>
      <c r="U553" s="46">
        <f t="shared" si="273"/>
        <v>452865.84443099995</v>
      </c>
      <c r="V553" s="46">
        <f t="shared" si="274"/>
        <v>453833.14141550002</v>
      </c>
      <c r="W553" s="47">
        <f t="shared" si="275"/>
        <v>453833.14141550002</v>
      </c>
      <c r="X553" s="47"/>
      <c r="Y553" s="48">
        <f t="shared" si="276"/>
        <v>362477.51809500001</v>
      </c>
      <c r="Z553" s="48">
        <f t="shared" si="277"/>
        <v>400481.051439</v>
      </c>
      <c r="AA553" s="48">
        <f t="shared" si="278"/>
        <v>453833.14141550008</v>
      </c>
      <c r="AB553" s="48">
        <f t="shared" si="279"/>
        <v>491550.85576099996</v>
      </c>
      <c r="AC553" s="48">
        <f t="shared" si="280"/>
        <v>529899.63814900001</v>
      </c>
      <c r="AD553" s="1"/>
      <c r="AE553" s="1"/>
      <c r="AF553" s="1"/>
      <c r="AI553" s="9"/>
      <c r="AJ553" s="1"/>
      <c r="AK553" s="1"/>
      <c r="AL553" s="1"/>
      <c r="AM553" s="1"/>
      <c r="AN553" s="1"/>
      <c r="AO553" s="1"/>
      <c r="AP553" s="9"/>
      <c r="AQ553" s="3"/>
      <c r="AR553" s="4"/>
      <c r="AS553" s="1"/>
      <c r="AT553" s="1"/>
      <c r="AU553" s="1"/>
      <c r="AV553" s="1"/>
      <c r="AW553" s="1"/>
      <c r="AX553" s="3"/>
      <c r="AY553" s="3"/>
      <c r="AZ553" s="5"/>
      <c r="BA553" s="5"/>
      <c r="BB553" s="5"/>
      <c r="BC553" s="5"/>
      <c r="BD553" s="6"/>
      <c r="BE553" s="6"/>
      <c r="BF553" s="12"/>
      <c r="BG553" s="12"/>
      <c r="BH553" s="12"/>
      <c r="BI553" s="12"/>
      <c r="BJ553" s="12"/>
    </row>
    <row r="554" spans="2:62" x14ac:dyDescent="0.25">
      <c r="B554" s="1" t="s">
        <v>421</v>
      </c>
      <c r="C554" s="1" t="s">
        <v>733</v>
      </c>
      <c r="D554" s="1" t="s">
        <v>1190</v>
      </c>
      <c r="E554" s="1" t="s">
        <v>734</v>
      </c>
      <c r="F554" s="1" t="s">
        <v>735</v>
      </c>
      <c r="G554" s="1" t="s">
        <v>441</v>
      </c>
      <c r="H554" s="1" t="s">
        <v>442</v>
      </c>
      <c r="I554" s="7" t="s">
        <v>322</v>
      </c>
      <c r="J554" s="44">
        <v>1</v>
      </c>
      <c r="K554" s="45">
        <v>1</v>
      </c>
      <c r="L554" s="1" t="s">
        <v>736</v>
      </c>
      <c r="M554" s="1" t="s">
        <v>737</v>
      </c>
      <c r="N554" s="1" t="s">
        <v>1140</v>
      </c>
      <c r="O554" s="1" t="s">
        <v>1189</v>
      </c>
      <c r="P554" s="1" t="s">
        <v>1190</v>
      </c>
      <c r="Q554" s="44">
        <f>IF(L554="934",Multipliers!C196,"oops")</f>
        <v>1.1499999999999999</v>
      </c>
      <c r="R554" s="44">
        <f>IF(M554="Santa Barbara",Multipliers!C23, "GOOF")</f>
        <v>1.26</v>
      </c>
      <c r="S554" s="46">
        <f t="shared" si="281"/>
        <v>466982.59299999999</v>
      </c>
      <c r="T554" s="46">
        <f t="shared" si="282"/>
        <v>492627.95820000005</v>
      </c>
      <c r="U554" s="46">
        <f t="shared" si="273"/>
        <v>487701.67861800006</v>
      </c>
      <c r="V554" s="46">
        <f t="shared" si="274"/>
        <v>477342.135809</v>
      </c>
      <c r="W554" s="47">
        <f>IF(F554=F555,(V554+V555)/2,IF(F554=F553,(V554+V553)/2,IF(F554&lt;&gt;F553,V554)))</f>
        <v>477342.135809</v>
      </c>
      <c r="X554" s="47"/>
      <c r="Y554" s="48">
        <f t="shared" si="276"/>
        <v>380949.22865999996</v>
      </c>
      <c r="Z554" s="48">
        <f t="shared" si="277"/>
        <v>421035.07744199998</v>
      </c>
      <c r="AA554" s="48">
        <f t="shared" si="278"/>
        <v>477342.135809</v>
      </c>
      <c r="AB554" s="48">
        <f t="shared" si="279"/>
        <v>517131.99540800008</v>
      </c>
      <c r="AC554" s="48">
        <f t="shared" si="280"/>
        <v>557497.23257199989</v>
      </c>
      <c r="AD554" s="1"/>
      <c r="AE554" s="1"/>
      <c r="AF554" s="1"/>
      <c r="AI554" s="9"/>
      <c r="AJ554" s="1"/>
      <c r="AK554" s="1"/>
      <c r="AL554" s="1"/>
      <c r="AM554" s="1"/>
      <c r="AN554" s="1"/>
      <c r="AO554" s="1"/>
      <c r="AP554" s="9"/>
      <c r="AQ554" s="3"/>
      <c r="AR554" s="4"/>
      <c r="AS554" s="1"/>
      <c r="AT554" s="1"/>
      <c r="AU554" s="1"/>
      <c r="AV554" s="1"/>
      <c r="AW554" s="1"/>
      <c r="AX554" s="3"/>
      <c r="AY554" s="3"/>
      <c r="AZ554" s="5"/>
      <c r="BA554" s="5"/>
      <c r="BB554" s="5"/>
      <c r="BC554" s="5"/>
      <c r="BD554" s="6"/>
      <c r="BE554" s="6"/>
      <c r="BF554" s="12"/>
      <c r="BG554" s="12"/>
      <c r="BH554" s="12"/>
      <c r="BI554" s="12"/>
      <c r="BJ554" s="12"/>
    </row>
    <row r="555" spans="2:62" x14ac:dyDescent="0.25">
      <c r="B555" s="1" t="s">
        <v>421</v>
      </c>
      <c r="C555" s="1" t="s">
        <v>738</v>
      </c>
      <c r="D555" s="1" t="s">
        <v>1190</v>
      </c>
      <c r="E555" s="1" t="s">
        <v>739</v>
      </c>
      <c r="F555" s="1" t="s">
        <v>740</v>
      </c>
      <c r="G555" s="1" t="s">
        <v>1190</v>
      </c>
      <c r="H555" s="1" t="s">
        <v>1190</v>
      </c>
      <c r="I555" s="7" t="s">
        <v>322</v>
      </c>
      <c r="J555" s="44">
        <v>1</v>
      </c>
      <c r="K555" s="45">
        <v>1</v>
      </c>
      <c r="L555" s="1" t="s">
        <v>470</v>
      </c>
      <c r="M555" s="1" t="s">
        <v>426</v>
      </c>
      <c r="N555" s="1" t="s">
        <v>1140</v>
      </c>
      <c r="O555" s="1" t="s">
        <v>1189</v>
      </c>
      <c r="P555" s="1" t="s">
        <v>1190</v>
      </c>
      <c r="Q555" s="44">
        <f>IF(L555="954",Multipliers!C203,"oops")</f>
        <v>1.27</v>
      </c>
      <c r="R555" s="44">
        <f>IF(M555="CALIFORNIA",Multipliers!C14, "GOOF")</f>
        <v>1.22</v>
      </c>
      <c r="S555" s="46">
        <f t="shared" si="281"/>
        <v>515711.21140000003</v>
      </c>
      <c r="T555" s="46">
        <f t="shared" si="282"/>
        <v>476988.9754</v>
      </c>
      <c r="U555" s="46">
        <f t="shared" si="273"/>
        <v>472219.08564599999</v>
      </c>
      <c r="V555" s="46">
        <f t="shared" si="274"/>
        <v>493965.14852300001</v>
      </c>
      <c r="W555" s="47">
        <f>IF(F555=F556,(V555+V556)/2,IF(F555=F554,(V555+V554)/2,IF(F555&lt;&gt;F554,V555)))</f>
        <v>493965.14852300001</v>
      </c>
      <c r="X555" s="47"/>
      <c r="Y555" s="48">
        <f t="shared" si="276"/>
        <v>395085.74952000001</v>
      </c>
      <c r="Z555" s="48">
        <f t="shared" si="277"/>
        <v>436243.09877399995</v>
      </c>
      <c r="AA555" s="48">
        <f t="shared" si="278"/>
        <v>493965.14852300007</v>
      </c>
      <c r="AB555" s="48">
        <f t="shared" si="279"/>
        <v>534802.97267599998</v>
      </c>
      <c r="AC555" s="48">
        <f t="shared" si="280"/>
        <v>576488.42238400003</v>
      </c>
      <c r="AD555" s="1"/>
      <c r="AE555" s="1"/>
      <c r="AF555" s="1"/>
      <c r="AI555" s="9"/>
      <c r="AJ555" s="1"/>
      <c r="AK555" s="1"/>
      <c r="AL555" s="1"/>
      <c r="AM555" s="1"/>
      <c r="AN555" s="1"/>
      <c r="AO555" s="1"/>
      <c r="AP555" s="9"/>
      <c r="AQ555" s="3"/>
      <c r="AR555" s="4"/>
      <c r="AS555" s="1"/>
      <c r="AT555" s="1"/>
      <c r="AU555" s="1"/>
      <c r="AV555" s="1"/>
      <c r="AW555" s="1"/>
      <c r="AX555" s="3"/>
      <c r="AY555" s="3"/>
      <c r="AZ555" s="5"/>
      <c r="BA555" s="5"/>
      <c r="BB555" s="5"/>
      <c r="BC555" s="5"/>
      <c r="BD555" s="6"/>
      <c r="BE555" s="6"/>
      <c r="BF555" s="12"/>
      <c r="BG555" s="12"/>
      <c r="BH555" s="12"/>
      <c r="BI555" s="12"/>
      <c r="BJ555" s="12"/>
    </row>
    <row r="556" spans="2:62" x14ac:dyDescent="0.25">
      <c r="B556" s="1" t="s">
        <v>421</v>
      </c>
      <c r="C556" s="1" t="s">
        <v>741</v>
      </c>
      <c r="D556" s="1" t="s">
        <v>1190</v>
      </c>
      <c r="E556" s="1" t="s">
        <v>486</v>
      </c>
      <c r="F556" s="1" t="s">
        <v>742</v>
      </c>
      <c r="G556" s="1" t="s">
        <v>1190</v>
      </c>
      <c r="H556" s="1" t="s">
        <v>1190</v>
      </c>
      <c r="I556" s="7" t="s">
        <v>322</v>
      </c>
      <c r="J556" s="44">
        <v>1</v>
      </c>
      <c r="K556" s="45">
        <v>1</v>
      </c>
      <c r="L556" s="1" t="s">
        <v>743</v>
      </c>
      <c r="M556" s="1" t="s">
        <v>426</v>
      </c>
      <c r="N556" s="1" t="s">
        <v>1140</v>
      </c>
      <c r="O556" s="1" t="s">
        <v>1189</v>
      </c>
      <c r="P556" s="1" t="s">
        <v>1190</v>
      </c>
      <c r="Q556" s="44">
        <f>IF(L556="952",Multipliers!C201,"oops")</f>
        <v>1.2</v>
      </c>
      <c r="R556" s="44">
        <f>IF(M556="CALIFORNIA",Multipliers!C14, "GOOF")</f>
        <v>1.22</v>
      </c>
      <c r="S556" s="46">
        <f t="shared" si="281"/>
        <v>487286.18400000001</v>
      </c>
      <c r="T556" s="46">
        <f t="shared" si="282"/>
        <v>476988.9754</v>
      </c>
      <c r="U556" s="46">
        <f t="shared" si="273"/>
        <v>472219.08564599999</v>
      </c>
      <c r="V556" s="46">
        <f t="shared" si="274"/>
        <v>479752.634823</v>
      </c>
      <c r="W556" s="47">
        <f>IF(F556=F557,(V556+V557)/2,IF(F556=F555,(V556+V555)/2,IF(F556&lt;&gt;F555,V556)))</f>
        <v>479752.634823</v>
      </c>
      <c r="X556" s="47"/>
      <c r="Y556" s="48">
        <f t="shared" si="276"/>
        <v>383354.01027000003</v>
      </c>
      <c r="Z556" s="48">
        <f t="shared" si="277"/>
        <v>423462.94817400002</v>
      </c>
      <c r="AA556" s="48">
        <f t="shared" si="278"/>
        <v>479752.63482300006</v>
      </c>
      <c r="AB556" s="48">
        <f t="shared" si="279"/>
        <v>519556.77702600003</v>
      </c>
      <c r="AC556" s="48">
        <f t="shared" si="280"/>
        <v>560078.60903400008</v>
      </c>
      <c r="AD556" s="1"/>
      <c r="AE556" s="1"/>
      <c r="AF556" s="1"/>
      <c r="AI556" s="9"/>
      <c r="AJ556" s="1"/>
      <c r="AK556" s="1"/>
      <c r="AL556" s="1"/>
      <c r="AM556" s="1"/>
      <c r="AN556" s="1"/>
      <c r="AO556" s="1"/>
      <c r="AP556" s="9"/>
      <c r="AQ556" s="3"/>
      <c r="AR556" s="4"/>
      <c r="AS556" s="1"/>
      <c r="AT556" s="1"/>
      <c r="AU556" s="1"/>
      <c r="AV556" s="1"/>
      <c r="AW556" s="1"/>
      <c r="AX556" s="3"/>
      <c r="AY556" s="3"/>
      <c r="AZ556" s="5"/>
      <c r="BA556" s="5"/>
      <c r="BB556" s="5"/>
      <c r="BC556" s="5"/>
      <c r="BD556" s="6"/>
      <c r="BE556" s="6"/>
      <c r="BF556" s="12"/>
      <c r="BG556" s="12"/>
      <c r="BH556" s="12"/>
      <c r="BI556" s="12"/>
      <c r="BJ556" s="12"/>
    </row>
    <row r="557" spans="2:62" x14ac:dyDescent="0.25">
      <c r="B557" s="1" t="s">
        <v>421</v>
      </c>
      <c r="C557" s="1" t="s">
        <v>744</v>
      </c>
      <c r="D557" s="1" t="s">
        <v>1190</v>
      </c>
      <c r="E557" s="1" t="s">
        <v>745</v>
      </c>
      <c r="F557" s="1" t="s">
        <v>746</v>
      </c>
      <c r="G557" s="1" t="s">
        <v>448</v>
      </c>
      <c r="H557" s="1" t="s">
        <v>449</v>
      </c>
      <c r="I557" s="7" t="s">
        <v>322</v>
      </c>
      <c r="J557" s="44">
        <v>1</v>
      </c>
      <c r="K557" s="45">
        <v>1</v>
      </c>
      <c r="L557" s="1" t="s">
        <v>470</v>
      </c>
      <c r="M557" s="1" t="s">
        <v>426</v>
      </c>
      <c r="N557" s="1" t="s">
        <v>1140</v>
      </c>
      <c r="O557" s="1" t="s">
        <v>1189</v>
      </c>
      <c r="P557" s="1" t="s">
        <v>1190</v>
      </c>
      <c r="Q557" s="44">
        <f>IF(L557="954",Multipliers!C203,"oops")</f>
        <v>1.27</v>
      </c>
      <c r="R557" s="44">
        <f>IF(M557="CALIFORNIA",Multipliers!C14, "GOOF")</f>
        <v>1.22</v>
      </c>
      <c r="S557" s="46">
        <f t="shared" si="281"/>
        <v>515711.21140000003</v>
      </c>
      <c r="T557" s="46">
        <f t="shared" si="282"/>
        <v>476988.9754</v>
      </c>
      <c r="U557" s="46">
        <f t="shared" si="273"/>
        <v>472219.08564599999</v>
      </c>
      <c r="V557" s="46">
        <f t="shared" si="274"/>
        <v>493965.14852300001</v>
      </c>
      <c r="W557" s="47">
        <f>IF(F557=F558,(V557+V558)/2,IF(F557=F556,(V557+V556)/2,IF(F557&lt;&gt;F556,V557)))</f>
        <v>493965.14852300001</v>
      </c>
      <c r="X557" s="47"/>
      <c r="Y557" s="48">
        <f t="shared" si="276"/>
        <v>395085.74952000001</v>
      </c>
      <c r="Z557" s="48">
        <f t="shared" si="277"/>
        <v>436243.09877399995</v>
      </c>
      <c r="AA557" s="48">
        <f t="shared" si="278"/>
        <v>493965.14852300007</v>
      </c>
      <c r="AB557" s="48">
        <f t="shared" si="279"/>
        <v>534802.97267599998</v>
      </c>
      <c r="AC557" s="48">
        <f t="shared" si="280"/>
        <v>576488.42238400003</v>
      </c>
      <c r="AD557" s="1"/>
      <c r="AE557" s="1"/>
      <c r="AF557" s="1"/>
      <c r="AI557" s="9"/>
      <c r="AJ557" s="1"/>
      <c r="AK557" s="1"/>
      <c r="AL557" s="1"/>
      <c r="AM557" s="1"/>
      <c r="AN557" s="1"/>
      <c r="AO557" s="1"/>
      <c r="AP557" s="9"/>
      <c r="AQ557" s="3"/>
      <c r="AR557" s="4"/>
      <c r="AS557" s="1"/>
      <c r="AT557" s="1"/>
      <c r="AU557" s="1"/>
      <c r="AV557" s="1"/>
      <c r="AW557" s="1"/>
      <c r="AX557" s="3"/>
      <c r="AY557" s="3"/>
      <c r="AZ557" s="5"/>
      <c r="BA557" s="5"/>
      <c r="BB557" s="5"/>
      <c r="BC557" s="5"/>
      <c r="BD557" s="6"/>
      <c r="BE557" s="6"/>
      <c r="BF557" s="12"/>
      <c r="BG557" s="12"/>
      <c r="BH557" s="12"/>
      <c r="BI557" s="12"/>
      <c r="BJ557" s="12"/>
    </row>
    <row r="558" spans="2:62" x14ac:dyDescent="0.25">
      <c r="B558" s="1" t="s">
        <v>421</v>
      </c>
      <c r="C558" s="1" t="s">
        <v>747</v>
      </c>
      <c r="D558" s="1" t="s">
        <v>1190</v>
      </c>
      <c r="E558" s="1" t="s">
        <v>748</v>
      </c>
      <c r="F558" s="1" t="s">
        <v>749</v>
      </c>
      <c r="G558" s="1" t="s">
        <v>1190</v>
      </c>
      <c r="H558" s="1" t="s">
        <v>1190</v>
      </c>
      <c r="I558" s="7" t="s">
        <v>322</v>
      </c>
      <c r="J558" s="44">
        <v>1</v>
      </c>
      <c r="K558" s="45">
        <v>1</v>
      </c>
      <c r="L558" s="1" t="s">
        <v>434</v>
      </c>
      <c r="M558" s="1" t="s">
        <v>426</v>
      </c>
      <c r="N558" s="1" t="s">
        <v>1140</v>
      </c>
      <c r="O558" s="1" t="s">
        <v>1189</v>
      </c>
      <c r="P558" s="1" t="s">
        <v>1190</v>
      </c>
      <c r="Q558" s="44">
        <f>IF(L558="956",Multipliers!C205,"oops")</f>
        <v>1.24</v>
      </c>
      <c r="R558" s="44">
        <f>IF(M558="CALIFORNIA",Multipliers!C14, "GOOF")</f>
        <v>1.22</v>
      </c>
      <c r="S558" s="46">
        <f t="shared" ref="S558:S568" si="283">IF(N558="Standard",$O$5*Q558*$O$7,IF(N558="Severe",$O$4*Q558*$O$7,IF(N558="Hostile",$O$3*Q558*$O$7)))</f>
        <v>503529.05680000008</v>
      </c>
      <c r="T558" s="46">
        <f t="shared" ref="T558:T568" si="284">IF(N558="Standard",$P$5*R558*$O$7,IF(N558="Severe",$P$4*R558*$O$7,IF(N558="Hostile",$P$3*R558*$O$7)))</f>
        <v>476988.9754</v>
      </c>
      <c r="U558" s="46">
        <f t="shared" si="273"/>
        <v>472219.08564599999</v>
      </c>
      <c r="V558" s="46">
        <f t="shared" si="274"/>
        <v>487874.07122300006</v>
      </c>
      <c r="W558" s="47">
        <f t="shared" ref="W558:W565" si="285">IF(F558=F559,(V558+V559)/2,IF(F558=F557,(V558+V557)/2,IF(F558&lt;&gt;F557,V558)))</f>
        <v>487874.07122300006</v>
      </c>
      <c r="X558" s="47"/>
      <c r="Y558" s="48">
        <f t="shared" si="276"/>
        <v>390057.86126999999</v>
      </c>
      <c r="Z558" s="48">
        <f t="shared" si="277"/>
        <v>430765.891374</v>
      </c>
      <c r="AA558" s="48">
        <f t="shared" si="278"/>
        <v>487874.07122300001</v>
      </c>
      <c r="AB558" s="48">
        <f t="shared" si="279"/>
        <v>528268.88882599992</v>
      </c>
      <c r="AC558" s="48">
        <f t="shared" si="280"/>
        <v>569455.64523400005</v>
      </c>
      <c r="AD558" s="1"/>
      <c r="AE558" s="1"/>
      <c r="AF558" s="1"/>
      <c r="AI558" s="9"/>
      <c r="AJ558" s="1"/>
      <c r="AK558" s="1"/>
      <c r="AL558" s="1"/>
      <c r="AM558" s="1"/>
      <c r="AN558" s="1"/>
      <c r="AO558" s="1"/>
      <c r="AP558" s="9"/>
      <c r="AQ558" s="3"/>
      <c r="AR558" s="4"/>
      <c r="AS558" s="1"/>
      <c r="AT558" s="1"/>
      <c r="AU558" s="1"/>
      <c r="AV558" s="1"/>
      <c r="AW558" s="1"/>
      <c r="AX558" s="3"/>
      <c r="AY558" s="3"/>
      <c r="AZ558" s="5"/>
      <c r="BA558" s="5"/>
      <c r="BB558" s="5"/>
      <c r="BC558" s="5"/>
      <c r="BD558" s="6"/>
      <c r="BE558" s="6"/>
      <c r="BF558" s="12"/>
      <c r="BG558" s="12"/>
      <c r="BH558" s="12"/>
      <c r="BI558" s="12"/>
      <c r="BJ558" s="12"/>
    </row>
    <row r="559" spans="2:62" x14ac:dyDescent="0.25">
      <c r="B559" s="1" t="s">
        <v>421</v>
      </c>
      <c r="C559" s="1" t="s">
        <v>750</v>
      </c>
      <c r="D559" s="1" t="s">
        <v>1190</v>
      </c>
      <c r="E559" s="1" t="s">
        <v>751</v>
      </c>
      <c r="F559" s="1" t="s">
        <v>752</v>
      </c>
      <c r="G559" s="1" t="s">
        <v>1190</v>
      </c>
      <c r="H559" s="1" t="s">
        <v>1190</v>
      </c>
      <c r="I559" s="7" t="s">
        <v>322</v>
      </c>
      <c r="J559" s="44">
        <v>1</v>
      </c>
      <c r="K559" s="45">
        <v>1</v>
      </c>
      <c r="L559" s="1" t="s">
        <v>454</v>
      </c>
      <c r="M559" s="1" t="s">
        <v>426</v>
      </c>
      <c r="N559" s="1" t="s">
        <v>1140</v>
      </c>
      <c r="O559" s="1" t="s">
        <v>1189</v>
      </c>
      <c r="P559" s="1" t="s">
        <v>1190</v>
      </c>
      <c r="Q559" s="44">
        <f>IF(L559="955",Multipliers!C204,"oops")</f>
        <v>1.24</v>
      </c>
      <c r="R559" s="44">
        <f>IF(M559="CALIFORNIA",Multipliers!C14, "GOOF")</f>
        <v>1.22</v>
      </c>
      <c r="S559" s="46">
        <f t="shared" si="283"/>
        <v>503529.05680000008</v>
      </c>
      <c r="T559" s="46">
        <f t="shared" si="284"/>
        <v>476988.9754</v>
      </c>
      <c r="U559" s="46">
        <f t="shared" si="273"/>
        <v>472219.08564599999</v>
      </c>
      <c r="V559" s="46">
        <f t="shared" si="274"/>
        <v>487874.07122300006</v>
      </c>
      <c r="W559" s="47">
        <f t="shared" si="285"/>
        <v>487874.07122300006</v>
      </c>
      <c r="X559" s="47"/>
      <c r="Y559" s="48">
        <f t="shared" si="276"/>
        <v>390057.86126999999</v>
      </c>
      <c r="Z559" s="48">
        <f t="shared" si="277"/>
        <v>430765.891374</v>
      </c>
      <c r="AA559" s="48">
        <f t="shared" si="278"/>
        <v>487874.07122300001</v>
      </c>
      <c r="AB559" s="48">
        <f t="shared" si="279"/>
        <v>528268.88882599992</v>
      </c>
      <c r="AC559" s="48">
        <f t="shared" si="280"/>
        <v>569455.64523400005</v>
      </c>
      <c r="AD559" s="1"/>
      <c r="AE559" s="1"/>
      <c r="AF559" s="1"/>
      <c r="AI559" s="9"/>
      <c r="AJ559" s="1"/>
      <c r="AK559" s="1"/>
      <c r="AL559" s="1"/>
      <c r="AM559" s="1"/>
      <c r="AN559" s="1"/>
      <c r="AO559" s="1"/>
      <c r="AP559" s="9"/>
      <c r="AQ559" s="3"/>
      <c r="AR559" s="4"/>
      <c r="AS559" s="1"/>
      <c r="AT559" s="1"/>
      <c r="AU559" s="1"/>
      <c r="AV559" s="1"/>
      <c r="AW559" s="1"/>
      <c r="AX559" s="3"/>
      <c r="AY559" s="3"/>
      <c r="AZ559" s="5"/>
      <c r="BA559" s="5"/>
      <c r="BB559" s="5"/>
      <c r="BC559" s="5"/>
      <c r="BD559" s="6"/>
      <c r="BE559" s="6"/>
      <c r="BF559" s="12"/>
      <c r="BG559" s="12"/>
      <c r="BH559" s="12"/>
      <c r="BI559" s="12"/>
      <c r="BJ559" s="12"/>
    </row>
    <row r="560" spans="2:62" x14ac:dyDescent="0.25">
      <c r="B560" s="1" t="s">
        <v>421</v>
      </c>
      <c r="C560" s="1" t="s">
        <v>753</v>
      </c>
      <c r="D560" s="1" t="s">
        <v>1190</v>
      </c>
      <c r="E560" s="1" t="s">
        <v>754</v>
      </c>
      <c r="F560" s="1" t="s">
        <v>755</v>
      </c>
      <c r="G560" s="1" t="s">
        <v>441</v>
      </c>
      <c r="H560" s="1" t="s">
        <v>442</v>
      </c>
      <c r="I560" s="7" t="s">
        <v>322</v>
      </c>
      <c r="J560" s="44">
        <v>1</v>
      </c>
      <c r="K560" s="45">
        <v>1</v>
      </c>
      <c r="L560" s="1" t="s">
        <v>425</v>
      </c>
      <c r="M560" s="1" t="s">
        <v>426</v>
      </c>
      <c r="N560" s="1" t="s">
        <v>1139</v>
      </c>
      <c r="O560" s="1" t="s">
        <v>1189</v>
      </c>
      <c r="P560" s="1" t="s">
        <v>1190</v>
      </c>
      <c r="Q560" s="44">
        <f>IF(L560="925",Multipliers!C194,"oops")</f>
        <v>1.1399999999999999</v>
      </c>
      <c r="R560" s="44">
        <f>IF(M560="CALIFORNIA",Multipliers!C14, "GOOF")</f>
        <v>1.22</v>
      </c>
      <c r="S560" s="46">
        <f t="shared" si="283"/>
        <v>437104.89900000003</v>
      </c>
      <c r="T560" s="46">
        <f t="shared" si="284"/>
        <v>457472.94040000002</v>
      </c>
      <c r="U560" s="46">
        <f t="shared" ref="U560:U577" si="286">IF(O560="E",$T$3*T560,IF(O560="C",$T$4*T560,IF(O560="W",$T$5*T560,1)))</f>
        <v>452898.21099600004</v>
      </c>
      <c r="V560" s="46">
        <f t="shared" ref="V560:V577" si="287">(S560+U560)/2</f>
        <v>445001.55499800004</v>
      </c>
      <c r="W560" s="47">
        <f t="shared" si="285"/>
        <v>445001.55499800004</v>
      </c>
      <c r="X560" s="47"/>
      <c r="Y560" s="48">
        <f t="shared" ref="Y560:Y577" si="288">IF(N560="Standard",(((($Z$3*Q560)+($AD$3*R560*$T$5))/2)*$O$7),IF(N560="Severe",(((($AA$3*Q560)+($AE$3*R560*$T$5))/2)*$O$7),IF(N560="Hostile",(((($AB$3*Q560)+($AF$3*R560*$T$5))/2)*$O$7))))</f>
        <v>354008.25326999993</v>
      </c>
      <c r="Z560" s="48">
        <f t="shared" ref="Z560:Z577" si="289">IF(N560="Standard",(((($Z$4*Q560)+($AD$4*R560*$T$5))/2)*$O$7),IF(N560="Severe",(((($AA$4*Q560)+($AE$4*R560*$T$5))/2)*$O$7),IF(N560="Hostile",(((($AB$4*Q560)+($AF$4*R560*$T$5))/2)*$O$7))))</f>
        <v>392429.30987399997</v>
      </c>
      <c r="AA560" s="48">
        <f t="shared" si="278"/>
        <v>445001.55499800004</v>
      </c>
      <c r="AB560" s="48">
        <f t="shared" si="279"/>
        <v>480482.85717599996</v>
      </c>
      <c r="AC560" s="48">
        <f t="shared" si="280"/>
        <v>518121.54878399998</v>
      </c>
      <c r="AD560" s="1"/>
      <c r="AE560" s="1"/>
      <c r="AF560" s="1"/>
      <c r="AI560" s="9"/>
      <c r="AJ560" s="1"/>
      <c r="AK560" s="1"/>
      <c r="AL560" s="1"/>
      <c r="AM560" s="1"/>
      <c r="AN560" s="1"/>
      <c r="AO560" s="1"/>
      <c r="AP560" s="9"/>
      <c r="AQ560" s="3"/>
      <c r="AR560" s="4"/>
      <c r="AS560" s="1"/>
      <c r="AT560" s="1"/>
      <c r="AU560" s="1"/>
      <c r="AV560" s="1"/>
      <c r="AW560" s="1"/>
      <c r="AX560" s="3"/>
      <c r="AY560" s="3"/>
      <c r="AZ560" s="5"/>
      <c r="BA560" s="5"/>
      <c r="BB560" s="5"/>
      <c r="BC560" s="5"/>
      <c r="BD560" s="6"/>
      <c r="BE560" s="6"/>
      <c r="BF560" s="12"/>
      <c r="BG560" s="12"/>
      <c r="BH560" s="12"/>
      <c r="BI560" s="12"/>
      <c r="BJ560" s="12"/>
    </row>
    <row r="561" spans="2:62" x14ac:dyDescent="0.25">
      <c r="B561" s="1" t="s">
        <v>421</v>
      </c>
      <c r="C561" s="1" t="s">
        <v>756</v>
      </c>
      <c r="D561" s="1" t="s">
        <v>1190</v>
      </c>
      <c r="E561" s="1" t="s">
        <v>757</v>
      </c>
      <c r="F561" s="1" t="s">
        <v>758</v>
      </c>
      <c r="G561" s="1" t="s">
        <v>448</v>
      </c>
      <c r="H561" s="1" t="s">
        <v>449</v>
      </c>
      <c r="I561" s="7" t="s">
        <v>322</v>
      </c>
      <c r="J561" s="44">
        <v>1</v>
      </c>
      <c r="K561" s="45">
        <v>1</v>
      </c>
      <c r="L561" s="1" t="s">
        <v>470</v>
      </c>
      <c r="M561" s="1" t="s">
        <v>513</v>
      </c>
      <c r="N561" s="1" t="s">
        <v>1140</v>
      </c>
      <c r="O561" s="1" t="s">
        <v>1189</v>
      </c>
      <c r="P561" s="1" t="s">
        <v>1190</v>
      </c>
      <c r="Q561" s="44">
        <f>IF(L561="954",Multipliers!C203,"oops")</f>
        <v>1.27</v>
      </c>
      <c r="R561" s="44">
        <f>IF(M561="Santa Rosa",Multipliers!C24, "GOOF")</f>
        <v>1.25</v>
      </c>
      <c r="S561" s="46">
        <f t="shared" si="283"/>
        <v>515711.21140000003</v>
      </c>
      <c r="T561" s="46">
        <f t="shared" si="284"/>
        <v>488718.21249999997</v>
      </c>
      <c r="U561" s="46">
        <f t="shared" si="286"/>
        <v>483831.03037499997</v>
      </c>
      <c r="V561" s="46">
        <f t="shared" si="287"/>
        <v>499771.1208875</v>
      </c>
      <c r="W561" s="47">
        <f t="shared" si="285"/>
        <v>499771.1208875</v>
      </c>
      <c r="X561" s="47"/>
      <c r="Y561" s="48">
        <f t="shared" si="288"/>
        <v>399567.02362500003</v>
      </c>
      <c r="Z561" s="48">
        <f t="shared" si="289"/>
        <v>441268.704975</v>
      </c>
      <c r="AA561" s="48">
        <f t="shared" si="278"/>
        <v>499771.12088750006</v>
      </c>
      <c r="AB561" s="48">
        <f t="shared" si="279"/>
        <v>541151.99127499992</v>
      </c>
      <c r="AC561" s="48">
        <f t="shared" si="280"/>
        <v>583343.36147500016</v>
      </c>
      <c r="AD561" s="1"/>
      <c r="AE561" s="1"/>
      <c r="AF561" s="1"/>
      <c r="AI561" s="9"/>
      <c r="AJ561" s="1"/>
      <c r="AK561" s="1"/>
      <c r="AL561" s="1"/>
      <c r="AM561" s="1"/>
      <c r="AN561" s="1"/>
      <c r="AO561" s="1"/>
      <c r="AP561" s="9"/>
      <c r="AQ561" s="3"/>
      <c r="AR561" s="4"/>
      <c r="AS561" s="1"/>
      <c r="AT561" s="1"/>
      <c r="AU561" s="1"/>
      <c r="AV561" s="1"/>
      <c r="AW561" s="1"/>
      <c r="AX561" s="3"/>
      <c r="AY561" s="3"/>
      <c r="AZ561" s="5"/>
      <c r="BA561" s="5"/>
      <c r="BB561" s="5"/>
      <c r="BC561" s="5"/>
      <c r="BD561" s="6"/>
      <c r="BE561" s="6"/>
      <c r="BF561" s="12"/>
      <c r="BG561" s="12"/>
      <c r="BH561" s="12"/>
      <c r="BI561" s="12"/>
      <c r="BJ561" s="12"/>
    </row>
    <row r="562" spans="2:62" x14ac:dyDescent="0.25">
      <c r="B562" s="1" t="s">
        <v>421</v>
      </c>
      <c r="C562" s="1" t="s">
        <v>759</v>
      </c>
      <c r="D562" s="1" t="s">
        <v>1190</v>
      </c>
      <c r="E562" s="1" t="s">
        <v>760</v>
      </c>
      <c r="F562" s="1" t="s">
        <v>761</v>
      </c>
      <c r="G562" s="1" t="s">
        <v>1190</v>
      </c>
      <c r="H562" s="1" t="s">
        <v>1190</v>
      </c>
      <c r="I562" s="7" t="s">
        <v>322</v>
      </c>
      <c r="J562" s="44">
        <v>1</v>
      </c>
      <c r="K562" s="45">
        <v>1</v>
      </c>
      <c r="L562" s="1" t="s">
        <v>470</v>
      </c>
      <c r="M562" s="1" t="s">
        <v>426</v>
      </c>
      <c r="N562" s="1" t="s">
        <v>1140</v>
      </c>
      <c r="O562" s="1" t="s">
        <v>1189</v>
      </c>
      <c r="P562" s="1" t="s">
        <v>1190</v>
      </c>
      <c r="Q562" s="44">
        <f>IF(L562="954",Multipliers!C203,"oops")</f>
        <v>1.27</v>
      </c>
      <c r="R562" s="44">
        <f>IF(M562="CALIFORNIA",Multipliers!C14, "GOOF")</f>
        <v>1.22</v>
      </c>
      <c r="S562" s="46">
        <f t="shared" si="283"/>
        <v>515711.21140000003</v>
      </c>
      <c r="T562" s="46">
        <f t="shared" si="284"/>
        <v>476988.9754</v>
      </c>
      <c r="U562" s="46">
        <f t="shared" si="286"/>
        <v>472219.08564599999</v>
      </c>
      <c r="V562" s="46">
        <f t="shared" si="287"/>
        <v>493965.14852300001</v>
      </c>
      <c r="W562" s="47">
        <f t="shared" si="285"/>
        <v>493965.14852300001</v>
      </c>
      <c r="X562" s="47"/>
      <c r="Y562" s="48">
        <f t="shared" si="288"/>
        <v>395085.74952000001</v>
      </c>
      <c r="Z562" s="48">
        <f t="shared" si="289"/>
        <v>436243.09877399995</v>
      </c>
      <c r="AA562" s="48">
        <f t="shared" si="278"/>
        <v>493965.14852300007</v>
      </c>
      <c r="AB562" s="48">
        <f t="shared" si="279"/>
        <v>534802.97267599998</v>
      </c>
      <c r="AC562" s="48">
        <f t="shared" si="280"/>
        <v>576488.42238400003</v>
      </c>
      <c r="AD562" s="1"/>
      <c r="AE562" s="1"/>
      <c r="AF562" s="1"/>
      <c r="AI562" s="9"/>
      <c r="AJ562" s="1"/>
      <c r="AK562" s="1"/>
      <c r="AL562" s="1"/>
      <c r="AM562" s="1"/>
      <c r="AN562" s="1"/>
      <c r="AO562" s="1"/>
      <c r="AP562" s="9"/>
      <c r="AQ562" s="3"/>
      <c r="AR562" s="4"/>
      <c r="AS562" s="1"/>
      <c r="AT562" s="1"/>
      <c r="AU562" s="1"/>
      <c r="AV562" s="1"/>
      <c r="AW562" s="1"/>
      <c r="AX562" s="3"/>
      <c r="AY562" s="3"/>
      <c r="AZ562" s="5"/>
      <c r="BA562" s="5"/>
      <c r="BB562" s="5"/>
      <c r="BC562" s="5"/>
      <c r="BD562" s="6"/>
      <c r="BE562" s="6"/>
      <c r="BF562" s="12"/>
      <c r="BG562" s="12"/>
      <c r="BH562" s="12"/>
      <c r="BI562" s="12"/>
      <c r="BJ562" s="12"/>
    </row>
    <row r="563" spans="2:62" x14ac:dyDescent="0.25">
      <c r="B563" s="1" t="s">
        <v>421</v>
      </c>
      <c r="C563" s="1" t="s">
        <v>762</v>
      </c>
      <c r="D563" s="1" t="s">
        <v>1190</v>
      </c>
      <c r="E563" s="1" t="s">
        <v>763</v>
      </c>
      <c r="F563" s="1" t="s">
        <v>764</v>
      </c>
      <c r="G563" s="1" t="s">
        <v>554</v>
      </c>
      <c r="H563" s="1" t="s">
        <v>555</v>
      </c>
      <c r="I563" s="7" t="s">
        <v>322</v>
      </c>
      <c r="J563" s="44">
        <v>1</v>
      </c>
      <c r="K563" s="45">
        <v>1</v>
      </c>
      <c r="L563" s="1" t="s">
        <v>430</v>
      </c>
      <c r="M563" s="1" t="s">
        <v>556</v>
      </c>
      <c r="N563" s="1" t="s">
        <v>1140</v>
      </c>
      <c r="O563" s="1" t="s">
        <v>1189</v>
      </c>
      <c r="P563" s="1" t="s">
        <v>1190</v>
      </c>
      <c r="Q563" s="44">
        <f>IF(L563="961",Multipliers!C208,"oops")</f>
        <v>1.24</v>
      </c>
      <c r="R563" s="44">
        <f>IF(M563="Susanville",Multipliers!C25, "GOOF")</f>
        <v>1.17</v>
      </c>
      <c r="S563" s="46">
        <f t="shared" si="283"/>
        <v>503529.05680000008</v>
      </c>
      <c r="T563" s="46">
        <f t="shared" si="284"/>
        <v>457440.24689999997</v>
      </c>
      <c r="U563" s="46">
        <f t="shared" si="286"/>
        <v>452865.84443099995</v>
      </c>
      <c r="V563" s="46">
        <f t="shared" si="287"/>
        <v>478197.45061549998</v>
      </c>
      <c r="W563" s="47">
        <f t="shared" si="285"/>
        <v>478197.45061549998</v>
      </c>
      <c r="X563" s="47"/>
      <c r="Y563" s="48">
        <f t="shared" si="288"/>
        <v>382589.07109500002</v>
      </c>
      <c r="Z563" s="48">
        <f t="shared" si="289"/>
        <v>422389.88103899994</v>
      </c>
      <c r="AA563" s="48">
        <f t="shared" si="278"/>
        <v>478197.45061550004</v>
      </c>
      <c r="AB563" s="48">
        <f t="shared" si="279"/>
        <v>517687.19116099994</v>
      </c>
      <c r="AC563" s="48">
        <f t="shared" si="280"/>
        <v>558030.74674900004</v>
      </c>
      <c r="AD563" s="1"/>
      <c r="AE563" s="1"/>
      <c r="AF563" s="1"/>
      <c r="AI563" s="9"/>
      <c r="AJ563" s="1"/>
      <c r="AK563" s="1"/>
      <c r="AL563" s="1"/>
      <c r="AM563" s="1"/>
      <c r="AN563" s="1"/>
      <c r="AO563" s="1"/>
      <c r="AP563" s="9"/>
      <c r="AQ563" s="3"/>
      <c r="AR563" s="4"/>
      <c r="AS563" s="1"/>
      <c r="AT563" s="1"/>
      <c r="AU563" s="1"/>
      <c r="AV563" s="1"/>
      <c r="AW563" s="1"/>
      <c r="AX563" s="3"/>
      <c r="AY563" s="3"/>
      <c r="AZ563" s="5"/>
      <c r="BA563" s="5"/>
      <c r="BB563" s="5"/>
      <c r="BC563" s="5"/>
      <c r="BD563" s="6"/>
      <c r="BE563" s="6"/>
      <c r="BF563" s="12"/>
      <c r="BG563" s="12"/>
      <c r="BH563" s="12"/>
      <c r="BI563" s="12"/>
      <c r="BJ563" s="12"/>
    </row>
    <row r="564" spans="2:62" x14ac:dyDescent="0.25">
      <c r="B564" s="1" t="s">
        <v>421</v>
      </c>
      <c r="C564" s="1" t="s">
        <v>765</v>
      </c>
      <c r="D564" s="1" t="s">
        <v>1190</v>
      </c>
      <c r="E564" s="1" t="s">
        <v>766</v>
      </c>
      <c r="F564" s="1" t="s">
        <v>767</v>
      </c>
      <c r="G564" s="1" t="s">
        <v>441</v>
      </c>
      <c r="H564" s="1" t="s">
        <v>442</v>
      </c>
      <c r="I564" s="7" t="s">
        <v>322</v>
      </c>
      <c r="J564" s="44">
        <v>1</v>
      </c>
      <c r="K564" s="45">
        <v>1</v>
      </c>
      <c r="L564" s="1" t="s">
        <v>443</v>
      </c>
      <c r="M564" s="1" t="s">
        <v>444</v>
      </c>
      <c r="N564" s="1" t="s">
        <v>1139</v>
      </c>
      <c r="O564" s="1" t="s">
        <v>1189</v>
      </c>
      <c r="P564" s="1" t="s">
        <v>1190</v>
      </c>
      <c r="Q564" s="44">
        <f>IF(L564="921",Multipliers!C191,"oops")</f>
        <v>1.1000000000000001</v>
      </c>
      <c r="R564" s="44">
        <f>IF(M564="San Diego",Multipliers!C22, "GOOF")</f>
        <v>1.17</v>
      </c>
      <c r="S564" s="46">
        <f t="shared" si="283"/>
        <v>421767.88500000013</v>
      </c>
      <c r="T564" s="46">
        <f t="shared" si="284"/>
        <v>438724.04939999996</v>
      </c>
      <c r="U564" s="46">
        <f t="shared" si="286"/>
        <v>434336.80890599993</v>
      </c>
      <c r="V564" s="46">
        <f t="shared" si="287"/>
        <v>428052.34695300006</v>
      </c>
      <c r="W564" s="47">
        <f t="shared" si="285"/>
        <v>428052.34695300006</v>
      </c>
      <c r="X564" s="47"/>
      <c r="Y564" s="48">
        <f t="shared" si="288"/>
        <v>340558.31309499999</v>
      </c>
      <c r="Z564" s="48">
        <f t="shared" si="289"/>
        <v>377504.28923900001</v>
      </c>
      <c r="AA564" s="48">
        <f t="shared" ref="AA564:AA581" si="290">IF(N564="Standard",((($Z$5*Q564)+($AD$5*R564*$T$5))/2)*$O$7,IF(N564="Severe",((($AA$5*Q564)+($AE$5*R564*$T$5))/2)*$O$7,IF(N564="Hostile",((($AB$5*Q564)+($AF$5*R564*$T$5))/2)*$O$7)))</f>
        <v>428052.34695300006</v>
      </c>
      <c r="AB564" s="48">
        <f t="shared" ref="AB564:AB581" si="291">IF(N564="Standard",((($Z$6*Q564)+($AD$6*R564*$T$5))/2)*$O$7,IF(N564="Severe",((($AA$6*Q564)+($AE$6*R564*$T$5))/2)*$O$7,IF(N564="Hostile",((($AB$6*Q564)+($AF$6*R564*$T$5))/2)*$O$7)))</f>
        <v>462168.18863599998</v>
      </c>
      <c r="AC564" s="48">
        <f t="shared" ref="AC564:AC581" si="292">IF(N564="Standard",((($Z$7*Q564)+($AD$7*R564*$T$5))/2)*$O$7,IF(N564="Severe",((($AA$7*Q564)+($AE$7*R564*$T$5))/2)*$O$7,IF(N564="Hostile",((($AB$7*Q564)+($AF$7*R564*$T$5))/2)*$O$7)))</f>
        <v>498370.60442400002</v>
      </c>
      <c r="AD564" s="1"/>
      <c r="AE564" s="1"/>
      <c r="AF564" s="1"/>
      <c r="AI564" s="9"/>
      <c r="AJ564" s="1"/>
      <c r="AK564" s="1"/>
      <c r="AL564" s="1"/>
      <c r="AM564" s="1"/>
      <c r="AN564" s="1"/>
      <c r="AO564" s="1"/>
      <c r="AP564" s="9"/>
      <c r="AQ564" s="3"/>
      <c r="AR564" s="4"/>
      <c r="AS564" s="1"/>
      <c r="AT564" s="1"/>
      <c r="AU564" s="1"/>
      <c r="AV564" s="1"/>
      <c r="AW564" s="1"/>
      <c r="AX564" s="3"/>
      <c r="AY564" s="3"/>
      <c r="AZ564" s="5"/>
      <c r="BA564" s="5"/>
      <c r="BB564" s="5"/>
      <c r="BC564" s="5"/>
      <c r="BD564" s="6"/>
      <c r="BE564" s="6"/>
      <c r="BF564" s="12"/>
      <c r="BG564" s="12"/>
      <c r="BH564" s="12"/>
      <c r="BI564" s="12"/>
      <c r="BJ564" s="12"/>
    </row>
    <row r="565" spans="2:62" x14ac:dyDescent="0.25">
      <c r="B565" s="1" t="s">
        <v>421</v>
      </c>
      <c r="C565" s="1" t="s">
        <v>768</v>
      </c>
      <c r="D565" s="1" t="s">
        <v>1190</v>
      </c>
      <c r="E565" s="1" t="s">
        <v>769</v>
      </c>
      <c r="F565" s="1" t="s">
        <v>770</v>
      </c>
      <c r="G565" s="1" t="s">
        <v>1190</v>
      </c>
      <c r="H565" s="1" t="s">
        <v>1190</v>
      </c>
      <c r="I565" s="7" t="s">
        <v>322</v>
      </c>
      <c r="J565" s="44">
        <v>1</v>
      </c>
      <c r="K565" s="45">
        <v>1</v>
      </c>
      <c r="L565" s="1" t="s">
        <v>454</v>
      </c>
      <c r="M565" s="1" t="s">
        <v>455</v>
      </c>
      <c r="N565" s="1" t="s">
        <v>1140</v>
      </c>
      <c r="O565" s="1" t="s">
        <v>1189</v>
      </c>
      <c r="P565" s="1" t="s">
        <v>1190</v>
      </c>
      <c r="Q565" s="44">
        <f>IF(L565="955",Multipliers!C204,"oops")</f>
        <v>1.24</v>
      </c>
      <c r="R565" s="44">
        <f>IF(M565="Eureka",Multipliers!C15, "GOOF")</f>
        <v>1.26</v>
      </c>
      <c r="S565" s="46">
        <f t="shared" si="283"/>
        <v>503529.05680000008</v>
      </c>
      <c r="T565" s="46">
        <f t="shared" si="284"/>
        <v>492627.95820000005</v>
      </c>
      <c r="U565" s="46">
        <f t="shared" si="286"/>
        <v>487701.67861800006</v>
      </c>
      <c r="V565" s="46">
        <f t="shared" si="287"/>
        <v>495615.36770900007</v>
      </c>
      <c r="W565" s="47">
        <f t="shared" si="285"/>
        <v>495615.36770900007</v>
      </c>
      <c r="X565" s="47"/>
      <c r="Y565" s="48">
        <f t="shared" si="288"/>
        <v>396032.89341000002</v>
      </c>
      <c r="Z565" s="48">
        <f t="shared" si="289"/>
        <v>437466.69964199996</v>
      </c>
      <c r="AA565" s="48">
        <f t="shared" si="290"/>
        <v>495615.36770900013</v>
      </c>
      <c r="AB565" s="48">
        <f t="shared" si="291"/>
        <v>536734.24695800012</v>
      </c>
      <c r="AC565" s="48">
        <f t="shared" si="292"/>
        <v>578595.56402199995</v>
      </c>
      <c r="AD565" s="1"/>
      <c r="AE565" s="1"/>
      <c r="AF565" s="1"/>
      <c r="AI565" s="9"/>
      <c r="AJ565" s="1"/>
      <c r="AK565" s="1"/>
      <c r="AL565" s="1"/>
      <c r="AM565" s="1"/>
      <c r="AN565" s="1"/>
      <c r="AO565" s="1"/>
      <c r="AP565" s="9"/>
      <c r="AQ565" s="3"/>
      <c r="AR565" s="4"/>
      <c r="AS565" s="1"/>
      <c r="AT565" s="1"/>
      <c r="AU565" s="1"/>
      <c r="AV565" s="1"/>
      <c r="AW565" s="1"/>
      <c r="AX565" s="3"/>
      <c r="AY565" s="3"/>
      <c r="AZ565" s="5"/>
      <c r="BA565" s="5"/>
      <c r="BB565" s="5"/>
      <c r="BC565" s="5"/>
      <c r="BD565" s="6"/>
      <c r="BE565" s="6"/>
      <c r="BF565" s="12"/>
      <c r="BG565" s="12"/>
      <c r="BH565" s="12"/>
      <c r="BI565" s="12"/>
      <c r="BJ565" s="12"/>
    </row>
    <row r="566" spans="2:62" x14ac:dyDescent="0.25">
      <c r="B566" s="1" t="s">
        <v>421</v>
      </c>
      <c r="C566" s="1" t="s">
        <v>771</v>
      </c>
      <c r="D566" s="1" t="s">
        <v>1190</v>
      </c>
      <c r="E566" s="1" t="s">
        <v>772</v>
      </c>
      <c r="F566" s="1" t="s">
        <v>773</v>
      </c>
      <c r="G566" s="1" t="s">
        <v>1190</v>
      </c>
      <c r="H566" s="1" t="s">
        <v>1190</v>
      </c>
      <c r="I566" s="7" t="s">
        <v>322</v>
      </c>
      <c r="J566" s="44">
        <v>1</v>
      </c>
      <c r="K566" s="45">
        <v>1</v>
      </c>
      <c r="L566" s="1" t="s">
        <v>465</v>
      </c>
      <c r="M566" s="1" t="s">
        <v>466</v>
      </c>
      <c r="N566" s="1" t="s">
        <v>1140</v>
      </c>
      <c r="O566" s="1" t="s">
        <v>1189</v>
      </c>
      <c r="P566" s="1" t="s">
        <v>1190</v>
      </c>
      <c r="Q566" s="44">
        <f>IF(L566="937",Multipliers!C199,"oops")</f>
        <v>1.17</v>
      </c>
      <c r="R566" s="44">
        <f>IF(M566="Fresno",Multipliers!C16, "GOOF")</f>
        <v>1.31</v>
      </c>
      <c r="S566" s="46">
        <f t="shared" si="283"/>
        <v>475104.02940000006</v>
      </c>
      <c r="T566" s="46">
        <f t="shared" si="284"/>
        <v>512176.68670000002</v>
      </c>
      <c r="U566" s="46">
        <f t="shared" si="286"/>
        <v>507054.91983299999</v>
      </c>
      <c r="V566" s="46">
        <f t="shared" si="287"/>
        <v>491079.47461650003</v>
      </c>
      <c r="W566" s="47">
        <f>IF(F566=F568,(V566+V568)/2,IF(F566=F565,(V566+V565)/2,IF(F566&lt;&gt;F565,V566)))</f>
        <v>491079.47461650003</v>
      </c>
      <c r="X566" s="47"/>
      <c r="Y566" s="48">
        <f t="shared" si="288"/>
        <v>391769.94433500001</v>
      </c>
      <c r="Z566" s="48">
        <f t="shared" si="289"/>
        <v>433062.55937699997</v>
      </c>
      <c r="AA566" s="48">
        <f t="shared" si="290"/>
        <v>491079.47461650008</v>
      </c>
      <c r="AB566" s="48">
        <f t="shared" si="291"/>
        <v>532069.74897299998</v>
      </c>
      <c r="AC566" s="48">
        <f t="shared" si="292"/>
        <v>573610.64915700001</v>
      </c>
      <c r="AD566" s="1"/>
      <c r="AE566" s="1"/>
      <c r="AF566" s="1"/>
      <c r="AI566" s="9"/>
      <c r="AJ566" s="1"/>
      <c r="AK566" s="1"/>
      <c r="AL566" s="1"/>
      <c r="AM566" s="1"/>
      <c r="AN566" s="1"/>
      <c r="AO566" s="1"/>
      <c r="AP566" s="9"/>
      <c r="AQ566" s="3"/>
      <c r="AR566" s="4"/>
      <c r="AS566" s="1"/>
      <c r="AT566" s="1"/>
      <c r="AU566" s="1"/>
      <c r="AV566" s="1"/>
      <c r="AW566" s="1"/>
      <c r="AX566" s="3"/>
      <c r="AY566" s="3"/>
      <c r="AZ566" s="5"/>
      <c r="BA566" s="5"/>
      <c r="BB566" s="5"/>
      <c r="BC566" s="5"/>
      <c r="BD566" s="6"/>
      <c r="BE566" s="6"/>
      <c r="BF566" s="12"/>
      <c r="BG566" s="12"/>
      <c r="BH566" s="12"/>
      <c r="BI566" s="12"/>
      <c r="BJ566" s="12"/>
    </row>
    <row r="567" spans="2:62" x14ac:dyDescent="0.25">
      <c r="B567" s="84" t="s">
        <v>421</v>
      </c>
      <c r="C567" s="84" t="s">
        <v>2654</v>
      </c>
      <c r="D567" s="1"/>
      <c r="E567" s="85" t="s">
        <v>2655</v>
      </c>
      <c r="F567" s="84" t="s">
        <v>2652</v>
      </c>
      <c r="G567" s="84" t="s">
        <v>421</v>
      </c>
      <c r="H567" s="84" t="s">
        <v>2652</v>
      </c>
      <c r="I567" s="85" t="s">
        <v>322</v>
      </c>
      <c r="J567" s="44">
        <v>1</v>
      </c>
      <c r="K567" s="45">
        <v>1</v>
      </c>
      <c r="L567" s="85" t="s">
        <v>2653</v>
      </c>
      <c r="M567" s="84" t="s">
        <v>426</v>
      </c>
      <c r="N567" s="84" t="s">
        <v>1139</v>
      </c>
      <c r="O567" s="84" t="s">
        <v>1189</v>
      </c>
      <c r="P567" s="1"/>
      <c r="Q567" s="44">
        <f>IF(L567="933",Multipliers!C189,"oops")</f>
        <v>1.1200000000000001</v>
      </c>
      <c r="R567" s="44">
        <f>IF(M567="California",Multipliers!C14, "GOOF")</f>
        <v>1.22</v>
      </c>
      <c r="S567" s="46">
        <f>IF(N567="Standard",$O$5*Q567*$O$7,IF(N567="Severe",$O$4*Q567*$O$7,IF(N567="Hostile",$O$3*Q567*$O$7)))</f>
        <v>429436.39200000011</v>
      </c>
      <c r="T567" s="46">
        <f>IF(N567="Standard",$P$5*R567*$O$7,IF(N567="Severe",$P$4*R567*$O$7,IF(N567="Hostile",$P$3*R567*$O$7)))</f>
        <v>457472.94040000002</v>
      </c>
      <c r="U567" s="46">
        <f>IF(O567="E",$T$3*T567,IF(O567="C",$T$4*T567,IF(O567="W",$T$5*T567,1)))</f>
        <v>452898.21099600004</v>
      </c>
      <c r="V567" s="46">
        <f>(S567+U567)/2</f>
        <v>441167.30149800004</v>
      </c>
      <c r="W567" s="47">
        <f>IF(F567=F569,(V567+V569)/2,IF(F567=F566,(V567+V566)/2,IF(F567&lt;&gt;F566,V567)))</f>
        <v>441167.30149800004</v>
      </c>
      <c r="X567" s="47"/>
      <c r="Y567" s="48">
        <f>IF(N567="Standard",(((($Z$3*Q567)+($AD$3*R567*$T$5))/2)*$O$7),IF(N567="Severe",(((($AA$3*Q567)+($AE$3*R567*$T$5))/2)*$O$7),IF(N567="Hostile",(((($AB$3*Q567)+($AF$3*R567*$T$5))/2)*$O$7))))</f>
        <v>350858.28826999996</v>
      </c>
      <c r="Z567" s="48">
        <f>IF(N567="Standard",(((($Z$4*Q567)+($AD$4*R567*$T$5))/2)*$O$7),IF(N567="Severe",(((($AA$4*Q567)+($AE$4*R567*$T$5))/2)*$O$7),IF(N567="Hostile",(((($AB$4*Q567)+($AF$4*R567*$T$5))/2)*$O$7))))</f>
        <v>388983.11397400004</v>
      </c>
      <c r="AA567" s="48">
        <f>IF(N567="Standard",((($Z$5*Q567)+($AD$5*R567*$T$5))/2)*$O$7,IF(N567="Severe",((($AA$5*Q567)+($AE$5*R567*$T$5))/2)*$O$7,IF(N567="Hostile",((($AB$5*Q567)+($AF$5*R567*$T$5))/2)*$O$7)))</f>
        <v>441167.30149800004</v>
      </c>
      <c r="AB567" s="48">
        <f>IF(N567="Standard",((($Z$6*Q567)+($AD$6*R567*$T$5))/2)*$O$7,IF(N567="Severe",((($AA$6*Q567)+($AE$6*R567*$T$5))/2)*$O$7,IF(N567="Hostile",((($AB$6*Q567)+($AF$6*R567*$T$5))/2)*$O$7)))</f>
        <v>476384.69317600003</v>
      </c>
      <c r="AC567" s="48">
        <f>IF(N567="Standard",((($Z$7*Q567)+($AD$7*R567*$T$5))/2)*$O$7,IF(N567="Severe",((($AA$7*Q567)+($AE$7*R567*$T$5))/2)*$O$7,IF(N567="Hostile",((($AB$7*Q567)+($AF$7*R567*$T$5))/2)*$O$7)))</f>
        <v>513707.09678400005</v>
      </c>
      <c r="AD567" s="1"/>
      <c r="AE567" s="1"/>
      <c r="AF567" s="1"/>
      <c r="AI567" s="9"/>
      <c r="AJ567" s="1"/>
      <c r="AK567" s="1"/>
      <c r="AL567" s="1"/>
      <c r="AM567" s="1"/>
      <c r="AN567" s="1"/>
      <c r="AO567" s="1"/>
      <c r="AP567" s="9"/>
      <c r="AQ567" s="3"/>
      <c r="AR567" s="4"/>
      <c r="AS567" s="1"/>
      <c r="AT567" s="1"/>
      <c r="AU567" s="1"/>
      <c r="AV567" s="1"/>
      <c r="AW567" s="1"/>
      <c r="AX567" s="3"/>
      <c r="AY567" s="3"/>
      <c r="AZ567" s="5"/>
      <c r="BA567" s="5"/>
      <c r="BB567" s="5"/>
      <c r="BC567" s="5"/>
      <c r="BD567" s="6"/>
      <c r="BE567" s="6"/>
      <c r="BF567" s="12"/>
      <c r="BG567" s="12"/>
      <c r="BH567" s="12"/>
      <c r="BI567" s="12"/>
      <c r="BJ567" s="12"/>
    </row>
    <row r="568" spans="2:62" x14ac:dyDescent="0.25">
      <c r="B568" s="1" t="s">
        <v>421</v>
      </c>
      <c r="C568" s="1" t="s">
        <v>774</v>
      </c>
      <c r="D568" s="1" t="s">
        <v>1190</v>
      </c>
      <c r="E568" s="1" t="s">
        <v>775</v>
      </c>
      <c r="F568" s="1" t="s">
        <v>776</v>
      </c>
      <c r="G568" s="1" t="s">
        <v>441</v>
      </c>
      <c r="H568" s="1" t="s">
        <v>442</v>
      </c>
      <c r="I568" s="7" t="s">
        <v>322</v>
      </c>
      <c r="J568" s="44">
        <v>1</v>
      </c>
      <c r="K568" s="45">
        <v>1</v>
      </c>
      <c r="L568" s="1" t="s">
        <v>633</v>
      </c>
      <c r="M568" s="1" t="s">
        <v>634</v>
      </c>
      <c r="N568" s="1" t="s">
        <v>1139</v>
      </c>
      <c r="O568" s="1" t="s">
        <v>1189</v>
      </c>
      <c r="P568" s="1" t="s">
        <v>1190</v>
      </c>
      <c r="Q568" s="44">
        <f>IF(L568="922",Multipliers!C192,"oops")</f>
        <v>1.1200000000000001</v>
      </c>
      <c r="R568" s="44">
        <f>IF(M568="Palm Springs",Multipliers!C20, "GOOF")</f>
        <v>1.22</v>
      </c>
      <c r="S568" s="46">
        <f t="shared" si="283"/>
        <v>429436.39200000011</v>
      </c>
      <c r="T568" s="46">
        <f t="shared" si="284"/>
        <v>457472.94040000002</v>
      </c>
      <c r="U568" s="46">
        <f t="shared" si="286"/>
        <v>452898.21099600004</v>
      </c>
      <c r="V568" s="46">
        <f t="shared" si="287"/>
        <v>441167.30149800004</v>
      </c>
      <c r="W568" s="47">
        <f>IF(F568=F569,(V568+V569)/2,IF(F568=F566,(V568+V566)/2,IF(F568&lt;&gt;F566,V568)))</f>
        <v>441167.30149800004</v>
      </c>
      <c r="X568" s="47"/>
      <c r="Y568" s="48">
        <f t="shared" si="288"/>
        <v>350858.28826999996</v>
      </c>
      <c r="Z568" s="48">
        <f t="shared" si="289"/>
        <v>388983.11397400004</v>
      </c>
      <c r="AA568" s="48">
        <f t="shared" si="290"/>
        <v>441167.30149800004</v>
      </c>
      <c r="AB568" s="48">
        <f t="shared" si="291"/>
        <v>476384.69317600003</v>
      </c>
      <c r="AC568" s="48">
        <f t="shared" si="292"/>
        <v>513707.09678400005</v>
      </c>
      <c r="AD568" s="1"/>
      <c r="AE568" s="1"/>
      <c r="AF568" s="1"/>
      <c r="AI568" s="9"/>
      <c r="AJ568" s="1"/>
      <c r="AK568" s="1"/>
      <c r="AL568" s="1"/>
      <c r="AM568" s="1"/>
      <c r="AN568" s="1"/>
      <c r="AO568" s="1"/>
      <c r="AP568" s="9"/>
      <c r="AQ568" s="3"/>
      <c r="AR568" s="4"/>
      <c r="AS568" s="1"/>
      <c r="AT568" s="1"/>
      <c r="AU568" s="1"/>
      <c r="AV568" s="1"/>
      <c r="AW568" s="1"/>
      <c r="AX568" s="3"/>
      <c r="AY568" s="3"/>
      <c r="AZ568" s="5"/>
      <c r="BA568" s="5"/>
      <c r="BB568" s="5"/>
      <c r="BC568" s="5"/>
      <c r="BD568" s="6"/>
      <c r="BE568" s="6"/>
      <c r="BF568" s="12"/>
      <c r="BG568" s="12"/>
      <c r="BH568" s="12"/>
      <c r="BI568" s="12"/>
      <c r="BJ568" s="12"/>
    </row>
    <row r="569" spans="2:62" x14ac:dyDescent="0.25">
      <c r="B569" s="1" t="s">
        <v>421</v>
      </c>
      <c r="C569" s="1" t="s">
        <v>777</v>
      </c>
      <c r="D569" s="1" t="s">
        <v>1190</v>
      </c>
      <c r="E569" s="1" t="s">
        <v>778</v>
      </c>
      <c r="F569" s="1" t="s">
        <v>779</v>
      </c>
      <c r="G569" s="1" t="s">
        <v>1190</v>
      </c>
      <c r="H569" s="1" t="s">
        <v>1190</v>
      </c>
      <c r="I569" s="7" t="s">
        <v>322</v>
      </c>
      <c r="J569" s="44">
        <v>1</v>
      </c>
      <c r="K569" s="45">
        <v>1</v>
      </c>
      <c r="L569" s="1" t="s">
        <v>454</v>
      </c>
      <c r="M569" s="1" t="s">
        <v>455</v>
      </c>
      <c r="N569" s="1" t="s">
        <v>1140</v>
      </c>
      <c r="O569" s="1" t="s">
        <v>1189</v>
      </c>
      <c r="P569" s="1" t="s">
        <v>1190</v>
      </c>
      <c r="Q569" s="44">
        <f>IF(L569="955",Multipliers!C204,"oops")</f>
        <v>1.24</v>
      </c>
      <c r="R569" s="44">
        <f>IF(M569="Eureka",Multipliers!C15, "GOOF")</f>
        <v>1.26</v>
      </c>
      <c r="S569" s="46">
        <f t="shared" ref="S569:S600" si="293">IF(N569="Standard",$O$5*Q569*$O$7,IF(N569="Severe",$O$4*Q569*$O$7,IF(N569="Hostile",$O$3*Q569*$O$7)))</f>
        <v>503529.05680000008</v>
      </c>
      <c r="T569" s="46">
        <f t="shared" ref="T569:T600" si="294">IF(N569="Standard",$P$5*R569*$O$7,IF(N569="Severe",$P$4*R569*$O$7,IF(N569="Hostile",$P$3*R569*$O$7)))</f>
        <v>492627.95820000005</v>
      </c>
      <c r="U569" s="46">
        <f t="shared" si="286"/>
        <v>487701.67861800006</v>
      </c>
      <c r="V569" s="46">
        <f t="shared" si="287"/>
        <v>495615.36770900007</v>
      </c>
      <c r="W569" s="47">
        <f t="shared" ref="W569:W597" si="295">IF(F569=F570,(V569+V570)/2,IF(F569=F568,(V569+V568)/2,IF(F569&lt;&gt;F568,V569)))</f>
        <v>495615.36770900007</v>
      </c>
      <c r="X569" s="47"/>
      <c r="Y569" s="48">
        <f t="shared" si="288"/>
        <v>396032.89341000002</v>
      </c>
      <c r="Z569" s="48">
        <f t="shared" si="289"/>
        <v>437466.69964199996</v>
      </c>
      <c r="AA569" s="48">
        <f t="shared" si="290"/>
        <v>495615.36770900013</v>
      </c>
      <c r="AB569" s="48">
        <f t="shared" si="291"/>
        <v>536734.24695800012</v>
      </c>
      <c r="AC569" s="48">
        <f t="shared" si="292"/>
        <v>578595.56402199995</v>
      </c>
      <c r="AD569" s="1"/>
      <c r="AE569" s="1"/>
      <c r="AF569" s="1"/>
      <c r="AI569" s="9"/>
      <c r="AJ569" s="1"/>
      <c r="AK569" s="1"/>
      <c r="AL569" s="1"/>
      <c r="AM569" s="1"/>
      <c r="AN569" s="1"/>
      <c r="AO569" s="1"/>
      <c r="AP569" s="9"/>
      <c r="AQ569" s="3"/>
      <c r="AR569" s="4"/>
      <c r="AS569" s="1"/>
      <c r="AT569" s="1"/>
      <c r="AU569" s="1"/>
      <c r="AV569" s="1"/>
      <c r="AW569" s="1"/>
      <c r="AX569" s="3"/>
      <c r="AY569" s="3"/>
      <c r="AZ569" s="5"/>
      <c r="BA569" s="5"/>
      <c r="BB569" s="5"/>
      <c r="BC569" s="5"/>
      <c r="BD569" s="6"/>
      <c r="BE569" s="6"/>
      <c r="BF569" s="12"/>
      <c r="BG569" s="12"/>
      <c r="BH569" s="12"/>
      <c r="BI569" s="12"/>
      <c r="BJ569" s="12"/>
    </row>
    <row r="570" spans="2:62" x14ac:dyDescent="0.25">
      <c r="B570" s="1" t="s">
        <v>421</v>
      </c>
      <c r="C570" s="1" t="s">
        <v>780</v>
      </c>
      <c r="D570" s="1" t="s">
        <v>1190</v>
      </c>
      <c r="E570" s="1" t="s">
        <v>781</v>
      </c>
      <c r="F570" s="1" t="s">
        <v>782</v>
      </c>
      <c r="G570" s="1" t="s">
        <v>783</v>
      </c>
      <c r="H570" s="1" t="s">
        <v>784</v>
      </c>
      <c r="I570" s="7" t="s">
        <v>322</v>
      </c>
      <c r="J570" s="44">
        <v>1</v>
      </c>
      <c r="K570" s="45">
        <v>1</v>
      </c>
      <c r="L570" s="1" t="s">
        <v>731</v>
      </c>
      <c r="M570" s="1" t="s">
        <v>466</v>
      </c>
      <c r="N570" s="1" t="s">
        <v>1140</v>
      </c>
      <c r="O570" s="1" t="s">
        <v>1189</v>
      </c>
      <c r="P570" s="1" t="s">
        <v>1190</v>
      </c>
      <c r="Q570" s="44">
        <f>IF(L570="932",Multipliers!C195,"oops")</f>
        <v>1.1200000000000001</v>
      </c>
      <c r="R570" s="44">
        <f>IF(M570="Fresno",Multipliers!C16, "GOOF")</f>
        <v>1.31</v>
      </c>
      <c r="S570" s="46">
        <f t="shared" si="293"/>
        <v>454800.4384000001</v>
      </c>
      <c r="T570" s="46">
        <f t="shared" si="294"/>
        <v>512176.68670000002</v>
      </c>
      <c r="U570" s="46">
        <f t="shared" si="286"/>
        <v>507054.91983299999</v>
      </c>
      <c r="V570" s="46">
        <f t="shared" si="287"/>
        <v>480927.67911650008</v>
      </c>
      <c r="W570" s="47">
        <f t="shared" si="295"/>
        <v>480927.67911650008</v>
      </c>
      <c r="X570" s="47"/>
      <c r="Y570" s="48">
        <f t="shared" si="288"/>
        <v>383390.13058500004</v>
      </c>
      <c r="Z570" s="48">
        <f t="shared" si="289"/>
        <v>423933.88037699996</v>
      </c>
      <c r="AA570" s="48">
        <f t="shared" si="290"/>
        <v>480927.67911650013</v>
      </c>
      <c r="AB570" s="48">
        <f t="shared" si="291"/>
        <v>521179.60922300006</v>
      </c>
      <c r="AC570" s="48">
        <f t="shared" si="292"/>
        <v>561889.35390700004</v>
      </c>
      <c r="AD570" s="1"/>
      <c r="AE570" s="1"/>
      <c r="AF570" s="1"/>
      <c r="AI570" s="9"/>
      <c r="AJ570" s="1"/>
      <c r="AK570" s="1"/>
      <c r="AL570" s="1"/>
      <c r="AM570" s="1"/>
      <c r="AN570" s="1"/>
      <c r="AO570" s="1"/>
      <c r="AP570" s="9"/>
      <c r="AQ570" s="3"/>
      <c r="AR570" s="4"/>
      <c r="AS570" s="1"/>
      <c r="AT570" s="1"/>
      <c r="AU570" s="1"/>
      <c r="AV570" s="1"/>
      <c r="AW570" s="1"/>
      <c r="AX570" s="3"/>
      <c r="AY570" s="3"/>
      <c r="AZ570" s="5"/>
      <c r="BA570" s="5"/>
      <c r="BB570" s="5"/>
      <c r="BC570" s="5"/>
      <c r="BD570" s="6"/>
      <c r="BE570" s="6"/>
      <c r="BF570" s="12"/>
      <c r="BG570" s="12"/>
      <c r="BH570" s="12"/>
      <c r="BI570" s="12"/>
      <c r="BJ570" s="12"/>
    </row>
    <row r="571" spans="2:62" x14ac:dyDescent="0.25">
      <c r="B571" s="1" t="s">
        <v>421</v>
      </c>
      <c r="C571" s="1" t="s">
        <v>785</v>
      </c>
      <c r="D571" s="1" t="s">
        <v>1190</v>
      </c>
      <c r="E571" s="1" t="s">
        <v>786</v>
      </c>
      <c r="F571" s="1" t="s">
        <v>787</v>
      </c>
      <c r="G571" s="1" t="s">
        <v>518</v>
      </c>
      <c r="H571" s="1" t="s">
        <v>519</v>
      </c>
      <c r="I571" s="7" t="s">
        <v>322</v>
      </c>
      <c r="J571" s="44">
        <v>1</v>
      </c>
      <c r="K571" s="45">
        <v>1</v>
      </c>
      <c r="L571" s="1" t="s">
        <v>506</v>
      </c>
      <c r="M571" s="1" t="s">
        <v>426</v>
      </c>
      <c r="N571" s="1" t="s">
        <v>1140</v>
      </c>
      <c r="O571" s="1" t="s">
        <v>1189</v>
      </c>
      <c r="P571" s="1" t="s">
        <v>1190</v>
      </c>
      <c r="Q571" s="44">
        <f>IF(L571="953",Multipliers!C202,"oops")</f>
        <v>1.18</v>
      </c>
      <c r="R571" s="44">
        <f>IF(M571="CALIFORNIA",Multipliers!C14, "GOOF")</f>
        <v>1.22</v>
      </c>
      <c r="S571" s="46">
        <f t="shared" si="293"/>
        <v>479164.74760000006</v>
      </c>
      <c r="T571" s="46">
        <f t="shared" si="294"/>
        <v>476988.9754</v>
      </c>
      <c r="U571" s="46">
        <f t="shared" si="286"/>
        <v>472219.08564599999</v>
      </c>
      <c r="V571" s="46">
        <f t="shared" si="287"/>
        <v>475691.91662300006</v>
      </c>
      <c r="W571" s="47">
        <f t="shared" si="295"/>
        <v>475691.91662300006</v>
      </c>
      <c r="X571" s="47"/>
      <c r="Y571" s="48">
        <f t="shared" si="288"/>
        <v>380002.08476999996</v>
      </c>
      <c r="Z571" s="48">
        <f t="shared" si="289"/>
        <v>419811.47657399997</v>
      </c>
      <c r="AA571" s="48">
        <f t="shared" si="290"/>
        <v>475691.91662300006</v>
      </c>
      <c r="AB571" s="48">
        <f t="shared" si="291"/>
        <v>515200.72112599993</v>
      </c>
      <c r="AC571" s="48">
        <f t="shared" si="292"/>
        <v>555390.09093399998</v>
      </c>
      <c r="AD571" s="1"/>
      <c r="AE571" s="1"/>
      <c r="AF571" s="1"/>
      <c r="AI571" s="9"/>
      <c r="AJ571" s="1"/>
      <c r="AK571" s="1"/>
      <c r="AL571" s="1"/>
      <c r="AM571" s="1"/>
      <c r="AN571" s="1"/>
      <c r="AO571" s="1"/>
      <c r="AP571" s="9"/>
      <c r="AQ571" s="3"/>
      <c r="AR571" s="4"/>
      <c r="AS571" s="1"/>
      <c r="AT571" s="1"/>
      <c r="AU571" s="1"/>
      <c r="AV571" s="1"/>
      <c r="AW571" s="1"/>
      <c r="AX571" s="3"/>
      <c r="AY571" s="3"/>
      <c r="AZ571" s="5"/>
      <c r="BA571" s="5"/>
      <c r="BB571" s="5"/>
      <c r="BC571" s="5"/>
      <c r="BD571" s="6"/>
      <c r="BE571" s="6"/>
      <c r="BF571" s="12"/>
      <c r="BG571" s="12"/>
      <c r="BH571" s="12"/>
      <c r="BI571" s="12"/>
      <c r="BJ571" s="12"/>
    </row>
    <row r="572" spans="2:62" x14ac:dyDescent="0.25">
      <c r="B572" s="1" t="s">
        <v>421</v>
      </c>
      <c r="C572" s="1" t="s">
        <v>788</v>
      </c>
      <c r="D572" s="1" t="s">
        <v>1190</v>
      </c>
      <c r="E572" s="1" t="s">
        <v>789</v>
      </c>
      <c r="F572" s="1" t="s">
        <v>790</v>
      </c>
      <c r="G572" s="1" t="s">
        <v>1190</v>
      </c>
      <c r="H572" s="1" t="s">
        <v>1190</v>
      </c>
      <c r="I572" s="7" t="s">
        <v>322</v>
      </c>
      <c r="J572" s="44">
        <v>1</v>
      </c>
      <c r="K572" s="45">
        <v>1</v>
      </c>
      <c r="L572" s="1" t="s">
        <v>502</v>
      </c>
      <c r="M572" s="1" t="s">
        <v>426</v>
      </c>
      <c r="N572" s="1" t="s">
        <v>1139</v>
      </c>
      <c r="O572" s="1" t="s">
        <v>1189</v>
      </c>
      <c r="P572" s="1" t="s">
        <v>1190</v>
      </c>
      <c r="Q572" s="44">
        <f>IF(L572="923",Multipliers!C193,"oops")</f>
        <v>1.1299999999999999</v>
      </c>
      <c r="R572" s="44">
        <f>IF(M572="CALIFORNIA",Multipliers!C14, "GOOF")</f>
        <v>1.22</v>
      </c>
      <c r="S572" s="46">
        <f t="shared" si="293"/>
        <v>433270.64550000004</v>
      </c>
      <c r="T572" s="46">
        <f t="shared" si="294"/>
        <v>457472.94040000002</v>
      </c>
      <c r="U572" s="46">
        <f t="shared" si="286"/>
        <v>452898.21099600004</v>
      </c>
      <c r="V572" s="46">
        <f t="shared" si="287"/>
        <v>443084.42824800004</v>
      </c>
      <c r="W572" s="47">
        <f t="shared" si="295"/>
        <v>443084.42824800004</v>
      </c>
      <c r="X572" s="47"/>
      <c r="Y572" s="48">
        <f t="shared" si="288"/>
        <v>352433.27076999994</v>
      </c>
      <c r="Z572" s="48">
        <f t="shared" si="289"/>
        <v>390706.21192399994</v>
      </c>
      <c r="AA572" s="48">
        <f t="shared" si="290"/>
        <v>443084.42824800004</v>
      </c>
      <c r="AB572" s="48">
        <f t="shared" si="291"/>
        <v>478433.77517599997</v>
      </c>
      <c r="AC572" s="48">
        <f t="shared" si="292"/>
        <v>515914.32278399996</v>
      </c>
      <c r="AD572" s="1"/>
      <c r="AE572" s="1"/>
      <c r="AF572" s="1"/>
      <c r="AI572" s="9"/>
      <c r="AJ572" s="1"/>
      <c r="AK572" s="1"/>
      <c r="AL572" s="1"/>
      <c r="AM572" s="1"/>
      <c r="AN572" s="1"/>
      <c r="AO572" s="1"/>
      <c r="AP572" s="9"/>
      <c r="AQ572" s="3"/>
      <c r="AR572" s="4"/>
      <c r="AS572" s="1"/>
      <c r="AT572" s="1"/>
      <c r="AU572" s="1"/>
      <c r="AV572" s="1"/>
      <c r="AW572" s="1"/>
      <c r="AX572" s="3"/>
      <c r="AY572" s="3"/>
      <c r="AZ572" s="5"/>
      <c r="BA572" s="5"/>
      <c r="BB572" s="5"/>
      <c r="BC572" s="5"/>
      <c r="BD572" s="6"/>
      <c r="BE572" s="6"/>
      <c r="BF572" s="12"/>
      <c r="BG572" s="12"/>
      <c r="BH572" s="12"/>
      <c r="BI572" s="12"/>
      <c r="BJ572" s="12"/>
    </row>
    <row r="573" spans="2:62" x14ac:dyDescent="0.25">
      <c r="B573" s="1" t="s">
        <v>421</v>
      </c>
      <c r="C573" s="1" t="s">
        <v>791</v>
      </c>
      <c r="D573" s="1" t="s">
        <v>1190</v>
      </c>
      <c r="E573" s="1" t="s">
        <v>792</v>
      </c>
      <c r="F573" s="1" t="s">
        <v>793</v>
      </c>
      <c r="G573" s="1" t="s">
        <v>1190</v>
      </c>
      <c r="H573" s="1" t="s">
        <v>1190</v>
      </c>
      <c r="I573" s="7" t="s">
        <v>322</v>
      </c>
      <c r="J573" s="44">
        <v>1</v>
      </c>
      <c r="K573" s="45">
        <v>1</v>
      </c>
      <c r="L573" s="1" t="s">
        <v>470</v>
      </c>
      <c r="M573" s="1" t="s">
        <v>426</v>
      </c>
      <c r="N573" s="1" t="s">
        <v>1140</v>
      </c>
      <c r="O573" s="1" t="s">
        <v>1189</v>
      </c>
      <c r="P573" s="1" t="s">
        <v>1190</v>
      </c>
      <c r="Q573" s="44">
        <f>IF(L573="954",Multipliers!C203,"oops")</f>
        <v>1.27</v>
      </c>
      <c r="R573" s="44">
        <f>IF(M573="CALIFORNIA",Multipliers!C14, "GOOF")</f>
        <v>1.22</v>
      </c>
      <c r="S573" s="46">
        <f t="shared" si="293"/>
        <v>515711.21140000003</v>
      </c>
      <c r="T573" s="46">
        <f t="shared" si="294"/>
        <v>476988.9754</v>
      </c>
      <c r="U573" s="46">
        <f t="shared" si="286"/>
        <v>472219.08564599999</v>
      </c>
      <c r="V573" s="46">
        <f t="shared" si="287"/>
        <v>493965.14852300001</v>
      </c>
      <c r="W573" s="47">
        <f t="shared" si="295"/>
        <v>493965.14852300001</v>
      </c>
      <c r="X573" s="47"/>
      <c r="Y573" s="48">
        <f t="shared" si="288"/>
        <v>395085.74952000001</v>
      </c>
      <c r="Z573" s="48">
        <f t="shared" si="289"/>
        <v>436243.09877399995</v>
      </c>
      <c r="AA573" s="48">
        <f t="shared" si="290"/>
        <v>493965.14852300007</v>
      </c>
      <c r="AB573" s="48">
        <f t="shared" si="291"/>
        <v>534802.97267599998</v>
      </c>
      <c r="AC573" s="48">
        <f t="shared" si="292"/>
        <v>576488.42238400003</v>
      </c>
      <c r="AD573" s="1"/>
      <c r="AE573" s="1"/>
      <c r="AF573" s="1"/>
      <c r="AI573" s="9"/>
      <c r="AJ573" s="1"/>
      <c r="AK573" s="1"/>
      <c r="AL573" s="1"/>
      <c r="AM573" s="1"/>
      <c r="AN573" s="1"/>
      <c r="AO573" s="1"/>
      <c r="AP573" s="9"/>
      <c r="AQ573" s="3"/>
      <c r="AR573" s="4"/>
      <c r="AS573" s="1"/>
      <c r="AT573" s="1"/>
      <c r="AU573" s="1"/>
      <c r="AV573" s="1"/>
      <c r="AW573" s="1"/>
      <c r="AX573" s="3"/>
      <c r="AY573" s="3"/>
      <c r="AZ573" s="5"/>
      <c r="BA573" s="5"/>
      <c r="BB573" s="5"/>
      <c r="BC573" s="5"/>
      <c r="BD573" s="6"/>
      <c r="BE573" s="6"/>
      <c r="BF573" s="12"/>
      <c r="BG573" s="12"/>
      <c r="BH573" s="12"/>
      <c r="BI573" s="12"/>
      <c r="BJ573" s="12"/>
    </row>
    <row r="574" spans="2:62" x14ac:dyDescent="0.25">
      <c r="B574" s="1" t="s">
        <v>421</v>
      </c>
      <c r="C574" s="1" t="s">
        <v>794</v>
      </c>
      <c r="D574" s="1" t="s">
        <v>1190</v>
      </c>
      <c r="E574" s="1" t="s">
        <v>795</v>
      </c>
      <c r="F574" s="1" t="s">
        <v>796</v>
      </c>
      <c r="G574" s="1" t="s">
        <v>1190</v>
      </c>
      <c r="H574" s="1" t="s">
        <v>1190</v>
      </c>
      <c r="I574" s="7" t="s">
        <v>322</v>
      </c>
      <c r="J574" s="44">
        <v>1</v>
      </c>
      <c r="K574" s="45">
        <v>1</v>
      </c>
      <c r="L574" s="1" t="s">
        <v>461</v>
      </c>
      <c r="M574" s="1" t="s">
        <v>426</v>
      </c>
      <c r="N574" s="1" t="s">
        <v>1140</v>
      </c>
      <c r="O574" s="1" t="s">
        <v>1189</v>
      </c>
      <c r="P574" s="1" t="s">
        <v>1190</v>
      </c>
      <c r="Q574" s="44">
        <f>IF(L574="935",Multipliers!C197,"oops")</f>
        <v>1.1299999999999999</v>
      </c>
      <c r="R574" s="44">
        <f>IF(M574="CALIFORNIA",Multipliers!C14, "GOOF")</f>
        <v>1.22</v>
      </c>
      <c r="S574" s="46">
        <f t="shared" si="293"/>
        <v>458861.15659999999</v>
      </c>
      <c r="T574" s="46">
        <f t="shared" si="294"/>
        <v>476988.9754</v>
      </c>
      <c r="U574" s="46">
        <f t="shared" si="286"/>
        <v>472219.08564599999</v>
      </c>
      <c r="V574" s="46">
        <f t="shared" si="287"/>
        <v>465540.12112299999</v>
      </c>
      <c r="W574" s="47">
        <f t="shared" si="295"/>
        <v>465540.12112299999</v>
      </c>
      <c r="X574" s="47"/>
      <c r="Y574" s="48">
        <f t="shared" si="288"/>
        <v>371622.27102000004</v>
      </c>
      <c r="Z574" s="48">
        <f t="shared" si="289"/>
        <v>410682.79757399991</v>
      </c>
      <c r="AA574" s="48">
        <f t="shared" si="290"/>
        <v>465540.12112300005</v>
      </c>
      <c r="AB574" s="48">
        <f t="shared" si="291"/>
        <v>504310.58137600002</v>
      </c>
      <c r="AC574" s="48">
        <f t="shared" si="292"/>
        <v>543668.7956839999</v>
      </c>
      <c r="AD574" s="1"/>
      <c r="AE574" s="1"/>
      <c r="AF574" s="1"/>
      <c r="AI574" s="9"/>
      <c r="AJ574" s="1"/>
      <c r="AK574" s="1"/>
      <c r="AL574" s="1"/>
      <c r="AM574" s="1"/>
      <c r="AN574" s="1"/>
      <c r="AO574" s="1"/>
      <c r="AP574" s="9"/>
      <c r="AQ574" s="3"/>
      <c r="AR574" s="4"/>
      <c r="AS574" s="1"/>
      <c r="AT574" s="1"/>
      <c r="AU574" s="1"/>
      <c r="AV574" s="1"/>
      <c r="AW574" s="1"/>
      <c r="AX574" s="3"/>
      <c r="AY574" s="3"/>
      <c r="AZ574" s="5"/>
      <c r="BA574" s="5"/>
      <c r="BB574" s="5"/>
      <c r="BC574" s="5"/>
      <c r="BD574" s="6"/>
      <c r="BE574" s="6"/>
      <c r="BF574" s="12"/>
      <c r="BG574" s="12"/>
      <c r="BH574" s="12"/>
      <c r="BI574" s="12"/>
      <c r="BJ574" s="12"/>
    </row>
    <row r="575" spans="2:62" x14ac:dyDescent="0.25">
      <c r="B575" s="84" t="s">
        <v>421</v>
      </c>
      <c r="C575" s="1" t="s">
        <v>797</v>
      </c>
      <c r="D575" s="1" t="s">
        <v>1190</v>
      </c>
      <c r="E575" s="1" t="s">
        <v>798</v>
      </c>
      <c r="F575" s="1" t="s">
        <v>799</v>
      </c>
      <c r="G575" s="1" t="s">
        <v>441</v>
      </c>
      <c r="H575" s="1" t="s">
        <v>442</v>
      </c>
      <c r="I575" s="7" t="s">
        <v>322</v>
      </c>
      <c r="J575" s="44">
        <v>1</v>
      </c>
      <c r="K575" s="45">
        <v>1</v>
      </c>
      <c r="L575" s="1" t="s">
        <v>443</v>
      </c>
      <c r="M575" s="1" t="s">
        <v>444</v>
      </c>
      <c r="N575" s="1" t="s">
        <v>1139</v>
      </c>
      <c r="O575" s="1" t="s">
        <v>1189</v>
      </c>
      <c r="P575" s="1" t="s">
        <v>1190</v>
      </c>
      <c r="Q575" s="44">
        <f>IF(L575="921",Multipliers!C191,"oops")</f>
        <v>1.1000000000000001</v>
      </c>
      <c r="R575" s="44">
        <f>IF(M575="San Diego",Multipliers!C22, "GOOF")</f>
        <v>1.17</v>
      </c>
      <c r="S575" s="46">
        <f t="shared" si="293"/>
        <v>421767.88500000013</v>
      </c>
      <c r="T575" s="46">
        <f t="shared" si="294"/>
        <v>438724.04939999996</v>
      </c>
      <c r="U575" s="46">
        <f t="shared" si="286"/>
        <v>434336.80890599993</v>
      </c>
      <c r="V575" s="46">
        <f t="shared" si="287"/>
        <v>428052.34695300006</v>
      </c>
      <c r="W575" s="47">
        <f>IF(F575=F577,(V575+V577)/2,IF(F575=F574,(V575+V574)/2,IF(F575&lt;&gt;F574,V575)))</f>
        <v>428052.34695300006</v>
      </c>
      <c r="X575" s="47"/>
      <c r="Y575" s="48">
        <f t="shared" si="288"/>
        <v>340558.31309499999</v>
      </c>
      <c r="Z575" s="48">
        <f t="shared" si="289"/>
        <v>377504.28923900001</v>
      </c>
      <c r="AA575" s="48">
        <f t="shared" si="290"/>
        <v>428052.34695300006</v>
      </c>
      <c r="AB575" s="48">
        <f t="shared" si="291"/>
        <v>462168.18863599998</v>
      </c>
      <c r="AC575" s="48">
        <f t="shared" si="292"/>
        <v>498370.60442400002</v>
      </c>
      <c r="AD575" s="1"/>
      <c r="AE575" s="1"/>
      <c r="AF575" s="1"/>
      <c r="AI575" s="9"/>
      <c r="AJ575" s="1"/>
      <c r="AK575" s="1"/>
      <c r="AL575" s="1"/>
      <c r="AM575" s="1"/>
      <c r="AN575" s="1"/>
      <c r="AO575" s="1"/>
      <c r="AP575" s="9"/>
      <c r="AQ575" s="3"/>
      <c r="AR575" s="4"/>
      <c r="AS575" s="1"/>
      <c r="AT575" s="1"/>
      <c r="AU575" s="1"/>
      <c r="AV575" s="1"/>
      <c r="AW575" s="1"/>
      <c r="AX575" s="3"/>
      <c r="AY575" s="3"/>
      <c r="AZ575" s="5"/>
      <c r="BA575" s="5"/>
      <c r="BB575" s="5"/>
      <c r="BC575" s="5"/>
      <c r="BD575" s="6"/>
      <c r="BE575" s="6"/>
      <c r="BF575" s="12"/>
      <c r="BG575" s="12"/>
      <c r="BH575" s="12"/>
      <c r="BI575" s="12"/>
      <c r="BJ575" s="12"/>
    </row>
    <row r="576" spans="2:62" x14ac:dyDescent="0.25">
      <c r="B576" s="1" t="s">
        <v>421</v>
      </c>
      <c r="C576" s="1" t="s">
        <v>797</v>
      </c>
      <c r="D576" s="1" t="s">
        <v>1190</v>
      </c>
      <c r="E576" s="85" t="s">
        <v>2658</v>
      </c>
      <c r="F576" s="84" t="s">
        <v>2656</v>
      </c>
      <c r="G576" s="84" t="s">
        <v>2659</v>
      </c>
      <c r="H576" s="84" t="s">
        <v>2656</v>
      </c>
      <c r="I576" s="7" t="s">
        <v>322</v>
      </c>
      <c r="J576" s="44">
        <v>1</v>
      </c>
      <c r="K576" s="45">
        <v>1</v>
      </c>
      <c r="L576" s="85" t="s">
        <v>2660</v>
      </c>
      <c r="M576" s="84" t="s">
        <v>2657</v>
      </c>
      <c r="N576" s="1" t="s">
        <v>1139</v>
      </c>
      <c r="O576" s="1" t="s">
        <v>1189</v>
      </c>
      <c r="P576" s="1" t="s">
        <v>1190</v>
      </c>
      <c r="Q576" s="44">
        <f>IF(L576="957",Multipliers!C209,"oops")</f>
        <v>1.24</v>
      </c>
      <c r="R576" s="44">
        <f>IF(M576="Sacramento",Multipliers!C26, "GOOF")</f>
        <v>1.24</v>
      </c>
      <c r="S576" s="46">
        <f>IF(N576="Standard",$O$5*Q576*$O$7,IF(N576="Severe",$O$4*Q576*$O$7,IF(N576="Hostile",$O$3*Q576*$O$7)))</f>
        <v>475447.43400000001</v>
      </c>
      <c r="T576" s="46">
        <f>IF(N576="Standard",$P$5*R576*$O$7,IF(N576="Severe",$P$4*R576*$O$7,IF(N576="Hostile",$P$3*R576*$O$7)))</f>
        <v>464972.49679999996</v>
      </c>
      <c r="U576" s="46">
        <f>IF(O576="E",$T$3*T576,IF(O576="C",$T$4*T576,IF(O576="W",$T$5*T576,1)))</f>
        <v>460322.77183199994</v>
      </c>
      <c r="V576" s="46">
        <f>(S576+U576)/2</f>
        <v>467885.10291599995</v>
      </c>
      <c r="W576" s="47">
        <f>IF(F576=F578,(V576+V578)/2,IF(F576=F575,(V576+V575)/2,IF(F576&lt;&gt;F575,V576)))</f>
        <v>467885.10291599995</v>
      </c>
      <c r="X576" s="47"/>
      <c r="Y576" s="48">
        <f>IF(N576="Standard",(((($Z$3*Q576)+($AD$3*R576*$T$5))/2)*$O$7),IF(N576="Severe",(((($AA$3*Q576)+($AE$3*R576*$T$5))/2)*$O$7),IF(N576="Hostile",(((($AB$3*Q576)+($AF$3*R576*$T$5))/2)*$O$7))))</f>
        <v>372618.08234000002</v>
      </c>
      <c r="Z576" s="48">
        <f>IF(N576="Standard",(((($Z$4*Q576)+($AD$4*R576*$T$5))/2)*$O$7),IF(N576="Severe",(((($AA$4*Q576)+($AE$4*R576*$T$5))/2)*$O$7),IF(N576="Hostile",(((($AB$4*Q576)+($AF$4*R576*$T$5))/2)*$O$7))))</f>
        <v>412873.34090799995</v>
      </c>
      <c r="AA576" s="48">
        <f>IF(N576="Standard",((($Z$5*Q576)+($AD$5*R576*$T$5))/2)*$O$7,IF(N576="Severe",((($AA$5*Q576)+($AE$5*R576*$T$5))/2)*$O$7,IF(N576="Hostile",((($AB$5*Q576)+($AF$5*R576*$T$5))/2)*$O$7)))</f>
        <v>467885.102916</v>
      </c>
      <c r="AB576" s="48">
        <f>IF(N576="Standard",((($Z$6*Q576)+($AD$6*R576*$T$5))/2)*$O$7,IF(N576="Severe",((($AA$6*Q576)+($AE$6*R576*$T$5))/2)*$O$7,IF(N576="Hostile",((($AB$6*Q576)+($AF$6*R576*$T$5))/2)*$O$7)))</f>
        <v>505021.01339199988</v>
      </c>
      <c r="AC576" s="48">
        <f>IF(N576="Standard",((($Z$7*Q576)+($AD$7*R576*$T$5))/2)*$O$7,IF(N576="Severe",((($AA$7*Q576)+($AE$7*R576*$T$5))/2)*$O$7,IF(N576="Hostile",((($AB$7*Q576)+($AF$7*R576*$T$5))/2)*$O$7)))</f>
        <v>544562.62492800003</v>
      </c>
      <c r="AD576" s="1"/>
      <c r="AE576" s="1"/>
      <c r="AF576" s="1"/>
      <c r="AI576" s="9"/>
      <c r="AJ576" s="1"/>
      <c r="AK576" s="1"/>
      <c r="AL576" s="1"/>
      <c r="AM576" s="1"/>
      <c r="AN576" s="1"/>
      <c r="AO576" s="1"/>
      <c r="AP576" s="9"/>
      <c r="AQ576" s="3"/>
      <c r="AR576" s="4"/>
      <c r="AS576" s="1"/>
      <c r="AT576" s="1"/>
      <c r="AU576" s="1"/>
      <c r="AV576" s="1"/>
      <c r="AW576" s="1"/>
      <c r="AX576" s="3"/>
      <c r="AY576" s="3"/>
      <c r="AZ576" s="5"/>
      <c r="BA576" s="5"/>
      <c r="BB576" s="5"/>
      <c r="BC576" s="5"/>
      <c r="BD576" s="6"/>
      <c r="BE576" s="6"/>
      <c r="BF576" s="12"/>
      <c r="BG576" s="12"/>
      <c r="BH576" s="12"/>
      <c r="BI576" s="12"/>
      <c r="BJ576" s="12"/>
    </row>
    <row r="577" spans="2:62" x14ac:dyDescent="0.25">
      <c r="B577" s="1" t="s">
        <v>421</v>
      </c>
      <c r="C577" s="1" t="s">
        <v>800</v>
      </c>
      <c r="D577" s="1" t="s">
        <v>1190</v>
      </c>
      <c r="E577" s="1" t="s">
        <v>801</v>
      </c>
      <c r="F577" s="1" t="s">
        <v>802</v>
      </c>
      <c r="G577" s="1" t="s">
        <v>803</v>
      </c>
      <c r="H577" s="1" t="s">
        <v>804</v>
      </c>
      <c r="I577" s="7" t="s">
        <v>322</v>
      </c>
      <c r="J577" s="44">
        <v>1</v>
      </c>
      <c r="K577" s="45">
        <v>1</v>
      </c>
      <c r="L577" s="1" t="s">
        <v>454</v>
      </c>
      <c r="M577" s="1" t="s">
        <v>455</v>
      </c>
      <c r="N577" s="1" t="s">
        <v>1140</v>
      </c>
      <c r="O577" s="1" t="s">
        <v>1189</v>
      </c>
      <c r="P577" s="1" t="s">
        <v>1190</v>
      </c>
      <c r="Q577" s="44">
        <f>IF(L577="955",Multipliers!C204,"oops")</f>
        <v>1.24</v>
      </c>
      <c r="R577" s="44">
        <f>IF(M577="Eureka",Multipliers!C15, "GOOF")</f>
        <v>1.26</v>
      </c>
      <c r="S577" s="46">
        <f t="shared" si="293"/>
        <v>503529.05680000008</v>
      </c>
      <c r="T577" s="46">
        <f t="shared" si="294"/>
        <v>492627.95820000005</v>
      </c>
      <c r="U577" s="46">
        <f t="shared" si="286"/>
        <v>487701.67861800006</v>
      </c>
      <c r="V577" s="46">
        <f t="shared" si="287"/>
        <v>495615.36770900007</v>
      </c>
      <c r="W577" s="47">
        <f>IF(F577=F578,(V577+V578)/2,IF(F577=F575,(V577+V575)/2,IF(F577&lt;&gt;F575,V577)))</f>
        <v>495615.36770900007</v>
      </c>
      <c r="X577" s="47"/>
      <c r="Y577" s="48">
        <f t="shared" si="288"/>
        <v>396032.89341000002</v>
      </c>
      <c r="Z577" s="48">
        <f t="shared" si="289"/>
        <v>437466.69964199996</v>
      </c>
      <c r="AA577" s="48">
        <f t="shared" si="290"/>
        <v>495615.36770900013</v>
      </c>
      <c r="AB577" s="48">
        <f t="shared" si="291"/>
        <v>536734.24695800012</v>
      </c>
      <c r="AC577" s="48">
        <f t="shared" si="292"/>
        <v>578595.56402199995</v>
      </c>
      <c r="AD577" s="1"/>
      <c r="AE577" s="1"/>
      <c r="AF577" s="1"/>
      <c r="AI577" s="9"/>
      <c r="AJ577" s="1"/>
      <c r="AK577" s="1"/>
      <c r="AL577" s="1"/>
      <c r="AM577" s="1"/>
      <c r="AN577" s="1"/>
      <c r="AO577" s="1"/>
      <c r="AP577" s="9"/>
      <c r="AQ577" s="3"/>
      <c r="AR577" s="4"/>
      <c r="AS577" s="1"/>
      <c r="AT577" s="1"/>
      <c r="AU577" s="1"/>
      <c r="AV577" s="1"/>
      <c r="AW577" s="1"/>
      <c r="AX577" s="3"/>
      <c r="AY577" s="3"/>
      <c r="AZ577" s="5"/>
      <c r="BA577" s="5"/>
      <c r="BB577" s="5"/>
      <c r="BC577" s="5"/>
      <c r="BD577" s="6"/>
      <c r="BE577" s="6"/>
      <c r="BF577" s="12"/>
      <c r="BG577" s="12"/>
      <c r="BH577" s="12"/>
      <c r="BI577" s="12"/>
      <c r="BJ577" s="12"/>
    </row>
    <row r="578" spans="2:62" x14ac:dyDescent="0.25">
      <c r="B578" s="1" t="s">
        <v>805</v>
      </c>
      <c r="C578" s="1" t="s">
        <v>806</v>
      </c>
      <c r="D578" s="1" t="s">
        <v>1190</v>
      </c>
      <c r="E578" s="1" t="s">
        <v>807</v>
      </c>
      <c r="F578" s="1" t="s">
        <v>808</v>
      </c>
      <c r="G578" s="1" t="s">
        <v>809</v>
      </c>
      <c r="H578" s="1" t="s">
        <v>810</v>
      </c>
      <c r="I578" s="7" t="s">
        <v>322</v>
      </c>
      <c r="J578" s="44">
        <v>1</v>
      </c>
      <c r="K578" s="45">
        <v>1</v>
      </c>
      <c r="L578" s="1" t="s">
        <v>811</v>
      </c>
      <c r="M578" s="1" t="s">
        <v>812</v>
      </c>
      <c r="N578" s="1" t="s">
        <v>1140</v>
      </c>
      <c r="O578" s="1" t="s">
        <v>1189</v>
      </c>
      <c r="P578" s="1" t="s">
        <v>1190</v>
      </c>
      <c r="Q578" s="44">
        <f>IF(L578="870",Multipliers!C305,"oops")</f>
        <v>0.85</v>
      </c>
      <c r="R578" s="44">
        <f>IF(M578="New Mexico",Multipliers!C96, "GOOF")</f>
        <v>0.92</v>
      </c>
      <c r="S578" s="46">
        <f t="shared" si="293"/>
        <v>345161.04700000002</v>
      </c>
      <c r="T578" s="46">
        <f t="shared" si="294"/>
        <v>359696.60440000001</v>
      </c>
      <c r="U578" s="46">
        <f t="shared" ref="U578:U610" si="296">IF(O578="E",$T$3*T578,IF(O578="C",$T$4*T578,IF(O578="W",$T$5*T578,1)))</f>
        <v>356099.63835600001</v>
      </c>
      <c r="V578" s="46">
        <f t="shared" ref="V578:V610" si="297">(S578+U578)/2</f>
        <v>350630.34267799999</v>
      </c>
      <c r="W578" s="47">
        <f t="shared" si="295"/>
        <v>350630.34267799999</v>
      </c>
      <c r="X578" s="47"/>
      <c r="Y578" s="48">
        <f t="shared" ref="Y578:Y610" si="298">IF(N578="Standard",(((($Z$3*Q578)+($AD$3*R578*$T$5))/2)*$O$7),IF(N578="Severe",(((($AA$3*Q578)+($AE$3*R578*$T$5))/2)*$O$7),IF(N578="Hostile",(((($AB$3*Q578)+($AF$3*R578*$T$5))/2)*$O$7))))</f>
        <v>279882.57296999998</v>
      </c>
      <c r="Z578" s="48">
        <f t="shared" ref="Z578:Z610" si="299">IF(N578="Standard",(((($Z$4*Q578)+($AD$4*R578*$T$5))/2)*$O$7),IF(N578="Severe",(((($AA$4*Q578)+($AE$4*R578*$T$5))/2)*$O$7),IF(N578="Hostile",(((($AB$4*Q578)+($AF$4*R578*$T$5))/2)*$O$7))))</f>
        <v>309306.133164</v>
      </c>
      <c r="AA578" s="48">
        <f t="shared" si="290"/>
        <v>350630.34267799999</v>
      </c>
      <c r="AB578" s="48">
        <f t="shared" si="291"/>
        <v>379835.61278600001</v>
      </c>
      <c r="AC578" s="48">
        <f t="shared" si="292"/>
        <v>409480.15137400007</v>
      </c>
      <c r="AD578" s="1"/>
      <c r="AE578" s="1"/>
      <c r="AF578" s="1"/>
      <c r="AI578" s="9"/>
      <c r="AJ578" s="1"/>
      <c r="AK578" s="1"/>
      <c r="AL578" s="1"/>
      <c r="AM578" s="7"/>
      <c r="AN578" s="1"/>
      <c r="AO578" s="1"/>
      <c r="AP578" s="9"/>
      <c r="AQ578" s="3"/>
      <c r="AR578" s="4"/>
      <c r="AS578" s="1"/>
      <c r="AT578" s="1"/>
      <c r="AU578" s="1"/>
      <c r="AV578" s="1"/>
      <c r="AW578" s="1"/>
      <c r="AX578" s="3"/>
      <c r="AY578" s="3"/>
      <c r="AZ578" s="5"/>
      <c r="BA578" s="5"/>
      <c r="BB578" s="5"/>
      <c r="BC578" s="5"/>
      <c r="BD578" s="6"/>
      <c r="BE578" s="6"/>
      <c r="BF578" s="12"/>
      <c r="BG578" s="12"/>
      <c r="BH578" s="12"/>
      <c r="BI578" s="12"/>
      <c r="BJ578" s="12"/>
    </row>
    <row r="579" spans="2:62" x14ac:dyDescent="0.25">
      <c r="B579" s="1" t="s">
        <v>805</v>
      </c>
      <c r="C579" s="1" t="s">
        <v>813</v>
      </c>
      <c r="D579" s="1" t="s">
        <v>1190</v>
      </c>
      <c r="E579" s="1" t="s">
        <v>814</v>
      </c>
      <c r="F579" s="1" t="s">
        <v>815</v>
      </c>
      <c r="G579" s="1" t="s">
        <v>809</v>
      </c>
      <c r="H579" s="1" t="s">
        <v>810</v>
      </c>
      <c r="I579" s="7" t="s">
        <v>322</v>
      </c>
      <c r="J579" s="44">
        <v>1</v>
      </c>
      <c r="K579" s="45">
        <v>1</v>
      </c>
      <c r="L579" s="1" t="s">
        <v>816</v>
      </c>
      <c r="M579" s="1" t="s">
        <v>812</v>
      </c>
      <c r="N579" s="1" t="s">
        <v>1140</v>
      </c>
      <c r="O579" s="1" t="s">
        <v>1189</v>
      </c>
      <c r="P579" s="1" t="s">
        <v>1190</v>
      </c>
      <c r="Q579" s="44">
        <f>IF(L579="871",Multipliers!C306,"oops")</f>
        <v>0.85</v>
      </c>
      <c r="R579" s="44">
        <f>IF(M579="New Mexico",Multipliers!C96, "GOOF")</f>
        <v>0.92</v>
      </c>
      <c r="S579" s="46">
        <f t="shared" si="293"/>
        <v>345161.04700000002</v>
      </c>
      <c r="T579" s="46">
        <f t="shared" si="294"/>
        <v>359696.60440000001</v>
      </c>
      <c r="U579" s="46">
        <f t="shared" si="296"/>
        <v>356099.63835600001</v>
      </c>
      <c r="V579" s="46">
        <f t="shared" si="297"/>
        <v>350630.34267799999</v>
      </c>
      <c r="W579" s="47">
        <f t="shared" si="295"/>
        <v>350630.34267799999</v>
      </c>
      <c r="X579" s="47"/>
      <c r="Y579" s="48">
        <f t="shared" si="298"/>
        <v>279882.57296999998</v>
      </c>
      <c r="Z579" s="48">
        <f t="shared" si="299"/>
        <v>309306.133164</v>
      </c>
      <c r="AA579" s="48">
        <f t="shared" si="290"/>
        <v>350630.34267799999</v>
      </c>
      <c r="AB579" s="48">
        <f t="shared" si="291"/>
        <v>379835.61278600001</v>
      </c>
      <c r="AC579" s="48">
        <f t="shared" si="292"/>
        <v>409480.15137400007</v>
      </c>
      <c r="AD579" s="1"/>
      <c r="AE579" s="1"/>
      <c r="AF579" s="1"/>
      <c r="AI579" s="9"/>
      <c r="AJ579" s="1"/>
      <c r="AK579" s="1"/>
      <c r="AL579" s="1"/>
      <c r="AM579" s="1"/>
      <c r="AN579" s="1"/>
      <c r="AO579" s="1"/>
      <c r="AP579" s="9"/>
      <c r="AQ579" s="3"/>
      <c r="AR579" s="4"/>
      <c r="AS579" s="1"/>
      <c r="AT579" s="1"/>
      <c r="AU579" s="1"/>
      <c r="AV579" s="1"/>
      <c r="AW579" s="1"/>
      <c r="AX579" s="3"/>
      <c r="AY579" s="3"/>
      <c r="AZ579" s="5"/>
      <c r="BA579" s="5"/>
      <c r="BB579" s="5"/>
      <c r="BC579" s="5"/>
      <c r="BD579" s="6"/>
      <c r="BE579" s="6"/>
      <c r="BF579" s="12"/>
      <c r="BG579" s="12"/>
      <c r="BH579" s="12"/>
      <c r="BI579" s="12"/>
      <c r="BJ579" s="12"/>
    </row>
    <row r="580" spans="2:62" x14ac:dyDescent="0.25">
      <c r="B580" s="1" t="s">
        <v>805</v>
      </c>
      <c r="C580" s="1" t="s">
        <v>817</v>
      </c>
      <c r="D580" s="1" t="s">
        <v>1190</v>
      </c>
      <c r="E580" s="1" t="s">
        <v>818</v>
      </c>
      <c r="F580" s="1" t="s">
        <v>819</v>
      </c>
      <c r="G580" s="1" t="s">
        <v>809</v>
      </c>
      <c r="H580" s="1" t="s">
        <v>810</v>
      </c>
      <c r="I580" s="7" t="s">
        <v>322</v>
      </c>
      <c r="J580" s="44">
        <v>1</v>
      </c>
      <c r="K580" s="45">
        <v>1</v>
      </c>
      <c r="L580" s="1" t="s">
        <v>811</v>
      </c>
      <c r="M580" s="1" t="s">
        <v>820</v>
      </c>
      <c r="N580" s="1" t="s">
        <v>1140</v>
      </c>
      <c r="O580" s="1" t="s">
        <v>1189</v>
      </c>
      <c r="P580" s="1" t="s">
        <v>1190</v>
      </c>
      <c r="Q580" s="44">
        <f>IF(L580="870",Multipliers!C305,"oops")</f>
        <v>0.85</v>
      </c>
      <c r="R580" s="44">
        <f>IF(M580="Albuquerque",Multipliers!C98, "GOOF")</f>
        <v>0.9</v>
      </c>
      <c r="S580" s="46">
        <f t="shared" si="293"/>
        <v>345161.04700000002</v>
      </c>
      <c r="T580" s="46">
        <f t="shared" si="294"/>
        <v>351877.11300000001</v>
      </c>
      <c r="U580" s="46">
        <f t="shared" si="296"/>
        <v>348358.34187</v>
      </c>
      <c r="V580" s="46">
        <f t="shared" si="297"/>
        <v>346759.69443500001</v>
      </c>
      <c r="W580" s="47">
        <f t="shared" si="295"/>
        <v>346759.69443500001</v>
      </c>
      <c r="X580" s="47"/>
      <c r="Y580" s="48">
        <f t="shared" si="298"/>
        <v>276895.05690000003</v>
      </c>
      <c r="Z580" s="48">
        <f t="shared" si="299"/>
        <v>305955.72902999993</v>
      </c>
      <c r="AA580" s="48">
        <f t="shared" si="290"/>
        <v>346759.69443500007</v>
      </c>
      <c r="AB580" s="48">
        <f t="shared" si="291"/>
        <v>375602.93371999997</v>
      </c>
      <c r="AC580" s="48">
        <f t="shared" si="292"/>
        <v>404910.19198</v>
      </c>
      <c r="AD580" s="1"/>
      <c r="AE580" s="1"/>
      <c r="AF580" s="1"/>
      <c r="AI580" s="9"/>
      <c r="AJ580" s="1"/>
      <c r="AK580" s="1"/>
      <c r="AL580" s="1"/>
      <c r="AM580" s="1"/>
      <c r="AN580" s="1"/>
      <c r="AO580" s="1"/>
      <c r="AP580" s="9"/>
      <c r="AQ580" s="3"/>
      <c r="AR580" s="4"/>
      <c r="AS580" s="1"/>
      <c r="AT580" s="1"/>
      <c r="AU580" s="1"/>
      <c r="AV580" s="1"/>
      <c r="AW580" s="1"/>
      <c r="AX580" s="3"/>
      <c r="AY580" s="3"/>
      <c r="AZ580" s="5"/>
      <c r="BA580" s="5"/>
      <c r="BB580" s="5"/>
      <c r="BC580" s="5"/>
      <c r="BD580" s="6"/>
      <c r="BE580" s="6"/>
      <c r="BF580" s="12"/>
      <c r="BG580" s="12"/>
      <c r="BH580" s="12"/>
      <c r="BI580" s="12"/>
      <c r="BJ580" s="12"/>
    </row>
    <row r="581" spans="2:62" x14ac:dyDescent="0.25">
      <c r="B581" s="1" t="s">
        <v>805</v>
      </c>
      <c r="C581" s="1" t="s">
        <v>821</v>
      </c>
      <c r="D581" s="1" t="s">
        <v>1190</v>
      </c>
      <c r="E581" s="1" t="s">
        <v>822</v>
      </c>
      <c r="F581" s="1" t="s">
        <v>823</v>
      </c>
      <c r="G581" s="1" t="s">
        <v>809</v>
      </c>
      <c r="H581" s="1" t="s">
        <v>810</v>
      </c>
      <c r="I581" s="7" t="s">
        <v>322</v>
      </c>
      <c r="J581" s="44">
        <v>1</v>
      </c>
      <c r="K581" s="45">
        <v>1</v>
      </c>
      <c r="L581" s="1" t="s">
        <v>816</v>
      </c>
      <c r="M581" s="1" t="s">
        <v>812</v>
      </c>
      <c r="N581" s="1" t="s">
        <v>1140</v>
      </c>
      <c r="O581" s="1" t="s">
        <v>1189</v>
      </c>
      <c r="P581" s="1" t="s">
        <v>1190</v>
      </c>
      <c r="Q581" s="44">
        <f>IF(L581="871",Multipliers!C306,"oops")</f>
        <v>0.85</v>
      </c>
      <c r="R581" s="44">
        <f>IF(M581="New Mexico",Multipliers!C96, "GOOF")</f>
        <v>0.92</v>
      </c>
      <c r="S581" s="46">
        <f t="shared" si="293"/>
        <v>345161.04700000002</v>
      </c>
      <c r="T581" s="46">
        <f t="shared" si="294"/>
        <v>359696.60440000001</v>
      </c>
      <c r="U581" s="46">
        <f t="shared" si="296"/>
        <v>356099.63835600001</v>
      </c>
      <c r="V581" s="46">
        <f t="shared" si="297"/>
        <v>350630.34267799999</v>
      </c>
      <c r="W581" s="47">
        <f t="shared" si="295"/>
        <v>350630.34267799999</v>
      </c>
      <c r="X581" s="47"/>
      <c r="Y581" s="48">
        <f t="shared" si="298"/>
        <v>279882.57296999998</v>
      </c>
      <c r="Z581" s="48">
        <f t="shared" si="299"/>
        <v>309306.133164</v>
      </c>
      <c r="AA581" s="48">
        <f t="shared" si="290"/>
        <v>350630.34267799999</v>
      </c>
      <c r="AB581" s="48">
        <f t="shared" si="291"/>
        <v>379835.61278600001</v>
      </c>
      <c r="AC581" s="48">
        <f t="shared" si="292"/>
        <v>409480.15137400007</v>
      </c>
      <c r="AD581" s="1"/>
      <c r="AE581" s="1"/>
      <c r="AF581" s="1"/>
      <c r="AI581" s="9"/>
      <c r="AJ581" s="1"/>
      <c r="AK581" s="1"/>
      <c r="AL581" s="1"/>
      <c r="AM581" s="1"/>
      <c r="AN581" s="1"/>
      <c r="AO581" s="1"/>
      <c r="AP581" s="9"/>
      <c r="AQ581" s="3"/>
      <c r="AR581" s="4"/>
      <c r="AS581" s="1"/>
      <c r="AT581" s="1"/>
      <c r="AU581" s="1"/>
      <c r="AV581" s="1"/>
      <c r="AW581" s="1"/>
      <c r="AX581" s="3"/>
      <c r="AY581" s="3"/>
      <c r="AZ581" s="5"/>
      <c r="BA581" s="5"/>
      <c r="BB581" s="5"/>
      <c r="BC581" s="5"/>
      <c r="BD581" s="6"/>
      <c r="BE581" s="6"/>
      <c r="BF581" s="12"/>
      <c r="BG581" s="12"/>
      <c r="BH581" s="12"/>
      <c r="BI581" s="12"/>
      <c r="BJ581" s="12"/>
    </row>
    <row r="582" spans="2:62" x14ac:dyDescent="0.25">
      <c r="B582" s="1" t="s">
        <v>805</v>
      </c>
      <c r="C582" s="1" t="s">
        <v>824</v>
      </c>
      <c r="D582" s="1" t="s">
        <v>1190</v>
      </c>
      <c r="E582" s="1" t="s">
        <v>825</v>
      </c>
      <c r="F582" s="1" t="s">
        <v>826</v>
      </c>
      <c r="G582" s="1" t="s">
        <v>827</v>
      </c>
      <c r="H582" s="1" t="s">
        <v>828</v>
      </c>
      <c r="I582" s="7" t="s">
        <v>322</v>
      </c>
      <c r="J582" s="44">
        <v>1</v>
      </c>
      <c r="K582" s="45">
        <v>1</v>
      </c>
      <c r="L582" s="1" t="s">
        <v>816</v>
      </c>
      <c r="M582" s="1" t="s">
        <v>812</v>
      </c>
      <c r="N582" s="1" t="s">
        <v>1140</v>
      </c>
      <c r="O582" s="1" t="s">
        <v>1189</v>
      </c>
      <c r="P582" s="1" t="s">
        <v>1190</v>
      </c>
      <c r="Q582" s="44">
        <f>IF(L582="871",Multipliers!C306,"oops")</f>
        <v>0.85</v>
      </c>
      <c r="R582" s="44">
        <f>IF(M582="New Mexico",Multipliers!C96, "GOOF")</f>
        <v>0.92</v>
      </c>
      <c r="S582" s="46">
        <f t="shared" si="293"/>
        <v>345161.04700000002</v>
      </c>
      <c r="T582" s="46">
        <f t="shared" si="294"/>
        <v>359696.60440000001</v>
      </c>
      <c r="U582" s="46">
        <f t="shared" si="296"/>
        <v>356099.63835600001</v>
      </c>
      <c r="V582" s="46">
        <f t="shared" si="297"/>
        <v>350630.34267799999</v>
      </c>
      <c r="W582" s="47">
        <f t="shared" si="295"/>
        <v>350630.34267799999</v>
      </c>
      <c r="X582" s="47"/>
      <c r="Y582" s="48">
        <f t="shared" si="298"/>
        <v>279882.57296999998</v>
      </c>
      <c r="Z582" s="48">
        <f t="shared" si="299"/>
        <v>309306.133164</v>
      </c>
      <c r="AA582" s="48">
        <f t="shared" ref="AA582:AA616" si="300">IF(N582="Standard",((($Z$5*Q582)+($AD$5*R582*$T$5))/2)*$O$7,IF(N582="Severe",((($AA$5*Q582)+($AE$5*R582*$T$5))/2)*$O$7,IF(N582="Hostile",((($AB$5*Q582)+($AF$5*R582*$T$5))/2)*$O$7)))</f>
        <v>350630.34267799999</v>
      </c>
      <c r="AB582" s="48">
        <f t="shared" ref="AB582:AB616" si="301">IF(N582="Standard",((($Z$6*Q582)+($AD$6*R582*$T$5))/2)*$O$7,IF(N582="Severe",((($AA$6*Q582)+($AE$6*R582*$T$5))/2)*$O$7,IF(N582="Hostile",((($AB$6*Q582)+($AF$6*R582*$T$5))/2)*$O$7)))</f>
        <v>379835.61278600001</v>
      </c>
      <c r="AC582" s="48">
        <f t="shared" ref="AC582:AC616" si="302">IF(N582="Standard",((($Z$7*Q582)+($AD$7*R582*$T$5))/2)*$O$7,IF(N582="Severe",((($AA$7*Q582)+($AE$7*R582*$T$5))/2)*$O$7,IF(N582="Hostile",((($AB$7*Q582)+($AF$7*R582*$T$5))/2)*$O$7)))</f>
        <v>409480.15137400007</v>
      </c>
      <c r="AD582" s="1"/>
      <c r="AE582" s="1"/>
      <c r="AF582" s="1"/>
      <c r="AI582" s="9"/>
      <c r="AJ582" s="1"/>
      <c r="AK582" s="1"/>
      <c r="AL582" s="1"/>
      <c r="AM582" s="1"/>
      <c r="AN582" s="1"/>
      <c r="AO582" s="1"/>
      <c r="AP582" s="9"/>
      <c r="AQ582" s="3"/>
      <c r="AR582" s="4"/>
      <c r="AS582" s="1"/>
      <c r="AT582" s="1"/>
      <c r="AU582" s="1"/>
      <c r="AV582" s="1"/>
      <c r="AW582" s="1"/>
      <c r="AX582" s="3"/>
      <c r="AY582" s="3"/>
      <c r="AZ582" s="5"/>
      <c r="BA582" s="5"/>
      <c r="BB582" s="5"/>
      <c r="BC582" s="5"/>
      <c r="BD582" s="6"/>
      <c r="BE582" s="6"/>
      <c r="BF582" s="12"/>
      <c r="BG582" s="12"/>
      <c r="BH582" s="12"/>
      <c r="BI582" s="12"/>
      <c r="BJ582" s="12"/>
    </row>
    <row r="583" spans="2:62" x14ac:dyDescent="0.25">
      <c r="B583" s="1" t="s">
        <v>805</v>
      </c>
      <c r="C583" s="1" t="s">
        <v>829</v>
      </c>
      <c r="D583" s="1" t="s">
        <v>1190</v>
      </c>
      <c r="E583" s="1" t="s">
        <v>830</v>
      </c>
      <c r="F583" s="1" t="s">
        <v>831</v>
      </c>
      <c r="G583" s="1" t="s">
        <v>832</v>
      </c>
      <c r="H583" s="1" t="s">
        <v>833</v>
      </c>
      <c r="I583" s="7" t="s">
        <v>322</v>
      </c>
      <c r="J583" s="44">
        <v>1</v>
      </c>
      <c r="K583" s="45">
        <v>1</v>
      </c>
      <c r="L583" s="1" t="s">
        <v>811</v>
      </c>
      <c r="M583" s="1" t="s">
        <v>820</v>
      </c>
      <c r="N583" s="1" t="s">
        <v>1140</v>
      </c>
      <c r="O583" s="1" t="s">
        <v>1189</v>
      </c>
      <c r="P583" s="1" t="s">
        <v>1190</v>
      </c>
      <c r="Q583" s="44">
        <f>IF(L583="870",Multipliers!C305,"oops")</f>
        <v>0.85</v>
      </c>
      <c r="R583" s="44">
        <f>IF(M583="Albuquerque",Multipliers!C98, "GOOF")</f>
        <v>0.9</v>
      </c>
      <c r="S583" s="46">
        <f t="shared" si="293"/>
        <v>345161.04700000002</v>
      </c>
      <c r="T583" s="46">
        <f t="shared" si="294"/>
        <v>351877.11300000001</v>
      </c>
      <c r="U583" s="46">
        <f t="shared" si="296"/>
        <v>348358.34187</v>
      </c>
      <c r="V583" s="46">
        <f t="shared" si="297"/>
        <v>346759.69443500001</v>
      </c>
      <c r="W583" s="47">
        <f t="shared" si="295"/>
        <v>346759.69443500001</v>
      </c>
      <c r="X583" s="47"/>
      <c r="Y583" s="48">
        <f t="shared" si="298"/>
        <v>276895.05690000003</v>
      </c>
      <c r="Z583" s="48">
        <f t="shared" si="299"/>
        <v>305955.72902999993</v>
      </c>
      <c r="AA583" s="48">
        <f t="shared" si="300"/>
        <v>346759.69443500007</v>
      </c>
      <c r="AB583" s="48">
        <f t="shared" si="301"/>
        <v>375602.93371999997</v>
      </c>
      <c r="AC583" s="48">
        <f t="shared" si="302"/>
        <v>404910.19198</v>
      </c>
      <c r="AD583" s="1"/>
      <c r="AE583" s="1"/>
      <c r="AF583" s="1"/>
      <c r="AI583" s="9"/>
      <c r="AJ583" s="1"/>
      <c r="AK583" s="1"/>
      <c r="AL583" s="1"/>
      <c r="AM583" s="1"/>
      <c r="AN583" s="1"/>
      <c r="AO583" s="1"/>
      <c r="AP583" s="9"/>
      <c r="AQ583" s="3"/>
      <c r="AR583" s="4"/>
      <c r="AS583" s="1"/>
      <c r="AT583" s="1"/>
      <c r="AU583" s="1"/>
      <c r="AV583" s="1"/>
      <c r="AW583" s="1"/>
      <c r="AX583" s="3"/>
      <c r="AY583" s="3"/>
      <c r="AZ583" s="5"/>
      <c r="BA583" s="5"/>
      <c r="BB583" s="5"/>
      <c r="BC583" s="5"/>
      <c r="BD583" s="6"/>
      <c r="BE583" s="6"/>
      <c r="BF583" s="12"/>
      <c r="BG583" s="12"/>
      <c r="BH583" s="12"/>
      <c r="BI583" s="12"/>
      <c r="BJ583" s="12"/>
    </row>
    <row r="584" spans="2:62" x14ac:dyDescent="0.25">
      <c r="B584" s="1" t="s">
        <v>805</v>
      </c>
      <c r="C584" s="1" t="s">
        <v>834</v>
      </c>
      <c r="D584" s="1" t="s">
        <v>1190</v>
      </c>
      <c r="E584" s="1" t="s">
        <v>835</v>
      </c>
      <c r="F584" s="1" t="s">
        <v>836</v>
      </c>
      <c r="G584" s="1" t="s">
        <v>837</v>
      </c>
      <c r="H584" s="1" t="s">
        <v>838</v>
      </c>
      <c r="I584" s="7" t="s">
        <v>322</v>
      </c>
      <c r="J584" s="44">
        <v>1</v>
      </c>
      <c r="K584" s="45">
        <v>1</v>
      </c>
      <c r="L584" s="1" t="s">
        <v>839</v>
      </c>
      <c r="M584" s="1" t="s">
        <v>840</v>
      </c>
      <c r="N584" s="1" t="s">
        <v>1140</v>
      </c>
      <c r="O584" s="1" t="s">
        <v>1189</v>
      </c>
      <c r="P584" s="1" t="s">
        <v>1190</v>
      </c>
      <c r="Q584" s="44">
        <f>IF(L584="883",Multipliers!C309,"oops")</f>
        <v>0.84</v>
      </c>
      <c r="R584" s="44">
        <f>IF(M584="Alamogordo",Multipliers!C97, "GOOF")</f>
        <v>0.86</v>
      </c>
      <c r="S584" s="46">
        <f t="shared" si="293"/>
        <v>341100.32880000002</v>
      </c>
      <c r="T584" s="46">
        <f t="shared" si="294"/>
        <v>336238.13020000001</v>
      </c>
      <c r="U584" s="46">
        <f t="shared" si="296"/>
        <v>332875.74889799999</v>
      </c>
      <c r="V584" s="46">
        <f t="shared" si="297"/>
        <v>336988.038849</v>
      </c>
      <c r="W584" s="47">
        <f t="shared" si="295"/>
        <v>336988.038849</v>
      </c>
      <c r="X584" s="47"/>
      <c r="Y584" s="48">
        <f t="shared" si="298"/>
        <v>269244.06201000005</v>
      </c>
      <c r="Z584" s="48">
        <f t="shared" si="299"/>
        <v>297429.184962</v>
      </c>
      <c r="AA584" s="48">
        <f t="shared" si="300"/>
        <v>336988.038849</v>
      </c>
      <c r="AB584" s="48">
        <f t="shared" si="301"/>
        <v>364959.54763799999</v>
      </c>
      <c r="AC584" s="48">
        <f t="shared" si="302"/>
        <v>393426.014142</v>
      </c>
      <c r="AD584" s="1"/>
      <c r="AE584" s="1"/>
      <c r="AF584" s="1"/>
      <c r="AI584" s="9"/>
      <c r="AJ584" s="1"/>
      <c r="AK584" s="1"/>
      <c r="AL584" s="1"/>
      <c r="AM584" s="1"/>
      <c r="AN584" s="1"/>
      <c r="AO584" s="1"/>
      <c r="AP584" s="9"/>
      <c r="AQ584" s="3"/>
      <c r="AR584" s="4"/>
      <c r="AS584" s="1"/>
      <c r="AT584" s="1"/>
      <c r="AU584" s="1"/>
      <c r="AV584" s="1"/>
      <c r="AW584" s="1"/>
      <c r="AX584" s="3"/>
      <c r="AY584" s="3"/>
      <c r="AZ584" s="5"/>
      <c r="BA584" s="5"/>
      <c r="BB584" s="5"/>
      <c r="BC584" s="5"/>
      <c r="BD584" s="6"/>
      <c r="BE584" s="6"/>
      <c r="BF584" s="12"/>
      <c r="BG584" s="12"/>
      <c r="BH584" s="12"/>
      <c r="BI584" s="12"/>
      <c r="BJ584" s="12"/>
    </row>
    <row r="585" spans="2:62" x14ac:dyDescent="0.25">
      <c r="B585" s="1" t="s">
        <v>805</v>
      </c>
      <c r="C585" s="1" t="s">
        <v>841</v>
      </c>
      <c r="D585" s="1" t="s">
        <v>1190</v>
      </c>
      <c r="E585" s="1" t="s">
        <v>842</v>
      </c>
      <c r="F585" s="1" t="s">
        <v>843</v>
      </c>
      <c r="G585" s="1" t="s">
        <v>844</v>
      </c>
      <c r="H585" s="1" t="s">
        <v>845</v>
      </c>
      <c r="I585" s="7" t="s">
        <v>322</v>
      </c>
      <c r="J585" s="44">
        <v>1</v>
      </c>
      <c r="K585" s="45">
        <v>1</v>
      </c>
      <c r="L585" s="1" t="s">
        <v>846</v>
      </c>
      <c r="M585" s="1" t="s">
        <v>847</v>
      </c>
      <c r="N585" s="1" t="s">
        <v>1140</v>
      </c>
      <c r="O585" s="1" t="s">
        <v>1189</v>
      </c>
      <c r="P585" s="1" t="s">
        <v>1190</v>
      </c>
      <c r="Q585" s="44">
        <f>IF(L585="875",Multipliers!C308,"oops")</f>
        <v>0.85</v>
      </c>
      <c r="R585" s="44">
        <f>IF(M585="Santa Fe",Multipliers!C100, "GOOF")</f>
        <v>0.96</v>
      </c>
      <c r="S585" s="46">
        <f t="shared" si="293"/>
        <v>345161.04700000002</v>
      </c>
      <c r="T585" s="46">
        <f t="shared" si="294"/>
        <v>375335.58720000001</v>
      </c>
      <c r="U585" s="46">
        <f t="shared" si="296"/>
        <v>371582.23132800002</v>
      </c>
      <c r="V585" s="46">
        <f t="shared" si="297"/>
        <v>358371.63916400005</v>
      </c>
      <c r="W585" s="47">
        <f t="shared" si="295"/>
        <v>358371.63916400005</v>
      </c>
      <c r="X585" s="47"/>
      <c r="Y585" s="48">
        <f t="shared" si="298"/>
        <v>285857.60511</v>
      </c>
      <c r="Z585" s="48">
        <f t="shared" si="299"/>
        <v>316006.94143200002</v>
      </c>
      <c r="AA585" s="48">
        <f t="shared" si="300"/>
        <v>358371.63916399999</v>
      </c>
      <c r="AB585" s="48">
        <f t="shared" si="301"/>
        <v>388300.97091799998</v>
      </c>
      <c r="AC585" s="48">
        <f t="shared" si="302"/>
        <v>418620.07016199996</v>
      </c>
      <c r="AD585" s="1"/>
      <c r="AE585" s="1"/>
      <c r="AF585" s="1"/>
      <c r="AI585" s="9"/>
      <c r="AJ585" s="1"/>
      <c r="AK585" s="1"/>
      <c r="AL585" s="1"/>
      <c r="AM585" s="1"/>
      <c r="AN585" s="1"/>
      <c r="AO585" s="1"/>
      <c r="AP585" s="9"/>
      <c r="AQ585" s="3"/>
      <c r="AR585" s="4"/>
      <c r="AS585" s="1"/>
      <c r="AT585" s="1"/>
      <c r="AU585" s="1"/>
      <c r="AV585" s="1"/>
      <c r="AW585" s="1"/>
      <c r="AX585" s="3"/>
      <c r="AY585" s="3"/>
      <c r="AZ585" s="5"/>
      <c r="BA585" s="5"/>
      <c r="BB585" s="5"/>
      <c r="BC585" s="5"/>
      <c r="BD585" s="6"/>
      <c r="BE585" s="6"/>
      <c r="BF585" s="12"/>
      <c r="BG585" s="12"/>
      <c r="BH585" s="12"/>
      <c r="BI585" s="12"/>
      <c r="BJ585" s="12"/>
    </row>
    <row r="586" spans="2:62" x14ac:dyDescent="0.25">
      <c r="B586" s="1" t="s">
        <v>805</v>
      </c>
      <c r="C586" s="1" t="s">
        <v>848</v>
      </c>
      <c r="D586" s="1" t="s">
        <v>1190</v>
      </c>
      <c r="E586" s="1" t="s">
        <v>849</v>
      </c>
      <c r="F586" s="1" t="s">
        <v>850</v>
      </c>
      <c r="G586" s="1" t="s">
        <v>844</v>
      </c>
      <c r="H586" s="1" t="s">
        <v>845</v>
      </c>
      <c r="I586" s="7" t="s">
        <v>322</v>
      </c>
      <c r="J586" s="44">
        <v>1</v>
      </c>
      <c r="K586" s="45">
        <v>1</v>
      </c>
      <c r="L586" s="1" t="s">
        <v>846</v>
      </c>
      <c r="M586" s="1" t="s">
        <v>847</v>
      </c>
      <c r="N586" s="1" t="s">
        <v>1140</v>
      </c>
      <c r="O586" s="1" t="s">
        <v>1189</v>
      </c>
      <c r="P586" s="1" t="s">
        <v>1190</v>
      </c>
      <c r="Q586" s="44">
        <f>IF(L586="875",Multipliers!C308,"oops")</f>
        <v>0.85</v>
      </c>
      <c r="R586" s="44">
        <f>IF(M586="Santa Fe",Multipliers!C100, "GOOF")</f>
        <v>0.96</v>
      </c>
      <c r="S586" s="46">
        <f t="shared" si="293"/>
        <v>345161.04700000002</v>
      </c>
      <c r="T586" s="46">
        <f t="shared" si="294"/>
        <v>375335.58720000001</v>
      </c>
      <c r="U586" s="46">
        <f t="shared" si="296"/>
        <v>371582.23132800002</v>
      </c>
      <c r="V586" s="46">
        <f t="shared" si="297"/>
        <v>358371.63916400005</v>
      </c>
      <c r="W586" s="47">
        <f t="shared" si="295"/>
        <v>358371.63916400005</v>
      </c>
      <c r="X586" s="47"/>
      <c r="Y586" s="48">
        <f t="shared" si="298"/>
        <v>285857.60511</v>
      </c>
      <c r="Z586" s="48">
        <f t="shared" si="299"/>
        <v>316006.94143200002</v>
      </c>
      <c r="AA586" s="48">
        <f t="shared" si="300"/>
        <v>358371.63916399999</v>
      </c>
      <c r="AB586" s="48">
        <f t="shared" si="301"/>
        <v>388300.97091799998</v>
      </c>
      <c r="AC586" s="48">
        <f t="shared" si="302"/>
        <v>418620.07016199996</v>
      </c>
      <c r="AD586" s="1"/>
      <c r="AE586" s="1"/>
      <c r="AF586" s="1"/>
      <c r="AI586" s="9"/>
      <c r="AJ586" s="1"/>
      <c r="AK586" s="1"/>
      <c r="AL586" s="1"/>
      <c r="AM586" s="1"/>
      <c r="AN586" s="1"/>
      <c r="AO586" s="1"/>
      <c r="AP586" s="9"/>
      <c r="AQ586" s="3"/>
      <c r="AR586" s="4"/>
      <c r="AS586" s="1"/>
      <c r="AT586" s="1"/>
      <c r="AU586" s="1"/>
      <c r="AV586" s="1"/>
      <c r="AW586" s="1"/>
      <c r="AX586" s="3"/>
      <c r="AY586" s="3"/>
      <c r="AZ586" s="5"/>
      <c r="BA586" s="5"/>
      <c r="BB586" s="5"/>
      <c r="BC586" s="5"/>
      <c r="BD586" s="6"/>
      <c r="BE586" s="6"/>
      <c r="BF586" s="12"/>
      <c r="BG586" s="12"/>
      <c r="BH586" s="12"/>
      <c r="BI586" s="12"/>
      <c r="BJ586" s="12"/>
    </row>
    <row r="587" spans="2:62" x14ac:dyDescent="0.25">
      <c r="B587" s="1" t="s">
        <v>805</v>
      </c>
      <c r="C587" s="1" t="s">
        <v>851</v>
      </c>
      <c r="D587" s="1" t="s">
        <v>1190</v>
      </c>
      <c r="E587" s="1" t="s">
        <v>852</v>
      </c>
      <c r="F587" s="1" t="s">
        <v>853</v>
      </c>
      <c r="G587" s="1" t="s">
        <v>844</v>
      </c>
      <c r="H587" s="1" t="s">
        <v>845</v>
      </c>
      <c r="I587" s="7" t="s">
        <v>322</v>
      </c>
      <c r="J587" s="44">
        <v>1</v>
      </c>
      <c r="K587" s="45">
        <v>1</v>
      </c>
      <c r="L587" s="1" t="s">
        <v>846</v>
      </c>
      <c r="M587" s="1" t="s">
        <v>812</v>
      </c>
      <c r="N587" s="1" t="s">
        <v>1140</v>
      </c>
      <c r="O587" s="1" t="s">
        <v>1189</v>
      </c>
      <c r="P587" s="1" t="s">
        <v>1190</v>
      </c>
      <c r="Q587" s="44">
        <f>IF(L587="875",Multipliers!C308,"oops")</f>
        <v>0.85</v>
      </c>
      <c r="R587" s="44">
        <f>IF(M587="New Mexico",Multipliers!C96, "GOOF")</f>
        <v>0.92</v>
      </c>
      <c r="S587" s="46">
        <f t="shared" si="293"/>
        <v>345161.04700000002</v>
      </c>
      <c r="T587" s="46">
        <f t="shared" si="294"/>
        <v>359696.60440000001</v>
      </c>
      <c r="U587" s="46">
        <f t="shared" si="296"/>
        <v>356099.63835600001</v>
      </c>
      <c r="V587" s="46">
        <f t="shared" si="297"/>
        <v>350630.34267799999</v>
      </c>
      <c r="W587" s="47">
        <f t="shared" si="295"/>
        <v>350630.34267799999</v>
      </c>
      <c r="X587" s="47"/>
      <c r="Y587" s="48">
        <f t="shared" si="298"/>
        <v>279882.57296999998</v>
      </c>
      <c r="Z587" s="48">
        <f t="shared" si="299"/>
        <v>309306.133164</v>
      </c>
      <c r="AA587" s="48">
        <f t="shared" si="300"/>
        <v>350630.34267799999</v>
      </c>
      <c r="AB587" s="48">
        <f t="shared" si="301"/>
        <v>379835.61278600001</v>
      </c>
      <c r="AC587" s="48">
        <f t="shared" si="302"/>
        <v>409480.15137400007</v>
      </c>
      <c r="AD587" s="1"/>
      <c r="AE587" s="1"/>
      <c r="AF587" s="1"/>
      <c r="AI587" s="9"/>
      <c r="AJ587" s="1"/>
      <c r="AK587" s="1"/>
      <c r="AL587" s="1"/>
      <c r="AM587" s="1"/>
      <c r="AN587" s="1"/>
      <c r="AO587" s="1"/>
      <c r="AP587" s="9"/>
      <c r="AQ587" s="3"/>
      <c r="AR587" s="4"/>
      <c r="AS587" s="1"/>
      <c r="AT587" s="1"/>
      <c r="AU587" s="1"/>
      <c r="AV587" s="1"/>
      <c r="AW587" s="1"/>
      <c r="AX587" s="3"/>
      <c r="AY587" s="3"/>
      <c r="AZ587" s="5"/>
      <c r="BA587" s="5"/>
      <c r="BB587" s="5"/>
      <c r="BC587" s="5"/>
      <c r="BD587" s="6"/>
      <c r="BE587" s="6"/>
      <c r="BF587" s="12"/>
      <c r="BG587" s="12"/>
      <c r="BH587" s="12"/>
      <c r="BI587" s="12"/>
      <c r="BJ587" s="12"/>
    </row>
    <row r="588" spans="2:62" x14ac:dyDescent="0.25">
      <c r="B588" s="1" t="s">
        <v>805</v>
      </c>
      <c r="C588" s="1" t="s">
        <v>854</v>
      </c>
      <c r="D588" s="1" t="s">
        <v>1190</v>
      </c>
      <c r="E588" s="1" t="s">
        <v>855</v>
      </c>
      <c r="F588" s="1" t="s">
        <v>856</v>
      </c>
      <c r="G588" s="1" t="s">
        <v>809</v>
      </c>
      <c r="H588" s="1" t="s">
        <v>810</v>
      </c>
      <c r="I588" s="7" t="s">
        <v>322</v>
      </c>
      <c r="J588" s="44">
        <v>1</v>
      </c>
      <c r="K588" s="45">
        <v>1</v>
      </c>
      <c r="L588" s="1" t="s">
        <v>816</v>
      </c>
      <c r="M588" s="1" t="s">
        <v>812</v>
      </c>
      <c r="N588" s="1" t="s">
        <v>1140</v>
      </c>
      <c r="O588" s="1" t="s">
        <v>1189</v>
      </c>
      <c r="P588" s="1" t="s">
        <v>1190</v>
      </c>
      <c r="Q588" s="44">
        <f>IF(L588="871",Multipliers!C306,"oops")</f>
        <v>0.85</v>
      </c>
      <c r="R588" s="44">
        <f>IF(M588="New Mexico",Multipliers!C96, "GOOF")</f>
        <v>0.92</v>
      </c>
      <c r="S588" s="46">
        <f t="shared" si="293"/>
        <v>345161.04700000002</v>
      </c>
      <c r="T588" s="46">
        <f t="shared" si="294"/>
        <v>359696.60440000001</v>
      </c>
      <c r="U588" s="46">
        <f t="shared" si="296"/>
        <v>356099.63835600001</v>
      </c>
      <c r="V588" s="46">
        <f t="shared" si="297"/>
        <v>350630.34267799999</v>
      </c>
      <c r="W588" s="47">
        <f t="shared" si="295"/>
        <v>350630.34267799999</v>
      </c>
      <c r="X588" s="47"/>
      <c r="Y588" s="48">
        <f t="shared" si="298"/>
        <v>279882.57296999998</v>
      </c>
      <c r="Z588" s="48">
        <f t="shared" si="299"/>
        <v>309306.133164</v>
      </c>
      <c r="AA588" s="48">
        <f t="shared" si="300"/>
        <v>350630.34267799999</v>
      </c>
      <c r="AB588" s="48">
        <f t="shared" si="301"/>
        <v>379835.61278600001</v>
      </c>
      <c r="AC588" s="48">
        <f t="shared" si="302"/>
        <v>409480.15137400007</v>
      </c>
      <c r="AD588" s="1"/>
      <c r="AE588" s="1"/>
      <c r="AF588" s="1"/>
      <c r="AI588" s="9"/>
      <c r="AJ588" s="1"/>
      <c r="AK588" s="1"/>
      <c r="AL588" s="1"/>
      <c r="AM588" s="1"/>
      <c r="AN588" s="1"/>
      <c r="AO588" s="1"/>
      <c r="AP588" s="9"/>
      <c r="AQ588" s="3"/>
      <c r="AR588" s="4"/>
      <c r="AS588" s="1"/>
      <c r="AT588" s="1"/>
      <c r="AU588" s="1"/>
      <c r="AV588" s="1"/>
      <c r="AW588" s="1"/>
      <c r="AX588" s="3"/>
      <c r="AY588" s="3"/>
      <c r="AZ588" s="5"/>
      <c r="BA588" s="5"/>
      <c r="BB588" s="5"/>
      <c r="BC588" s="5"/>
      <c r="BD588" s="6"/>
      <c r="BE588" s="6"/>
      <c r="BF588" s="12"/>
      <c r="BG588" s="12"/>
      <c r="BH588" s="12"/>
      <c r="BI588" s="12"/>
      <c r="BJ588" s="12"/>
    </row>
    <row r="589" spans="2:62" x14ac:dyDescent="0.25">
      <c r="B589" s="1" t="s">
        <v>805</v>
      </c>
      <c r="C589" s="1" t="s">
        <v>857</v>
      </c>
      <c r="D589" s="1" t="s">
        <v>1190</v>
      </c>
      <c r="E589" s="1" t="s">
        <v>858</v>
      </c>
      <c r="F589" s="1" t="s">
        <v>859</v>
      </c>
      <c r="G589" s="1" t="s">
        <v>844</v>
      </c>
      <c r="H589" s="1" t="s">
        <v>845</v>
      </c>
      <c r="I589" s="7" t="s">
        <v>322</v>
      </c>
      <c r="J589" s="44">
        <v>1</v>
      </c>
      <c r="K589" s="45">
        <v>1</v>
      </c>
      <c r="L589" s="1" t="s">
        <v>816</v>
      </c>
      <c r="M589" s="1" t="s">
        <v>812</v>
      </c>
      <c r="N589" s="1" t="s">
        <v>1140</v>
      </c>
      <c r="O589" s="1" t="s">
        <v>1189</v>
      </c>
      <c r="P589" s="1" t="s">
        <v>1190</v>
      </c>
      <c r="Q589" s="44">
        <f>IF(L589="871",Multipliers!C306,"oops")</f>
        <v>0.85</v>
      </c>
      <c r="R589" s="44">
        <f>IF(M589="New Mexico",Multipliers!C96, "GOOF")</f>
        <v>0.92</v>
      </c>
      <c r="S589" s="46">
        <f t="shared" si="293"/>
        <v>345161.04700000002</v>
      </c>
      <c r="T589" s="46">
        <f t="shared" si="294"/>
        <v>359696.60440000001</v>
      </c>
      <c r="U589" s="46">
        <f t="shared" si="296"/>
        <v>356099.63835600001</v>
      </c>
      <c r="V589" s="46">
        <f t="shared" si="297"/>
        <v>350630.34267799999</v>
      </c>
      <c r="W589" s="47">
        <f t="shared" si="295"/>
        <v>350630.34267799999</v>
      </c>
      <c r="X589" s="47"/>
      <c r="Y589" s="48">
        <f t="shared" si="298"/>
        <v>279882.57296999998</v>
      </c>
      <c r="Z589" s="48">
        <f t="shared" si="299"/>
        <v>309306.133164</v>
      </c>
      <c r="AA589" s="48">
        <f t="shared" si="300"/>
        <v>350630.34267799999</v>
      </c>
      <c r="AB589" s="48">
        <f t="shared" si="301"/>
        <v>379835.61278600001</v>
      </c>
      <c r="AC589" s="48">
        <f t="shared" si="302"/>
        <v>409480.15137400007</v>
      </c>
      <c r="AD589" s="1"/>
      <c r="AE589" s="1"/>
      <c r="AF589" s="1"/>
      <c r="AI589" s="9"/>
      <c r="AJ589" s="1"/>
      <c r="AK589" s="1"/>
      <c r="AL589" s="1"/>
      <c r="AM589" s="1"/>
      <c r="AN589" s="1"/>
      <c r="AO589" s="1"/>
      <c r="AP589" s="9"/>
      <c r="AQ589" s="3"/>
      <c r="AR589" s="4"/>
      <c r="AS589" s="1"/>
      <c r="AT589" s="1"/>
      <c r="AU589" s="1"/>
      <c r="AV589" s="1"/>
      <c r="AW589" s="1"/>
      <c r="AX589" s="3"/>
      <c r="AY589" s="3"/>
      <c r="AZ589" s="5"/>
      <c r="BA589" s="5"/>
      <c r="BB589" s="5"/>
      <c r="BC589" s="5"/>
      <c r="BD589" s="6"/>
      <c r="BE589" s="6"/>
      <c r="BF589" s="12"/>
      <c r="BG589" s="12"/>
      <c r="BH589" s="12"/>
      <c r="BI589" s="12"/>
      <c r="BJ589" s="12"/>
    </row>
    <row r="590" spans="2:62" x14ac:dyDescent="0.25">
      <c r="B590" s="1" t="s">
        <v>805</v>
      </c>
      <c r="C590" s="1" t="s">
        <v>860</v>
      </c>
      <c r="D590" s="1" t="s">
        <v>1190</v>
      </c>
      <c r="E590" s="1" t="s">
        <v>861</v>
      </c>
      <c r="F590" s="1" t="s">
        <v>862</v>
      </c>
      <c r="G590" s="1" t="s">
        <v>809</v>
      </c>
      <c r="H590" s="1" t="s">
        <v>810</v>
      </c>
      <c r="I590" s="7" t="s">
        <v>322</v>
      </c>
      <c r="J590" s="44">
        <v>1</v>
      </c>
      <c r="K590" s="45">
        <v>1</v>
      </c>
      <c r="L590" s="1" t="s">
        <v>846</v>
      </c>
      <c r="M590" s="1" t="s">
        <v>812</v>
      </c>
      <c r="N590" s="1" t="s">
        <v>1140</v>
      </c>
      <c r="O590" s="1" t="s">
        <v>1189</v>
      </c>
      <c r="P590" s="1" t="s">
        <v>1190</v>
      </c>
      <c r="Q590" s="44">
        <f>IF(L590="875",Multipliers!C308,"oops")</f>
        <v>0.85</v>
      </c>
      <c r="R590" s="44">
        <f>IF(M590="New Mexico",Multipliers!C96, "GOOF")</f>
        <v>0.92</v>
      </c>
      <c r="S590" s="46">
        <f t="shared" si="293"/>
        <v>345161.04700000002</v>
      </c>
      <c r="T590" s="46">
        <f t="shared" si="294"/>
        <v>359696.60440000001</v>
      </c>
      <c r="U590" s="46">
        <f t="shared" si="296"/>
        <v>356099.63835600001</v>
      </c>
      <c r="V590" s="46">
        <f t="shared" si="297"/>
        <v>350630.34267799999</v>
      </c>
      <c r="W590" s="47">
        <f t="shared" si="295"/>
        <v>350630.34267799999</v>
      </c>
      <c r="X590" s="47"/>
      <c r="Y590" s="48">
        <f t="shared" si="298"/>
        <v>279882.57296999998</v>
      </c>
      <c r="Z590" s="48">
        <f t="shared" si="299"/>
        <v>309306.133164</v>
      </c>
      <c r="AA590" s="48">
        <f t="shared" si="300"/>
        <v>350630.34267799999</v>
      </c>
      <c r="AB590" s="48">
        <f t="shared" si="301"/>
        <v>379835.61278600001</v>
      </c>
      <c r="AC590" s="48">
        <f t="shared" si="302"/>
        <v>409480.15137400007</v>
      </c>
      <c r="AD590" s="1"/>
      <c r="AE590" s="1"/>
      <c r="AF590" s="1"/>
      <c r="AI590" s="9"/>
      <c r="AJ590" s="1"/>
      <c r="AK590" s="1"/>
      <c r="AL590" s="1"/>
      <c r="AM590" s="1"/>
      <c r="AN590" s="1"/>
      <c r="AO590" s="1"/>
      <c r="AP590" s="9"/>
      <c r="AQ590" s="3"/>
      <c r="AR590" s="4"/>
      <c r="AS590" s="1"/>
      <c r="AT590" s="1"/>
      <c r="AU590" s="1"/>
      <c r="AV590" s="1"/>
      <c r="AW590" s="1"/>
      <c r="AX590" s="3"/>
      <c r="AY590" s="3"/>
      <c r="AZ590" s="5"/>
      <c r="BA590" s="5"/>
      <c r="BB590" s="5"/>
      <c r="BC590" s="5"/>
      <c r="BD590" s="6"/>
      <c r="BE590" s="6"/>
      <c r="BF590" s="12"/>
      <c r="BG590" s="12"/>
      <c r="BH590" s="12"/>
      <c r="BI590" s="12"/>
      <c r="BJ590" s="12"/>
    </row>
    <row r="591" spans="2:62" x14ac:dyDescent="0.25">
      <c r="B591" s="1" t="s">
        <v>805</v>
      </c>
      <c r="C591" s="1" t="s">
        <v>863</v>
      </c>
      <c r="D591" s="1" t="s">
        <v>1190</v>
      </c>
      <c r="E591" s="1" t="s">
        <v>864</v>
      </c>
      <c r="F591" s="1" t="s">
        <v>865</v>
      </c>
      <c r="G591" s="1" t="s">
        <v>809</v>
      </c>
      <c r="H591" s="1" t="s">
        <v>810</v>
      </c>
      <c r="I591" s="7" t="s">
        <v>322</v>
      </c>
      <c r="J591" s="44">
        <v>1</v>
      </c>
      <c r="K591" s="45">
        <v>1</v>
      </c>
      <c r="L591" s="1" t="s">
        <v>816</v>
      </c>
      <c r="M591" s="1" t="s">
        <v>820</v>
      </c>
      <c r="N591" s="1" t="s">
        <v>1140</v>
      </c>
      <c r="O591" s="1" t="s">
        <v>1189</v>
      </c>
      <c r="P591" s="1" t="s">
        <v>1190</v>
      </c>
      <c r="Q591" s="44">
        <f>IF(L591="871",Multipliers!C306,"oops")</f>
        <v>0.85</v>
      </c>
      <c r="R591" s="44">
        <f>IF(M591="Albuquerque",Multipliers!C98, "GOOF")</f>
        <v>0.9</v>
      </c>
      <c r="S591" s="46">
        <f t="shared" si="293"/>
        <v>345161.04700000002</v>
      </c>
      <c r="T591" s="46">
        <f t="shared" si="294"/>
        <v>351877.11300000001</v>
      </c>
      <c r="U591" s="46">
        <f t="shared" si="296"/>
        <v>348358.34187</v>
      </c>
      <c r="V591" s="46">
        <f t="shared" si="297"/>
        <v>346759.69443500001</v>
      </c>
      <c r="W591" s="47">
        <f t="shared" si="295"/>
        <v>346759.69443500001</v>
      </c>
      <c r="X591" s="47"/>
      <c r="Y591" s="48">
        <f t="shared" si="298"/>
        <v>276895.05690000003</v>
      </c>
      <c r="Z591" s="48">
        <f t="shared" si="299"/>
        <v>305955.72902999993</v>
      </c>
      <c r="AA591" s="48">
        <f t="shared" si="300"/>
        <v>346759.69443500007</v>
      </c>
      <c r="AB591" s="48">
        <f t="shared" si="301"/>
        <v>375602.93371999997</v>
      </c>
      <c r="AC591" s="48">
        <f t="shared" si="302"/>
        <v>404910.19198</v>
      </c>
      <c r="AD591" s="1"/>
      <c r="AE591" s="1"/>
      <c r="AF591" s="1"/>
      <c r="AI591" s="9"/>
      <c r="AJ591" s="1"/>
      <c r="AK591" s="1"/>
      <c r="AL591" s="1"/>
      <c r="AM591" s="7"/>
      <c r="AN591" s="1"/>
      <c r="AO591" s="1"/>
      <c r="AP591" s="9"/>
      <c r="AQ591" s="3"/>
      <c r="AR591" s="4"/>
      <c r="AS591" s="1"/>
      <c r="AT591" s="1"/>
      <c r="AU591" s="1"/>
      <c r="AV591" s="1"/>
      <c r="AW591" s="1"/>
      <c r="AX591" s="3"/>
      <c r="AY591" s="3"/>
      <c r="AZ591" s="5"/>
      <c r="BA591" s="5"/>
      <c r="BB591" s="5"/>
      <c r="BC591" s="5"/>
      <c r="BD591" s="6"/>
      <c r="BE591" s="6"/>
      <c r="BF591" s="12"/>
      <c r="BG591" s="12"/>
      <c r="BH591" s="12"/>
      <c r="BI591" s="12"/>
      <c r="BJ591" s="12"/>
    </row>
    <row r="592" spans="2:62" x14ac:dyDescent="0.25">
      <c r="B592" s="1" t="s">
        <v>805</v>
      </c>
      <c r="C592" s="1" t="s">
        <v>866</v>
      </c>
      <c r="D592" s="1" t="s">
        <v>1190</v>
      </c>
      <c r="E592" s="1" t="s">
        <v>867</v>
      </c>
      <c r="F592" s="1" t="s">
        <v>868</v>
      </c>
      <c r="G592" s="1" t="s">
        <v>809</v>
      </c>
      <c r="H592" s="1" t="s">
        <v>810</v>
      </c>
      <c r="I592" s="7" t="s">
        <v>322</v>
      </c>
      <c r="J592" s="44">
        <v>1</v>
      </c>
      <c r="K592" s="45">
        <v>1</v>
      </c>
      <c r="L592" s="1" t="s">
        <v>816</v>
      </c>
      <c r="M592" s="1" t="s">
        <v>812</v>
      </c>
      <c r="N592" s="1" t="s">
        <v>1140</v>
      </c>
      <c r="O592" s="1" t="s">
        <v>1189</v>
      </c>
      <c r="P592" s="1" t="s">
        <v>1190</v>
      </c>
      <c r="Q592" s="44">
        <f>IF(L592="871",Multipliers!C306,"oops")</f>
        <v>0.85</v>
      </c>
      <c r="R592" s="44">
        <f>IF(M592="New Mexico",Multipliers!C96, "GOOF")</f>
        <v>0.92</v>
      </c>
      <c r="S592" s="46">
        <f t="shared" si="293"/>
        <v>345161.04700000002</v>
      </c>
      <c r="T592" s="46">
        <f t="shared" si="294"/>
        <v>359696.60440000001</v>
      </c>
      <c r="U592" s="46">
        <f t="shared" si="296"/>
        <v>356099.63835600001</v>
      </c>
      <c r="V592" s="46">
        <f t="shared" si="297"/>
        <v>350630.34267799999</v>
      </c>
      <c r="W592" s="47">
        <f t="shared" si="295"/>
        <v>350630.34267799999</v>
      </c>
      <c r="X592" s="47"/>
      <c r="Y592" s="48">
        <f t="shared" si="298"/>
        <v>279882.57296999998</v>
      </c>
      <c r="Z592" s="48">
        <f t="shared" si="299"/>
        <v>309306.133164</v>
      </c>
      <c r="AA592" s="48">
        <f t="shared" si="300"/>
        <v>350630.34267799999</v>
      </c>
      <c r="AB592" s="48">
        <f t="shared" si="301"/>
        <v>379835.61278600001</v>
      </c>
      <c r="AC592" s="48">
        <f t="shared" si="302"/>
        <v>409480.15137400007</v>
      </c>
      <c r="AD592" s="1"/>
      <c r="AE592" s="1"/>
      <c r="AF592" s="1"/>
      <c r="AI592" s="9"/>
      <c r="AJ592" s="1"/>
      <c r="AK592" s="1"/>
      <c r="AL592" s="1"/>
      <c r="AM592" s="1"/>
      <c r="AN592" s="1"/>
      <c r="AO592" s="1"/>
      <c r="AP592" s="9"/>
      <c r="AQ592" s="3"/>
      <c r="AR592" s="4"/>
      <c r="AS592" s="1"/>
      <c r="AT592" s="1"/>
      <c r="AU592" s="1"/>
      <c r="AV592" s="1"/>
      <c r="AW592" s="1"/>
      <c r="AX592" s="3"/>
      <c r="AY592" s="3"/>
      <c r="AZ592" s="5"/>
      <c r="BA592" s="5"/>
      <c r="BB592" s="5"/>
      <c r="BC592" s="5"/>
      <c r="BD592" s="6"/>
      <c r="BE592" s="6"/>
      <c r="BF592" s="12"/>
      <c r="BG592" s="12"/>
      <c r="BH592" s="12"/>
      <c r="BI592" s="12"/>
      <c r="BJ592" s="12"/>
    </row>
    <row r="593" spans="2:62" x14ac:dyDescent="0.25">
      <c r="B593" s="1" t="s">
        <v>805</v>
      </c>
      <c r="C593" s="1" t="s">
        <v>869</v>
      </c>
      <c r="D593" s="1" t="s">
        <v>1190</v>
      </c>
      <c r="E593" s="1" t="s">
        <v>870</v>
      </c>
      <c r="F593" s="1" t="s">
        <v>871</v>
      </c>
      <c r="G593" s="1" t="s">
        <v>809</v>
      </c>
      <c r="H593" s="1" t="s">
        <v>810</v>
      </c>
      <c r="I593" s="7" t="s">
        <v>322</v>
      </c>
      <c r="J593" s="44">
        <v>1</v>
      </c>
      <c r="K593" s="45">
        <v>1</v>
      </c>
      <c r="L593" s="1" t="s">
        <v>816</v>
      </c>
      <c r="M593" s="1" t="s">
        <v>812</v>
      </c>
      <c r="N593" s="1" t="s">
        <v>1140</v>
      </c>
      <c r="O593" s="1" t="s">
        <v>1189</v>
      </c>
      <c r="P593" s="1" t="s">
        <v>1190</v>
      </c>
      <c r="Q593" s="44">
        <f>IF(L593="871",Multipliers!C306,"oops")</f>
        <v>0.85</v>
      </c>
      <c r="R593" s="44">
        <f>IF(M593="New Mexico",Multipliers!C96, "GOOF")</f>
        <v>0.92</v>
      </c>
      <c r="S593" s="46">
        <f t="shared" si="293"/>
        <v>345161.04700000002</v>
      </c>
      <c r="T593" s="46">
        <f t="shared" si="294"/>
        <v>359696.60440000001</v>
      </c>
      <c r="U593" s="46">
        <f t="shared" si="296"/>
        <v>356099.63835600001</v>
      </c>
      <c r="V593" s="46">
        <f t="shared" si="297"/>
        <v>350630.34267799999</v>
      </c>
      <c r="W593" s="47">
        <f t="shared" si="295"/>
        <v>350630.34267799999</v>
      </c>
      <c r="X593" s="47"/>
      <c r="Y593" s="48">
        <f t="shared" si="298"/>
        <v>279882.57296999998</v>
      </c>
      <c r="Z593" s="48">
        <f t="shared" si="299"/>
        <v>309306.133164</v>
      </c>
      <c r="AA593" s="48">
        <f t="shared" si="300"/>
        <v>350630.34267799999</v>
      </c>
      <c r="AB593" s="48">
        <f t="shared" si="301"/>
        <v>379835.61278600001</v>
      </c>
      <c r="AC593" s="48">
        <f t="shared" si="302"/>
        <v>409480.15137400007</v>
      </c>
      <c r="AD593" s="1"/>
      <c r="AE593" s="1"/>
      <c r="AF593" s="1"/>
      <c r="AI593" s="9"/>
      <c r="AJ593" s="1"/>
      <c r="AK593" s="1"/>
      <c r="AL593" s="1"/>
      <c r="AM593" s="1"/>
      <c r="AN593" s="1"/>
      <c r="AO593" s="1"/>
      <c r="AP593" s="9"/>
      <c r="AQ593" s="3"/>
      <c r="AR593" s="4"/>
      <c r="AS593" s="1"/>
      <c r="AT593" s="1"/>
      <c r="AU593" s="1"/>
      <c r="AV593" s="1"/>
      <c r="AW593" s="1"/>
      <c r="AX593" s="3"/>
      <c r="AY593" s="3"/>
      <c r="AZ593" s="5"/>
      <c r="BA593" s="5"/>
      <c r="BB593" s="5"/>
      <c r="BC593" s="5"/>
      <c r="BD593" s="6"/>
      <c r="BE593" s="6"/>
      <c r="BF593" s="12"/>
      <c r="BG593" s="12"/>
      <c r="BH593" s="12"/>
      <c r="BI593" s="12"/>
      <c r="BJ593" s="12"/>
    </row>
    <row r="594" spans="2:62" x14ac:dyDescent="0.25">
      <c r="B594" s="1" t="s">
        <v>805</v>
      </c>
      <c r="C594" s="1" t="s">
        <v>872</v>
      </c>
      <c r="D594" s="1" t="s">
        <v>1190</v>
      </c>
      <c r="E594" s="1" t="s">
        <v>873</v>
      </c>
      <c r="F594" s="1" t="s">
        <v>874</v>
      </c>
      <c r="G594" s="1" t="s">
        <v>809</v>
      </c>
      <c r="H594" s="1" t="s">
        <v>810</v>
      </c>
      <c r="I594" s="7" t="s">
        <v>322</v>
      </c>
      <c r="J594" s="44">
        <v>1</v>
      </c>
      <c r="K594" s="45">
        <v>1</v>
      </c>
      <c r="L594" s="1" t="s">
        <v>816</v>
      </c>
      <c r="M594" s="1" t="s">
        <v>812</v>
      </c>
      <c r="N594" s="1" t="s">
        <v>1140</v>
      </c>
      <c r="O594" s="1" t="s">
        <v>1189</v>
      </c>
      <c r="P594" s="1" t="s">
        <v>1190</v>
      </c>
      <c r="Q594" s="44">
        <f>IF(L594="871",Multipliers!C306,"oops")</f>
        <v>0.85</v>
      </c>
      <c r="R594" s="44">
        <f>IF(M594="New Mexico",Multipliers!C96, "GOOF")</f>
        <v>0.92</v>
      </c>
      <c r="S594" s="46">
        <f t="shared" si="293"/>
        <v>345161.04700000002</v>
      </c>
      <c r="T594" s="46">
        <f t="shared" si="294"/>
        <v>359696.60440000001</v>
      </c>
      <c r="U594" s="46">
        <f t="shared" si="296"/>
        <v>356099.63835600001</v>
      </c>
      <c r="V594" s="46">
        <f t="shared" si="297"/>
        <v>350630.34267799999</v>
      </c>
      <c r="W594" s="47">
        <f t="shared" si="295"/>
        <v>350630.34267799999</v>
      </c>
      <c r="X594" s="47"/>
      <c r="Y594" s="48">
        <f t="shared" si="298"/>
        <v>279882.57296999998</v>
      </c>
      <c r="Z594" s="48">
        <f t="shared" si="299"/>
        <v>309306.133164</v>
      </c>
      <c r="AA594" s="48">
        <f t="shared" si="300"/>
        <v>350630.34267799999</v>
      </c>
      <c r="AB594" s="48">
        <f t="shared" si="301"/>
        <v>379835.61278600001</v>
      </c>
      <c r="AC594" s="48">
        <f t="shared" si="302"/>
        <v>409480.15137400007</v>
      </c>
      <c r="AD594" s="1"/>
      <c r="AE594" s="1"/>
      <c r="AF594" s="1"/>
      <c r="AI594" s="9"/>
      <c r="AJ594" s="1"/>
      <c r="AK594" s="1"/>
      <c r="AL594" s="1"/>
      <c r="AM594" s="1"/>
      <c r="AN594" s="1"/>
      <c r="AO594" s="1"/>
      <c r="AP594" s="9"/>
      <c r="AQ594" s="3"/>
      <c r="AR594" s="4"/>
      <c r="AS594" s="1"/>
      <c r="AT594" s="1"/>
      <c r="AU594" s="1"/>
      <c r="AV594" s="1"/>
      <c r="AW594" s="1"/>
      <c r="AX594" s="3"/>
      <c r="AY594" s="3"/>
      <c r="AZ594" s="5"/>
      <c r="BA594" s="5"/>
      <c r="BB594" s="5"/>
      <c r="BC594" s="5"/>
      <c r="BD594" s="6"/>
      <c r="BE594" s="6"/>
      <c r="BF594" s="12"/>
      <c r="BG594" s="12"/>
      <c r="BH594" s="12"/>
      <c r="BI594" s="12"/>
      <c r="BJ594" s="12"/>
    </row>
    <row r="595" spans="2:62" x14ac:dyDescent="0.25">
      <c r="B595" s="1" t="s">
        <v>805</v>
      </c>
      <c r="C595" s="1" t="s">
        <v>875</v>
      </c>
      <c r="D595" s="1" t="s">
        <v>1190</v>
      </c>
      <c r="E595" s="1" t="s">
        <v>876</v>
      </c>
      <c r="F595" s="1" t="s">
        <v>877</v>
      </c>
      <c r="G595" s="1" t="s">
        <v>844</v>
      </c>
      <c r="H595" s="1" t="s">
        <v>845</v>
      </c>
      <c r="I595" s="7" t="s">
        <v>322</v>
      </c>
      <c r="J595" s="44">
        <v>1</v>
      </c>
      <c r="K595" s="45">
        <v>1</v>
      </c>
      <c r="L595" s="1" t="s">
        <v>846</v>
      </c>
      <c r="M595" s="1" t="s">
        <v>812</v>
      </c>
      <c r="N595" s="1" t="s">
        <v>1140</v>
      </c>
      <c r="O595" s="1" t="s">
        <v>1189</v>
      </c>
      <c r="P595" s="1" t="s">
        <v>1190</v>
      </c>
      <c r="Q595" s="44">
        <f>IF(L595="875",Multipliers!C308,"oops")</f>
        <v>0.85</v>
      </c>
      <c r="R595" s="44">
        <f>IF(M595="New Mexico",Multipliers!C96, "GOOF")</f>
        <v>0.92</v>
      </c>
      <c r="S595" s="46">
        <f t="shared" si="293"/>
        <v>345161.04700000002</v>
      </c>
      <c r="T595" s="46">
        <f t="shared" si="294"/>
        <v>359696.60440000001</v>
      </c>
      <c r="U595" s="46">
        <f t="shared" si="296"/>
        <v>356099.63835600001</v>
      </c>
      <c r="V595" s="46">
        <f t="shared" si="297"/>
        <v>350630.34267799999</v>
      </c>
      <c r="W595" s="47">
        <f t="shared" si="295"/>
        <v>350630.34267799999</v>
      </c>
      <c r="X595" s="47"/>
      <c r="Y595" s="48">
        <f t="shared" si="298"/>
        <v>279882.57296999998</v>
      </c>
      <c r="Z595" s="48">
        <f t="shared" si="299"/>
        <v>309306.133164</v>
      </c>
      <c r="AA595" s="48">
        <f t="shared" si="300"/>
        <v>350630.34267799999</v>
      </c>
      <c r="AB595" s="48">
        <f t="shared" si="301"/>
        <v>379835.61278600001</v>
      </c>
      <c r="AC595" s="48">
        <f t="shared" si="302"/>
        <v>409480.15137400007</v>
      </c>
      <c r="AD595" s="1"/>
      <c r="AE595" s="1"/>
      <c r="AF595" s="1"/>
      <c r="AI595" s="9"/>
      <c r="AJ595" s="1"/>
      <c r="AK595" s="1"/>
      <c r="AL595" s="1"/>
      <c r="AM595" s="1"/>
      <c r="AN595" s="1"/>
      <c r="AO595" s="1"/>
      <c r="AP595" s="9"/>
      <c r="AQ595" s="3"/>
      <c r="AR595" s="4"/>
      <c r="AS595" s="1"/>
      <c r="AT595" s="1"/>
      <c r="AU595" s="1"/>
      <c r="AV595" s="1"/>
      <c r="AW595" s="1"/>
      <c r="AX595" s="3"/>
      <c r="AY595" s="3"/>
      <c r="AZ595" s="5"/>
      <c r="BA595" s="5"/>
      <c r="BB595" s="5"/>
      <c r="BC595" s="5"/>
      <c r="BD595" s="6"/>
      <c r="BE595" s="6"/>
      <c r="BF595" s="12"/>
      <c r="BG595" s="12"/>
      <c r="BH595" s="12"/>
      <c r="BI595" s="12"/>
      <c r="BJ595" s="12"/>
    </row>
    <row r="596" spans="2:62" x14ac:dyDescent="0.25">
      <c r="B596" s="1" t="s">
        <v>805</v>
      </c>
      <c r="C596" s="1" t="s">
        <v>878</v>
      </c>
      <c r="D596" s="1" t="s">
        <v>1190</v>
      </c>
      <c r="E596" s="1" t="s">
        <v>879</v>
      </c>
      <c r="F596" s="1" t="s">
        <v>880</v>
      </c>
      <c r="G596" s="1" t="s">
        <v>844</v>
      </c>
      <c r="H596" s="1" t="s">
        <v>845</v>
      </c>
      <c r="I596" s="7" t="s">
        <v>322</v>
      </c>
      <c r="J596" s="44">
        <v>1</v>
      </c>
      <c r="K596" s="45">
        <v>1</v>
      </c>
      <c r="L596" s="1" t="s">
        <v>846</v>
      </c>
      <c r="M596" s="1" t="s">
        <v>847</v>
      </c>
      <c r="N596" s="1" t="s">
        <v>1140</v>
      </c>
      <c r="O596" s="1" t="s">
        <v>1189</v>
      </c>
      <c r="P596" s="1" t="s">
        <v>1190</v>
      </c>
      <c r="Q596" s="44">
        <f>IF(L596="875",Multipliers!C308,"oops")</f>
        <v>0.85</v>
      </c>
      <c r="R596" s="44">
        <f>IF(M596="Santa Fe",Multipliers!C100, "GOOF")</f>
        <v>0.96</v>
      </c>
      <c r="S596" s="46">
        <f t="shared" si="293"/>
        <v>345161.04700000002</v>
      </c>
      <c r="T596" s="46">
        <f t="shared" si="294"/>
        <v>375335.58720000001</v>
      </c>
      <c r="U596" s="46">
        <f t="shared" si="296"/>
        <v>371582.23132800002</v>
      </c>
      <c r="V596" s="46">
        <f t="shared" si="297"/>
        <v>358371.63916400005</v>
      </c>
      <c r="W596" s="47">
        <f t="shared" si="295"/>
        <v>358371.63916400005</v>
      </c>
      <c r="X596" s="47"/>
      <c r="Y596" s="48">
        <f t="shared" si="298"/>
        <v>285857.60511</v>
      </c>
      <c r="Z596" s="48">
        <f t="shared" si="299"/>
        <v>316006.94143200002</v>
      </c>
      <c r="AA596" s="48">
        <f t="shared" si="300"/>
        <v>358371.63916399999</v>
      </c>
      <c r="AB596" s="48">
        <f t="shared" si="301"/>
        <v>388300.97091799998</v>
      </c>
      <c r="AC596" s="48">
        <f t="shared" si="302"/>
        <v>418620.07016199996</v>
      </c>
      <c r="AD596" s="1"/>
      <c r="AE596" s="1"/>
      <c r="AF596" s="1"/>
      <c r="AI596" s="9"/>
      <c r="AJ596" s="1"/>
      <c r="AK596" s="1"/>
      <c r="AL596" s="1"/>
      <c r="AM596" s="1"/>
      <c r="AN596" s="1"/>
      <c r="AO596" s="1"/>
      <c r="AP596" s="9"/>
      <c r="AQ596" s="3"/>
      <c r="AR596" s="4"/>
      <c r="AS596" s="1"/>
      <c r="AT596" s="1"/>
      <c r="AU596" s="1"/>
      <c r="AV596" s="1"/>
      <c r="AW596" s="1"/>
      <c r="AX596" s="3"/>
      <c r="AY596" s="3"/>
      <c r="AZ596" s="5"/>
      <c r="BA596" s="5"/>
      <c r="BB596" s="5"/>
      <c r="BC596" s="5"/>
      <c r="BD596" s="6"/>
      <c r="BE596" s="6"/>
      <c r="BF596" s="12"/>
      <c r="BG596" s="12"/>
      <c r="BH596" s="12"/>
      <c r="BI596" s="12"/>
      <c r="BJ596" s="12"/>
    </row>
    <row r="597" spans="2:62" x14ac:dyDescent="0.25">
      <c r="B597" s="1" t="s">
        <v>805</v>
      </c>
      <c r="C597" s="1" t="s">
        <v>881</v>
      </c>
      <c r="D597" s="1" t="s">
        <v>1190</v>
      </c>
      <c r="E597" s="1" t="s">
        <v>882</v>
      </c>
      <c r="F597" s="1" t="s">
        <v>883</v>
      </c>
      <c r="G597" s="1" t="s">
        <v>809</v>
      </c>
      <c r="H597" s="1" t="s">
        <v>810</v>
      </c>
      <c r="I597" s="7" t="s">
        <v>322</v>
      </c>
      <c r="J597" s="44">
        <v>1</v>
      </c>
      <c r="K597" s="45">
        <v>1</v>
      </c>
      <c r="L597" s="1" t="s">
        <v>816</v>
      </c>
      <c r="M597" s="1" t="s">
        <v>812</v>
      </c>
      <c r="N597" s="1" t="s">
        <v>1140</v>
      </c>
      <c r="O597" s="1" t="s">
        <v>1189</v>
      </c>
      <c r="P597" s="1" t="s">
        <v>1190</v>
      </c>
      <c r="Q597" s="44">
        <f>IF(L597="871",Multipliers!C306,"oops")</f>
        <v>0.85</v>
      </c>
      <c r="R597" s="44">
        <f>IF(M597="New Mexico",Multipliers!C96, "GOOF")</f>
        <v>0.92</v>
      </c>
      <c r="S597" s="46">
        <f t="shared" si="293"/>
        <v>345161.04700000002</v>
      </c>
      <c r="T597" s="46">
        <f t="shared" si="294"/>
        <v>359696.60440000001</v>
      </c>
      <c r="U597" s="46">
        <f t="shared" si="296"/>
        <v>356099.63835600001</v>
      </c>
      <c r="V597" s="46">
        <f t="shared" si="297"/>
        <v>350630.34267799999</v>
      </c>
      <c r="W597" s="47">
        <f t="shared" si="295"/>
        <v>350630.34267799999</v>
      </c>
      <c r="X597" s="47"/>
      <c r="Y597" s="48">
        <f t="shared" si="298"/>
        <v>279882.57296999998</v>
      </c>
      <c r="Z597" s="48">
        <f t="shared" si="299"/>
        <v>309306.133164</v>
      </c>
      <c r="AA597" s="48">
        <f t="shared" si="300"/>
        <v>350630.34267799999</v>
      </c>
      <c r="AB597" s="48">
        <f t="shared" si="301"/>
        <v>379835.61278600001</v>
      </c>
      <c r="AC597" s="48">
        <f t="shared" si="302"/>
        <v>409480.15137400007</v>
      </c>
      <c r="AD597" s="1"/>
      <c r="AE597" s="1"/>
      <c r="AF597" s="1"/>
      <c r="AI597" s="9"/>
      <c r="AJ597" s="1"/>
      <c r="AK597" s="1"/>
      <c r="AL597" s="1"/>
      <c r="AM597" s="1"/>
      <c r="AN597" s="1"/>
      <c r="AO597" s="1"/>
      <c r="AP597" s="9"/>
      <c r="AQ597" s="3"/>
      <c r="AR597" s="4"/>
      <c r="AS597" s="1"/>
      <c r="AT597" s="1"/>
      <c r="AU597" s="1"/>
      <c r="AV597" s="1"/>
      <c r="AW597" s="1"/>
      <c r="AX597" s="3"/>
      <c r="AY597" s="3"/>
      <c r="AZ597" s="5"/>
      <c r="BA597" s="5"/>
      <c r="BB597" s="5"/>
      <c r="BC597" s="5"/>
      <c r="BD597" s="6"/>
      <c r="BE597" s="6"/>
      <c r="BF597" s="12"/>
      <c r="BG597" s="12"/>
      <c r="BH597" s="12"/>
      <c r="BI597" s="12"/>
      <c r="BJ597" s="12"/>
    </row>
    <row r="598" spans="2:62" x14ac:dyDescent="0.25">
      <c r="B598" s="1" t="s">
        <v>805</v>
      </c>
      <c r="C598" s="1" t="s">
        <v>884</v>
      </c>
      <c r="D598" s="1" t="s">
        <v>1190</v>
      </c>
      <c r="E598" s="1" t="s">
        <v>885</v>
      </c>
      <c r="F598" s="1" t="s">
        <v>886</v>
      </c>
      <c r="G598" s="1" t="s">
        <v>887</v>
      </c>
      <c r="H598" s="1" t="s">
        <v>888</v>
      </c>
      <c r="I598" s="7" t="s">
        <v>322</v>
      </c>
      <c r="J598" s="44">
        <v>1</v>
      </c>
      <c r="K598" s="45">
        <v>1</v>
      </c>
      <c r="L598" s="1" t="s">
        <v>889</v>
      </c>
      <c r="M598" s="1" t="s">
        <v>890</v>
      </c>
      <c r="N598" s="1" t="s">
        <v>1140</v>
      </c>
      <c r="O598" s="1" t="s">
        <v>1189</v>
      </c>
      <c r="P598" s="1" t="s">
        <v>1190</v>
      </c>
      <c r="Q598" s="44">
        <f>IF(L598="873",Multipliers!C307,"oops")</f>
        <v>0.85</v>
      </c>
      <c r="R598" s="44">
        <f>IF(M598="Gallup",Multipliers!C99, "GOOF")</f>
        <v>0.89</v>
      </c>
      <c r="S598" s="46">
        <f t="shared" si="293"/>
        <v>345161.04700000002</v>
      </c>
      <c r="T598" s="46">
        <f t="shared" si="294"/>
        <v>347967.36730000004</v>
      </c>
      <c r="U598" s="46">
        <f t="shared" si="296"/>
        <v>344487.69362700003</v>
      </c>
      <c r="V598" s="46">
        <f t="shared" si="297"/>
        <v>344824.37031350005</v>
      </c>
      <c r="W598" s="47">
        <f>IF(F598=F597,(V598+V597)/2,V598)</f>
        <v>344824.37031350005</v>
      </c>
      <c r="X598" s="47"/>
      <c r="Y598" s="48">
        <f t="shared" si="298"/>
        <v>275401.29886499996</v>
      </c>
      <c r="Z598" s="48">
        <f t="shared" si="299"/>
        <v>304280.52696299995</v>
      </c>
      <c r="AA598" s="48">
        <f t="shared" si="300"/>
        <v>344824.37031350005</v>
      </c>
      <c r="AB598" s="48">
        <f t="shared" si="301"/>
        <v>373486.59418700001</v>
      </c>
      <c r="AC598" s="48">
        <f t="shared" si="302"/>
        <v>402625.212283</v>
      </c>
      <c r="AD598" s="1"/>
      <c r="AE598" s="1"/>
      <c r="AF598" s="1"/>
      <c r="AI598" s="9"/>
      <c r="AJ598" s="1"/>
      <c r="AK598" s="1"/>
      <c r="AL598" s="1"/>
      <c r="AM598" s="1"/>
      <c r="AN598" s="1"/>
      <c r="AO598" s="1"/>
      <c r="AP598" s="9"/>
      <c r="AQ598" s="3"/>
      <c r="AR598" s="4"/>
      <c r="AS598" s="1"/>
      <c r="AT598" s="1"/>
      <c r="AU598" s="1"/>
      <c r="AV598" s="1"/>
      <c r="AW598" s="1"/>
      <c r="AX598" s="3"/>
      <c r="AY598" s="3"/>
      <c r="AZ598" s="5"/>
      <c r="BA598" s="5"/>
      <c r="BB598" s="5"/>
      <c r="BC598" s="5"/>
      <c r="BD598" s="6"/>
      <c r="BE598" s="6"/>
      <c r="BF598" s="12"/>
      <c r="BG598" s="12"/>
      <c r="BH598" s="12"/>
      <c r="BI598" s="12"/>
      <c r="BJ598" s="12"/>
    </row>
    <row r="599" spans="2:62" x14ac:dyDescent="0.25">
      <c r="B599" s="1" t="s">
        <v>891</v>
      </c>
      <c r="C599" s="1" t="s">
        <v>892</v>
      </c>
      <c r="D599" s="1" t="s">
        <v>1190</v>
      </c>
      <c r="E599" s="1" t="s">
        <v>893</v>
      </c>
      <c r="F599" s="1" t="s">
        <v>894</v>
      </c>
      <c r="G599" s="1" t="s">
        <v>895</v>
      </c>
      <c r="H599" s="1" t="s">
        <v>896</v>
      </c>
      <c r="I599" s="7" t="s">
        <v>322</v>
      </c>
      <c r="J599" s="44">
        <v>1</v>
      </c>
      <c r="K599" s="45">
        <v>1</v>
      </c>
      <c r="L599" s="1" t="s">
        <v>897</v>
      </c>
      <c r="M599" s="1" t="s">
        <v>898</v>
      </c>
      <c r="N599" s="1" t="s">
        <v>1140</v>
      </c>
      <c r="O599" s="1" t="s">
        <v>1189</v>
      </c>
      <c r="P599" s="1" t="s">
        <v>1190</v>
      </c>
      <c r="Q599" s="44">
        <f>IF(L599="898",Multipliers!C298,"oops")</f>
        <v>0.99</v>
      </c>
      <c r="R599" s="44">
        <f>IF(M599="Elko",Multipliers!C90, "GOOF")</f>
        <v>1.1000000000000001</v>
      </c>
      <c r="S599" s="46">
        <f t="shared" si="293"/>
        <v>402011.10180000006</v>
      </c>
      <c r="T599" s="46">
        <f t="shared" si="294"/>
        <v>430072.027</v>
      </c>
      <c r="U599" s="46">
        <f t="shared" si="296"/>
        <v>425771.30673000001</v>
      </c>
      <c r="V599" s="46">
        <f t="shared" si="297"/>
        <v>413891.20426500007</v>
      </c>
      <c r="W599" s="47">
        <f t="shared" ref="W599:W617" si="303">IF(F599=F600,(V599+V600)/2,IF(F599=F598,(V599+V598)/2,IF(F599&lt;&gt;F598,V599)))</f>
        <v>413891.20426500007</v>
      </c>
      <c r="X599" s="47"/>
      <c r="Y599" s="48">
        <f t="shared" si="298"/>
        <v>330233.69610000006</v>
      </c>
      <c r="Z599" s="48">
        <f t="shared" si="299"/>
        <v>365020.07157000003</v>
      </c>
      <c r="AA599" s="48">
        <f t="shared" si="300"/>
        <v>413891.20426500001</v>
      </c>
      <c r="AB599" s="48">
        <f t="shared" si="301"/>
        <v>448422.11568000005</v>
      </c>
      <c r="AC599" s="48">
        <f t="shared" si="302"/>
        <v>483429.41262000002</v>
      </c>
      <c r="AD599" s="1"/>
      <c r="AE599" s="1"/>
      <c r="AF599" s="1"/>
      <c r="AI599" s="9"/>
      <c r="AJ599" s="1"/>
      <c r="AK599" s="1"/>
      <c r="AL599" s="1"/>
      <c r="AM599" s="7"/>
      <c r="AN599" s="1"/>
      <c r="AO599" s="1"/>
      <c r="AP599" s="9"/>
      <c r="AQ599" s="3"/>
      <c r="AR599" s="4"/>
      <c r="AS599" s="1"/>
      <c r="AT599" s="1"/>
      <c r="AU599" s="1"/>
      <c r="AV599" s="1"/>
      <c r="AW599" s="1"/>
      <c r="AX599" s="3"/>
      <c r="AY599" s="3"/>
      <c r="AZ599" s="5"/>
      <c r="BA599" s="5"/>
      <c r="BB599" s="5"/>
      <c r="BC599" s="5"/>
      <c r="BD599" s="6"/>
      <c r="BE599" s="6"/>
      <c r="BF599" s="12"/>
      <c r="BG599" s="12"/>
      <c r="BH599" s="12"/>
      <c r="BI599" s="12"/>
      <c r="BJ599" s="12"/>
    </row>
    <row r="600" spans="2:62" x14ac:dyDescent="0.25">
      <c r="B600" s="1" t="s">
        <v>891</v>
      </c>
      <c r="C600" s="1" t="s">
        <v>899</v>
      </c>
      <c r="D600" s="1" t="s">
        <v>1190</v>
      </c>
      <c r="E600" s="1" t="s">
        <v>900</v>
      </c>
      <c r="F600" s="1" t="s">
        <v>901</v>
      </c>
      <c r="G600" s="1" t="s">
        <v>902</v>
      </c>
      <c r="H600" s="1" t="s">
        <v>903</v>
      </c>
      <c r="I600" s="7" t="s">
        <v>322</v>
      </c>
      <c r="J600" s="44">
        <v>1</v>
      </c>
      <c r="K600" s="45">
        <v>1</v>
      </c>
      <c r="L600" s="1" t="s">
        <v>904</v>
      </c>
      <c r="M600" s="1" t="s">
        <v>905</v>
      </c>
      <c r="N600" s="1" t="s">
        <v>1140</v>
      </c>
      <c r="O600" s="1" t="s">
        <v>1189</v>
      </c>
      <c r="P600" s="1" t="s">
        <v>1190</v>
      </c>
      <c r="Q600" s="44">
        <f>IF(L600="890",Multipliers!C293,"oops")</f>
        <v>1.02</v>
      </c>
      <c r="R600" s="44">
        <f>IF(M600="NEVADA",Multipliers!C89, "GOOF")</f>
        <v>1.0900000000000001</v>
      </c>
      <c r="S600" s="46">
        <f t="shared" si="293"/>
        <v>414193.25640000007</v>
      </c>
      <c r="T600" s="46">
        <f t="shared" si="294"/>
        <v>426162.28130000003</v>
      </c>
      <c r="U600" s="46">
        <f t="shared" si="296"/>
        <v>421900.65848700004</v>
      </c>
      <c r="V600" s="46">
        <f t="shared" si="297"/>
        <v>418046.95744350005</v>
      </c>
      <c r="W600" s="47">
        <f t="shared" si="303"/>
        <v>418046.95744350005</v>
      </c>
      <c r="X600" s="47"/>
      <c r="Y600" s="48">
        <f t="shared" si="298"/>
        <v>333767.82631500001</v>
      </c>
      <c r="Z600" s="48">
        <f t="shared" si="299"/>
        <v>368822.07690299995</v>
      </c>
      <c r="AA600" s="48">
        <f t="shared" si="300"/>
        <v>418046.95744350005</v>
      </c>
      <c r="AB600" s="48">
        <f t="shared" si="301"/>
        <v>452839.85999700008</v>
      </c>
      <c r="AC600" s="48">
        <f t="shared" si="302"/>
        <v>488177.21007300005</v>
      </c>
      <c r="AD600" s="1"/>
      <c r="AE600" s="1"/>
      <c r="AF600" s="1"/>
      <c r="AI600" s="9"/>
      <c r="AJ600" s="1"/>
      <c r="AK600" s="1"/>
      <c r="AL600" s="1"/>
      <c r="AM600" s="1"/>
      <c r="AN600" s="1"/>
      <c r="AO600" s="1"/>
      <c r="AP600" s="9"/>
      <c r="AQ600" s="3"/>
      <c r="AR600" s="4"/>
      <c r="AS600" s="1"/>
      <c r="AT600" s="1"/>
      <c r="AU600" s="1"/>
      <c r="AV600" s="1"/>
      <c r="AW600" s="1"/>
      <c r="AX600" s="3"/>
      <c r="AY600" s="3"/>
      <c r="AZ600" s="5"/>
      <c r="BA600" s="5"/>
      <c r="BB600" s="5"/>
      <c r="BC600" s="5"/>
      <c r="BD600" s="6"/>
      <c r="BE600" s="6"/>
      <c r="BF600" s="12"/>
      <c r="BG600" s="12"/>
      <c r="BH600" s="12"/>
      <c r="BI600" s="12"/>
      <c r="BJ600" s="12"/>
    </row>
    <row r="601" spans="2:62" x14ac:dyDescent="0.25">
      <c r="B601" s="1" t="s">
        <v>891</v>
      </c>
      <c r="C601" s="1" t="s">
        <v>906</v>
      </c>
      <c r="D601" s="1" t="s">
        <v>1190</v>
      </c>
      <c r="E601" s="1" t="s">
        <v>907</v>
      </c>
      <c r="F601" s="1" t="s">
        <v>908</v>
      </c>
      <c r="G601" s="1" t="s">
        <v>902</v>
      </c>
      <c r="H601" s="1" t="s">
        <v>903</v>
      </c>
      <c r="I601" s="7" t="s">
        <v>322</v>
      </c>
      <c r="J601" s="44">
        <v>1</v>
      </c>
      <c r="K601" s="45">
        <v>1</v>
      </c>
      <c r="L601" s="1" t="s">
        <v>909</v>
      </c>
      <c r="M601" s="1" t="s">
        <v>905</v>
      </c>
      <c r="N601" s="1" t="s">
        <v>1140</v>
      </c>
      <c r="O601" s="1" t="s">
        <v>1189</v>
      </c>
      <c r="P601" s="1" t="s">
        <v>1190</v>
      </c>
      <c r="Q601" s="44">
        <f>IF(L601="893",Multipliers!C295,"oops")</f>
        <v>1.02</v>
      </c>
      <c r="R601" s="44">
        <f>IF(M601="NEVADA",Multipliers!C89, "GOOF")</f>
        <v>1.0900000000000001</v>
      </c>
      <c r="S601" s="46">
        <f t="shared" ref="S601:S618" si="304">IF(N601="Standard",$O$5*Q601*$O$7,IF(N601="Severe",$O$4*Q601*$O$7,IF(N601="Hostile",$O$3*Q601*$O$7)))</f>
        <v>414193.25640000007</v>
      </c>
      <c r="T601" s="46">
        <f>IF(N601="Standard",$P$5*R601*$O$7,IF(N601="Severe",$P$4*R601*$O$7,IF(N601="Hostile",$P$3*R601*$O$7)))</f>
        <v>426162.28130000003</v>
      </c>
      <c r="U601" s="46">
        <f>IF(O601="E",$T$3*T601,IF(O601="C",$T$4*T601,IF(O601="W",$T$5*T601,1)))</f>
        <v>421900.65848700004</v>
      </c>
      <c r="V601" s="46">
        <f>(S601+U601)/2</f>
        <v>418046.95744350005</v>
      </c>
      <c r="W601" s="47">
        <f>IF(F601=F602,(V601+V602)/2,IF(F601=F600,(V601+V600)/2,IF(F601&lt;&gt;F600,V601)))</f>
        <v>418046.95744350005</v>
      </c>
      <c r="X601" s="47"/>
      <c r="Y601" s="48">
        <f>IF(N601="Standard",(((($Z$3*Q601)+($AD$3*R601*$T$5))/2)*$O$7),IF(N601="Severe",(((($AA$3*Q601)+($AE$3*R601*$T$5))/2)*$O$7),IF(N601="Hostile",(((($AB$3*Q601)+($AF$3*R601*$T$5))/2)*$O$7))))</f>
        <v>333767.82631500001</v>
      </c>
      <c r="Z601" s="48">
        <f>IF(N601="Standard",(((($Z$4*Q601)+($AD$4*R601*$T$5))/2)*$O$7),IF(N601="Severe",(((($AA$4*Q601)+($AE$4*R601*$T$5))/2)*$O$7),IF(N601="Hostile",(((($AB$4*Q601)+($AF$4*R601*$T$5))/2)*$O$7))))</f>
        <v>368822.07690299995</v>
      </c>
      <c r="AA601" s="48">
        <f>IF(N601="Standard",((($Z$5*Q601)+($AD$5*R601*$T$5))/2)*$O$7,IF(N601="Severe",((($AA$5*Q601)+($AE$5*R601*$T$5))/2)*$O$7,IF(N601="Hostile",((($AB$5*Q601)+($AF$5*R601*$T$5))/2)*$O$7)))</f>
        <v>418046.95744350005</v>
      </c>
      <c r="AB601" s="48">
        <f>IF(N601="Standard",((($Z$6*Q601)+($AD$6*R601*$T$5))/2)*$O$7,IF(N601="Severe",((($AA$6*Q601)+($AE$6*R601*$T$5))/2)*$O$7,IF(N601="Hostile",((($AB$6*Q601)+($AF$6*R601*$T$5))/2)*$O$7)))</f>
        <v>452839.85999700008</v>
      </c>
      <c r="AC601" s="48">
        <f>IF(N601="Standard",((($Z$7*Q601)+($AD$7*R601*$T$5))/2)*$O$7,IF(N601="Severe",((($AA$7*Q601)+($AE$7*R601*$T$5))/2)*$O$7,IF(N601="Hostile",((($AB$7*Q601)+($AF$7*R601*$T$5))/2)*$O$7)))</f>
        <v>488177.21007300005</v>
      </c>
      <c r="AD601" s="1"/>
      <c r="AE601" s="1"/>
      <c r="AF601" s="1"/>
      <c r="AI601" s="9"/>
      <c r="AJ601" s="1"/>
      <c r="AK601" s="1"/>
      <c r="AL601" s="1"/>
      <c r="AM601" s="1"/>
      <c r="AN601" s="1"/>
      <c r="AO601" s="1"/>
      <c r="AP601" s="9"/>
      <c r="AQ601" s="3"/>
      <c r="AR601" s="4"/>
      <c r="AS601" s="1"/>
      <c r="AT601" s="1"/>
      <c r="AU601" s="1"/>
      <c r="AV601" s="1"/>
      <c r="AW601" s="1"/>
      <c r="AX601" s="3"/>
      <c r="AY601" s="3"/>
      <c r="AZ601" s="5"/>
      <c r="BA601" s="5"/>
      <c r="BB601" s="5"/>
      <c r="BC601" s="5"/>
      <c r="BD601" s="6"/>
      <c r="BE601" s="6"/>
      <c r="BF601" s="12"/>
      <c r="BG601" s="12"/>
      <c r="BH601" s="12"/>
      <c r="BI601" s="12"/>
      <c r="BJ601" s="12"/>
    </row>
    <row r="602" spans="2:62" x14ac:dyDescent="0.25">
      <c r="B602" s="1" t="s">
        <v>891</v>
      </c>
      <c r="C602" s="1" t="s">
        <v>910</v>
      </c>
      <c r="D602" s="1" t="s">
        <v>1190</v>
      </c>
      <c r="E602" s="1" t="s">
        <v>911</v>
      </c>
      <c r="F602" s="1" t="s">
        <v>912</v>
      </c>
      <c r="G602" s="1" t="s">
        <v>913</v>
      </c>
      <c r="H602" s="1" t="s">
        <v>914</v>
      </c>
      <c r="I602" s="7" t="s">
        <v>322</v>
      </c>
      <c r="J602" s="44">
        <v>1</v>
      </c>
      <c r="K602" s="45">
        <v>1</v>
      </c>
      <c r="L602" s="1" t="s">
        <v>915</v>
      </c>
      <c r="M602" s="1" t="s">
        <v>916</v>
      </c>
      <c r="N602" s="1" t="s">
        <v>1140</v>
      </c>
      <c r="O602" s="1" t="s">
        <v>1189</v>
      </c>
      <c r="P602" s="1" t="s">
        <v>1190</v>
      </c>
      <c r="Q602" s="44">
        <f>IF(L602="894",Multipliers!C296,"oops")</f>
        <v>0.9</v>
      </c>
      <c r="R602" s="44">
        <f>IF(M602="Fallon",Multipliers!C91, "GOOF")</f>
        <v>1.01</v>
      </c>
      <c r="S602" s="46">
        <f t="shared" si="304"/>
        <v>365464.63800000009</v>
      </c>
      <c r="T602" s="46">
        <f t="shared" ref="T602:T618" si="305">IF(N602="Standard",$P$5*R602*$O$7,IF(N602="Severe",$P$4*R602*$O$7,IF(N602="Hostile",$P$3*R602*$O$7)))</f>
        <v>394884.31570000004</v>
      </c>
      <c r="U602" s="46">
        <f t="shared" si="296"/>
        <v>390935.47254300001</v>
      </c>
      <c r="V602" s="46">
        <f t="shared" si="297"/>
        <v>378200.05527150002</v>
      </c>
      <c r="W602" s="47">
        <f t="shared" si="303"/>
        <v>378200.05527150002</v>
      </c>
      <c r="X602" s="47"/>
      <c r="Y602" s="48">
        <f t="shared" si="298"/>
        <v>301706.20903500001</v>
      </c>
      <c r="Z602" s="48">
        <f t="shared" si="299"/>
        <v>333511.63076700002</v>
      </c>
      <c r="AA602" s="48">
        <f t="shared" si="300"/>
        <v>378200.05527150008</v>
      </c>
      <c r="AB602" s="48">
        <f t="shared" si="301"/>
        <v>409772.80833300005</v>
      </c>
      <c r="AC602" s="48">
        <f t="shared" si="302"/>
        <v>441766.26389700006</v>
      </c>
      <c r="AD602" s="1"/>
      <c r="AE602" s="1"/>
      <c r="AF602" s="1"/>
      <c r="AI602" s="9"/>
      <c r="AJ602" s="1"/>
      <c r="AK602" s="1"/>
      <c r="AL602" s="1"/>
      <c r="AM602" s="1"/>
      <c r="AN602" s="1"/>
      <c r="AO602" s="1"/>
      <c r="AP602" s="9"/>
      <c r="AQ602" s="3"/>
      <c r="AR602" s="4"/>
      <c r="AS602" s="1"/>
      <c r="AT602" s="1"/>
      <c r="AU602" s="1"/>
      <c r="AV602" s="1"/>
      <c r="AW602" s="1"/>
      <c r="AX602" s="3"/>
      <c r="AY602" s="3"/>
      <c r="AZ602" s="5"/>
      <c r="BA602" s="5"/>
      <c r="BB602" s="5"/>
      <c r="BC602" s="5"/>
      <c r="BD602" s="6"/>
      <c r="BE602" s="6"/>
      <c r="BF602" s="12"/>
      <c r="BG602" s="12"/>
      <c r="BH602" s="12"/>
      <c r="BI602" s="12"/>
      <c r="BJ602" s="12"/>
    </row>
    <row r="603" spans="2:62" x14ac:dyDescent="0.25">
      <c r="B603" s="1" t="s">
        <v>891</v>
      </c>
      <c r="C603" s="1" t="s">
        <v>917</v>
      </c>
      <c r="D603" s="1" t="s">
        <v>1190</v>
      </c>
      <c r="E603" s="1" t="s">
        <v>918</v>
      </c>
      <c r="F603" s="1" t="s">
        <v>919</v>
      </c>
      <c r="G603" s="1" t="s">
        <v>1190</v>
      </c>
      <c r="H603" s="1" t="s">
        <v>1190</v>
      </c>
      <c r="I603" s="7" t="s">
        <v>322</v>
      </c>
      <c r="J603" s="44">
        <v>1</v>
      </c>
      <c r="K603" s="45">
        <v>1</v>
      </c>
      <c r="L603" s="1" t="s">
        <v>920</v>
      </c>
      <c r="M603" s="1" t="s">
        <v>905</v>
      </c>
      <c r="N603" s="1" t="s">
        <v>1140</v>
      </c>
      <c r="O603" s="1" t="s">
        <v>1189</v>
      </c>
      <c r="P603" s="1" t="s">
        <v>1190</v>
      </c>
      <c r="Q603" s="44">
        <f>IF(L603="891",Multipliers!C294,"oops")</f>
        <v>1.02</v>
      </c>
      <c r="R603" s="44">
        <f>IF(M603="NEVADA",Multipliers!C89, "GOOF")</f>
        <v>1.0900000000000001</v>
      </c>
      <c r="S603" s="46">
        <f t="shared" si="304"/>
        <v>414193.25640000007</v>
      </c>
      <c r="T603" s="46">
        <f t="shared" si="305"/>
        <v>426162.28130000003</v>
      </c>
      <c r="U603" s="46">
        <f t="shared" si="296"/>
        <v>421900.65848700004</v>
      </c>
      <c r="V603" s="46">
        <f t="shared" si="297"/>
        <v>418046.95744350005</v>
      </c>
      <c r="W603" s="47">
        <f t="shared" si="303"/>
        <v>418046.95744350005</v>
      </c>
      <c r="X603" s="47"/>
      <c r="Y603" s="48">
        <f t="shared" si="298"/>
        <v>333767.82631500001</v>
      </c>
      <c r="Z603" s="48">
        <f t="shared" si="299"/>
        <v>368822.07690299995</v>
      </c>
      <c r="AA603" s="48">
        <f t="shared" si="300"/>
        <v>418046.95744350005</v>
      </c>
      <c r="AB603" s="48">
        <f t="shared" si="301"/>
        <v>452839.85999700008</v>
      </c>
      <c r="AC603" s="48">
        <f t="shared" si="302"/>
        <v>488177.21007300005</v>
      </c>
      <c r="AD603" s="1"/>
      <c r="AE603" s="1"/>
      <c r="AF603" s="1"/>
      <c r="AI603" s="9"/>
      <c r="AJ603" s="1"/>
      <c r="AK603" s="1"/>
      <c r="AL603" s="1"/>
      <c r="AM603" s="1"/>
      <c r="AN603" s="1"/>
      <c r="AO603" s="1"/>
      <c r="AP603" s="9"/>
      <c r="AQ603" s="3"/>
      <c r="AR603" s="4"/>
      <c r="AS603" s="1"/>
      <c r="AT603" s="1"/>
      <c r="AU603" s="1"/>
      <c r="AV603" s="1"/>
      <c r="AW603" s="1"/>
      <c r="AX603" s="3"/>
      <c r="AY603" s="3"/>
      <c r="AZ603" s="5"/>
      <c r="BA603" s="5"/>
      <c r="BB603" s="5"/>
      <c r="BC603" s="5"/>
      <c r="BD603" s="6"/>
      <c r="BE603" s="6"/>
      <c r="BF603" s="12"/>
      <c r="BG603" s="12"/>
      <c r="BH603" s="12"/>
      <c r="BI603" s="12"/>
      <c r="BJ603" s="12"/>
    </row>
    <row r="604" spans="2:62" x14ac:dyDescent="0.25">
      <c r="B604" s="1" t="s">
        <v>891</v>
      </c>
      <c r="C604" s="1" t="s">
        <v>921</v>
      </c>
      <c r="D604" s="1" t="s">
        <v>1190</v>
      </c>
      <c r="E604" s="1" t="s">
        <v>922</v>
      </c>
      <c r="F604" s="1" t="s">
        <v>923</v>
      </c>
      <c r="G604" s="1" t="s">
        <v>924</v>
      </c>
      <c r="H604" s="1" t="s">
        <v>925</v>
      </c>
      <c r="I604" s="7" t="s">
        <v>322</v>
      </c>
      <c r="J604" s="44">
        <v>1</v>
      </c>
      <c r="K604" s="45">
        <v>1</v>
      </c>
      <c r="L604" s="1" t="s">
        <v>915</v>
      </c>
      <c r="M604" s="1" t="s">
        <v>905</v>
      </c>
      <c r="N604" s="1" t="s">
        <v>1140</v>
      </c>
      <c r="O604" s="1" t="s">
        <v>1189</v>
      </c>
      <c r="P604" s="1" t="s">
        <v>1190</v>
      </c>
      <c r="Q604" s="44">
        <f>IF(L604="894",Multipliers!C296,"oops")</f>
        <v>0.9</v>
      </c>
      <c r="R604" s="44">
        <f>IF(M604="NEVADA",Multipliers!C89, "GOOF")</f>
        <v>1.0900000000000001</v>
      </c>
      <c r="S604" s="46">
        <f t="shared" si="304"/>
        <v>365464.63800000009</v>
      </c>
      <c r="T604" s="46">
        <f t="shared" si="305"/>
        <v>426162.28130000003</v>
      </c>
      <c r="U604" s="46">
        <f t="shared" si="296"/>
        <v>421900.65848700004</v>
      </c>
      <c r="V604" s="46">
        <f t="shared" si="297"/>
        <v>393682.64824350004</v>
      </c>
      <c r="W604" s="47">
        <f t="shared" si="303"/>
        <v>393682.64824350004</v>
      </c>
      <c r="X604" s="47"/>
      <c r="Y604" s="48">
        <f t="shared" si="298"/>
        <v>313656.27331500006</v>
      </c>
      <c r="Z604" s="48">
        <f t="shared" si="299"/>
        <v>346913.24730300001</v>
      </c>
      <c r="AA604" s="48">
        <f t="shared" si="300"/>
        <v>393682.64824350004</v>
      </c>
      <c r="AB604" s="48">
        <f t="shared" si="301"/>
        <v>426703.52459700004</v>
      </c>
      <c r="AC604" s="48">
        <f t="shared" si="302"/>
        <v>460046.10147300002</v>
      </c>
      <c r="AD604" s="1"/>
      <c r="AE604" s="1"/>
      <c r="AF604" s="1"/>
      <c r="AI604" s="9"/>
      <c r="AJ604" s="1"/>
      <c r="AK604" s="1"/>
      <c r="AL604" s="1"/>
      <c r="AM604" s="1"/>
      <c r="AN604" s="1"/>
      <c r="AO604" s="1"/>
      <c r="AP604" s="9"/>
      <c r="AQ604" s="3"/>
      <c r="AR604" s="4"/>
      <c r="AS604" s="1"/>
      <c r="AT604" s="1"/>
      <c r="AU604" s="1"/>
      <c r="AV604" s="1"/>
      <c r="AW604" s="1"/>
      <c r="AX604" s="3"/>
      <c r="AY604" s="3"/>
      <c r="AZ604" s="5"/>
      <c r="BA604" s="5"/>
      <c r="BB604" s="5"/>
      <c r="BC604" s="5"/>
      <c r="BD604" s="6"/>
      <c r="BE604" s="6"/>
      <c r="BF604" s="12"/>
      <c r="BG604" s="12"/>
      <c r="BH604" s="12"/>
      <c r="BI604" s="12"/>
      <c r="BJ604" s="12"/>
    </row>
    <row r="605" spans="2:62" x14ac:dyDescent="0.25">
      <c r="B605" s="1" t="s">
        <v>891</v>
      </c>
      <c r="C605" s="1" t="s">
        <v>926</v>
      </c>
      <c r="D605" s="1" t="s">
        <v>1190</v>
      </c>
      <c r="E605" s="1" t="s">
        <v>927</v>
      </c>
      <c r="F605" s="1" t="s">
        <v>928</v>
      </c>
      <c r="G605" s="1" t="s">
        <v>929</v>
      </c>
      <c r="H605" s="1" t="s">
        <v>930</v>
      </c>
      <c r="I605" s="7" t="s">
        <v>322</v>
      </c>
      <c r="J605" s="44">
        <v>1</v>
      </c>
      <c r="K605" s="45">
        <v>1</v>
      </c>
      <c r="L605" s="1" t="s">
        <v>920</v>
      </c>
      <c r="M605" s="1" t="s">
        <v>905</v>
      </c>
      <c r="N605" s="1" t="s">
        <v>1140</v>
      </c>
      <c r="O605" s="1" t="s">
        <v>1189</v>
      </c>
      <c r="P605" s="1" t="s">
        <v>1190</v>
      </c>
      <c r="Q605" s="44">
        <f>IF(L605="891",Multipliers!C294,"oops")</f>
        <v>1.02</v>
      </c>
      <c r="R605" s="44">
        <f>IF(M605="NEVADA",Multipliers!C89, "GOOF")</f>
        <v>1.0900000000000001</v>
      </c>
      <c r="S605" s="46">
        <f t="shared" si="304"/>
        <v>414193.25640000007</v>
      </c>
      <c r="T605" s="46">
        <f t="shared" si="305"/>
        <v>426162.28130000003</v>
      </c>
      <c r="U605" s="46">
        <f t="shared" si="296"/>
        <v>421900.65848700004</v>
      </c>
      <c r="V605" s="46">
        <f t="shared" si="297"/>
        <v>418046.95744350005</v>
      </c>
      <c r="W605" s="47">
        <f t="shared" si="303"/>
        <v>418046.95744350005</v>
      </c>
      <c r="X605" s="47"/>
      <c r="Y605" s="48">
        <f t="shared" si="298"/>
        <v>333767.82631500001</v>
      </c>
      <c r="Z605" s="48">
        <f t="shared" si="299"/>
        <v>368822.07690299995</v>
      </c>
      <c r="AA605" s="48">
        <f t="shared" si="300"/>
        <v>418046.95744350005</v>
      </c>
      <c r="AB605" s="48">
        <f t="shared" si="301"/>
        <v>452839.85999700008</v>
      </c>
      <c r="AC605" s="48">
        <f t="shared" si="302"/>
        <v>488177.21007300005</v>
      </c>
      <c r="AD605" s="1"/>
      <c r="AE605" s="1"/>
      <c r="AF605" s="1"/>
      <c r="AI605" s="9"/>
      <c r="AJ605" s="1"/>
      <c r="AK605" s="1"/>
      <c r="AL605" s="1"/>
      <c r="AM605" s="1"/>
      <c r="AN605" s="1"/>
      <c r="AO605" s="1"/>
      <c r="AP605" s="9"/>
      <c r="AQ605" s="3"/>
      <c r="AR605" s="4"/>
      <c r="AS605" s="7"/>
      <c r="AT605" s="1"/>
      <c r="AU605" s="1"/>
      <c r="AV605" s="1"/>
      <c r="AW605" s="1"/>
      <c r="AX605" s="3"/>
      <c r="AY605" s="3"/>
      <c r="AZ605" s="5"/>
      <c r="BA605" s="5"/>
      <c r="BB605" s="5"/>
      <c r="BC605" s="5"/>
      <c r="BD605" s="6"/>
      <c r="BE605" s="6"/>
      <c r="BF605" s="12"/>
      <c r="BG605" s="12"/>
      <c r="BH605" s="12"/>
      <c r="BI605" s="12"/>
      <c r="BJ605" s="12"/>
    </row>
    <row r="606" spans="2:62" x14ac:dyDescent="0.25">
      <c r="B606" s="1" t="s">
        <v>891</v>
      </c>
      <c r="C606" s="1" t="s">
        <v>931</v>
      </c>
      <c r="D606" s="1" t="s">
        <v>1190</v>
      </c>
      <c r="E606" s="1" t="s">
        <v>932</v>
      </c>
      <c r="F606" s="1" t="s">
        <v>933</v>
      </c>
      <c r="G606" s="1" t="s">
        <v>934</v>
      </c>
      <c r="H606" s="1" t="s">
        <v>935</v>
      </c>
      <c r="I606" s="7" t="s">
        <v>322</v>
      </c>
      <c r="J606" s="44">
        <v>1</v>
      </c>
      <c r="K606" s="45">
        <v>1</v>
      </c>
      <c r="L606" s="1" t="s">
        <v>936</v>
      </c>
      <c r="M606" s="1" t="s">
        <v>937</v>
      </c>
      <c r="N606" s="1" t="s">
        <v>1140</v>
      </c>
      <c r="O606" s="1" t="s">
        <v>1189</v>
      </c>
      <c r="P606" s="1" t="s">
        <v>1190</v>
      </c>
      <c r="Q606" s="44">
        <f>IF(L606="895",Multipliers!C297,"oops")</f>
        <v>0.9</v>
      </c>
      <c r="R606" s="44">
        <f>IF(M606="Reno",Multipliers!C92, "GOOF")</f>
        <v>1.05</v>
      </c>
      <c r="S606" s="46">
        <f t="shared" si="304"/>
        <v>365464.63800000009</v>
      </c>
      <c r="T606" s="46">
        <f t="shared" si="305"/>
        <v>410523.29850000003</v>
      </c>
      <c r="U606" s="46">
        <f t="shared" si="296"/>
        <v>406418.06551500002</v>
      </c>
      <c r="V606" s="46">
        <f t="shared" si="297"/>
        <v>385941.35175750009</v>
      </c>
      <c r="W606" s="47">
        <f t="shared" si="303"/>
        <v>385941.35175750009</v>
      </c>
      <c r="X606" s="47"/>
      <c r="Y606" s="48">
        <f t="shared" si="298"/>
        <v>307681.24117500003</v>
      </c>
      <c r="Z606" s="48">
        <f t="shared" si="299"/>
        <v>340212.43903499999</v>
      </c>
      <c r="AA606" s="48">
        <f t="shared" si="300"/>
        <v>385941.35175750009</v>
      </c>
      <c r="AB606" s="48">
        <f t="shared" si="301"/>
        <v>418238.16646500007</v>
      </c>
      <c r="AC606" s="48">
        <f t="shared" si="302"/>
        <v>450906.18268500001</v>
      </c>
      <c r="AD606" s="1"/>
      <c r="AE606" s="1"/>
      <c r="AF606" s="1"/>
      <c r="AI606" s="9"/>
      <c r="AJ606" s="1"/>
      <c r="AK606" s="1"/>
      <c r="AL606" s="1"/>
      <c r="AM606" s="1"/>
      <c r="AN606" s="1"/>
      <c r="AO606" s="1"/>
      <c r="AP606" s="9"/>
      <c r="AQ606" s="3"/>
      <c r="AR606" s="4"/>
      <c r="AS606" s="1"/>
      <c r="AT606" s="1"/>
      <c r="AU606" s="1"/>
      <c r="AV606" s="1"/>
      <c r="AW606" s="1"/>
      <c r="AX606" s="3"/>
      <c r="AY606" s="3"/>
      <c r="AZ606" s="5"/>
      <c r="BA606" s="5"/>
      <c r="BB606" s="5"/>
      <c r="BC606" s="5"/>
      <c r="BD606" s="6"/>
      <c r="BE606" s="6"/>
      <c r="BF606" s="12"/>
      <c r="BG606" s="12"/>
      <c r="BH606" s="12"/>
      <c r="BI606" s="12"/>
      <c r="BJ606" s="12"/>
    </row>
    <row r="607" spans="2:62" x14ac:dyDescent="0.25">
      <c r="B607" s="1" t="s">
        <v>891</v>
      </c>
      <c r="C607" s="1" t="s">
        <v>938</v>
      </c>
      <c r="D607" s="1" t="s">
        <v>1190</v>
      </c>
      <c r="E607" s="1" t="s">
        <v>939</v>
      </c>
      <c r="F607" s="1" t="s">
        <v>940</v>
      </c>
      <c r="G607" s="1" t="s">
        <v>941</v>
      </c>
      <c r="H607" s="1" t="s">
        <v>942</v>
      </c>
      <c r="I607" s="7" t="s">
        <v>322</v>
      </c>
      <c r="J607" s="44">
        <v>1</v>
      </c>
      <c r="K607" s="45">
        <v>1</v>
      </c>
      <c r="L607" s="1" t="s">
        <v>936</v>
      </c>
      <c r="M607" s="1" t="s">
        <v>937</v>
      </c>
      <c r="N607" s="1" t="s">
        <v>1140</v>
      </c>
      <c r="O607" s="1" t="s">
        <v>1189</v>
      </c>
      <c r="P607" s="1" t="s">
        <v>1190</v>
      </c>
      <c r="Q607" s="44">
        <f>IF(L607="895",Multipliers!C297,"oops")</f>
        <v>0.9</v>
      </c>
      <c r="R607" s="44">
        <f>IF(M607="Reno",Multipliers!C92, "GOOF")</f>
        <v>1.05</v>
      </c>
      <c r="S607" s="46">
        <f t="shared" si="304"/>
        <v>365464.63800000009</v>
      </c>
      <c r="T607" s="46">
        <f t="shared" si="305"/>
        <v>410523.29850000003</v>
      </c>
      <c r="U607" s="46">
        <f t="shared" si="296"/>
        <v>406418.06551500002</v>
      </c>
      <c r="V607" s="46">
        <f t="shared" si="297"/>
        <v>385941.35175750009</v>
      </c>
      <c r="W607" s="47">
        <f t="shared" si="303"/>
        <v>385941.35175750009</v>
      </c>
      <c r="X607" s="47"/>
      <c r="Y607" s="48">
        <f t="shared" si="298"/>
        <v>307681.24117500003</v>
      </c>
      <c r="Z607" s="48">
        <f t="shared" si="299"/>
        <v>340212.43903499999</v>
      </c>
      <c r="AA607" s="48">
        <f t="shared" si="300"/>
        <v>385941.35175750009</v>
      </c>
      <c r="AB607" s="48">
        <f t="shared" si="301"/>
        <v>418238.16646500007</v>
      </c>
      <c r="AC607" s="48">
        <f t="shared" si="302"/>
        <v>450906.18268500001</v>
      </c>
      <c r="AD607" s="1"/>
      <c r="AE607" s="1"/>
      <c r="AF607" s="1"/>
      <c r="AI607" s="9"/>
      <c r="AJ607" s="1"/>
      <c r="AK607" s="1"/>
      <c r="AL607" s="1"/>
      <c r="AM607" s="1"/>
      <c r="AN607" s="1"/>
      <c r="AO607" s="1"/>
      <c r="AP607" s="9"/>
      <c r="AQ607" s="3"/>
      <c r="AR607" s="4"/>
      <c r="AS607" s="1"/>
      <c r="AT607" s="1"/>
      <c r="AU607" s="1"/>
      <c r="AV607" s="1"/>
      <c r="AW607" s="1"/>
      <c r="AX607" s="3"/>
      <c r="AY607" s="3"/>
      <c r="AZ607" s="5"/>
      <c r="BA607" s="5"/>
      <c r="BB607" s="5"/>
      <c r="BC607" s="5"/>
      <c r="BD607" s="6"/>
      <c r="BE607" s="6"/>
      <c r="BF607" s="12"/>
      <c r="BG607" s="12"/>
      <c r="BH607" s="12"/>
      <c r="BI607" s="12"/>
      <c r="BJ607" s="12"/>
    </row>
    <row r="608" spans="2:62" x14ac:dyDescent="0.25">
      <c r="B608" s="1" t="s">
        <v>891</v>
      </c>
      <c r="C608" s="1" t="s">
        <v>943</v>
      </c>
      <c r="D608" s="1" t="s">
        <v>1190</v>
      </c>
      <c r="E608" s="1" t="s">
        <v>944</v>
      </c>
      <c r="F608" s="1" t="s">
        <v>945</v>
      </c>
      <c r="G608" s="1" t="s">
        <v>1190</v>
      </c>
      <c r="H608" s="1" t="s">
        <v>1190</v>
      </c>
      <c r="I608" s="7" t="s">
        <v>322</v>
      </c>
      <c r="J608" s="44">
        <v>1</v>
      </c>
      <c r="K608" s="45">
        <v>1</v>
      </c>
      <c r="L608" s="1" t="s">
        <v>915</v>
      </c>
      <c r="M608" s="1" t="s">
        <v>905</v>
      </c>
      <c r="N608" s="1" t="s">
        <v>1140</v>
      </c>
      <c r="O608" s="1" t="s">
        <v>1189</v>
      </c>
      <c r="P608" s="1" t="s">
        <v>1190</v>
      </c>
      <c r="Q608" s="44">
        <f>IF(L608="894",Multipliers!C296,"oops")</f>
        <v>0.9</v>
      </c>
      <c r="R608" s="44">
        <f>IF(M608="NEVADA",Multipliers!C89, "GOOF")</f>
        <v>1.0900000000000001</v>
      </c>
      <c r="S608" s="46">
        <f t="shared" si="304"/>
        <v>365464.63800000009</v>
      </c>
      <c r="T608" s="46">
        <f t="shared" si="305"/>
        <v>426162.28130000003</v>
      </c>
      <c r="U608" s="46">
        <f t="shared" si="296"/>
        <v>421900.65848700004</v>
      </c>
      <c r="V608" s="46">
        <f t="shared" si="297"/>
        <v>393682.64824350004</v>
      </c>
      <c r="W608" s="47">
        <f t="shared" si="303"/>
        <v>393682.64824350004</v>
      </c>
      <c r="X608" s="47"/>
      <c r="Y608" s="48">
        <f t="shared" si="298"/>
        <v>313656.27331500006</v>
      </c>
      <c r="Z608" s="48">
        <f t="shared" si="299"/>
        <v>346913.24730300001</v>
      </c>
      <c r="AA608" s="48">
        <f t="shared" si="300"/>
        <v>393682.64824350004</v>
      </c>
      <c r="AB608" s="48">
        <f t="shared" si="301"/>
        <v>426703.52459700004</v>
      </c>
      <c r="AC608" s="48">
        <f t="shared" si="302"/>
        <v>460046.10147300002</v>
      </c>
      <c r="AD608" s="1"/>
      <c r="AE608" s="1"/>
      <c r="AF608" s="1"/>
      <c r="AI608" s="9"/>
      <c r="AJ608" s="1"/>
      <c r="AK608" s="1"/>
      <c r="AL608" s="1"/>
      <c r="AM608" s="1"/>
      <c r="AN608" s="1"/>
      <c r="AO608" s="1"/>
      <c r="AP608" s="9"/>
      <c r="AQ608" s="3"/>
      <c r="AR608" s="4"/>
      <c r="AS608" s="1"/>
      <c r="AT608" s="1"/>
      <c r="AU608" s="1"/>
      <c r="AV608" s="1"/>
      <c r="AW608" s="1"/>
      <c r="AX608" s="3"/>
      <c r="AY608" s="3"/>
      <c r="AZ608" s="5"/>
      <c r="BA608" s="5"/>
      <c r="BB608" s="5"/>
      <c r="BC608" s="5"/>
      <c r="BD608" s="6"/>
      <c r="BE608" s="6"/>
      <c r="BF608" s="12"/>
      <c r="BG608" s="12"/>
      <c r="BH608" s="12"/>
      <c r="BI608" s="12"/>
      <c r="BJ608" s="12"/>
    </row>
    <row r="609" spans="2:62" x14ac:dyDescent="0.25">
      <c r="B609" s="1" t="s">
        <v>891</v>
      </c>
      <c r="C609" s="1" t="s">
        <v>946</v>
      </c>
      <c r="D609" s="1" t="s">
        <v>1190</v>
      </c>
      <c r="E609" s="1" t="s">
        <v>947</v>
      </c>
      <c r="F609" s="1" t="s">
        <v>948</v>
      </c>
      <c r="G609" s="1" t="s">
        <v>949</v>
      </c>
      <c r="H609" s="1" t="s">
        <v>950</v>
      </c>
      <c r="I609" s="7" t="s">
        <v>322</v>
      </c>
      <c r="J609" s="44">
        <v>1</v>
      </c>
      <c r="K609" s="45">
        <v>1</v>
      </c>
      <c r="L609" s="1" t="s">
        <v>897</v>
      </c>
      <c r="M609" s="1" t="s">
        <v>898</v>
      </c>
      <c r="N609" s="1" t="s">
        <v>1140</v>
      </c>
      <c r="O609" s="1" t="s">
        <v>1189</v>
      </c>
      <c r="P609" s="1" t="s">
        <v>1190</v>
      </c>
      <c r="Q609" s="44">
        <f>IF(L609="898",Multipliers!C298,"oops")</f>
        <v>0.99</v>
      </c>
      <c r="R609" s="44">
        <f>IF(M609="Elko",Multipliers!C90, "GOOF")</f>
        <v>1.1000000000000001</v>
      </c>
      <c r="S609" s="46">
        <f t="shared" si="304"/>
        <v>402011.10180000006</v>
      </c>
      <c r="T609" s="46">
        <f t="shared" si="305"/>
        <v>430072.027</v>
      </c>
      <c r="U609" s="46">
        <f t="shared" si="296"/>
        <v>425771.30673000001</v>
      </c>
      <c r="V609" s="46">
        <f t="shared" si="297"/>
        <v>413891.20426500007</v>
      </c>
      <c r="W609" s="47">
        <f t="shared" si="303"/>
        <v>413891.20426500007</v>
      </c>
      <c r="X609" s="47"/>
      <c r="Y609" s="48">
        <f t="shared" si="298"/>
        <v>330233.69610000006</v>
      </c>
      <c r="Z609" s="48">
        <f t="shared" si="299"/>
        <v>365020.07157000003</v>
      </c>
      <c r="AA609" s="48">
        <f t="shared" si="300"/>
        <v>413891.20426500001</v>
      </c>
      <c r="AB609" s="48">
        <f t="shared" si="301"/>
        <v>448422.11568000005</v>
      </c>
      <c r="AC609" s="48">
        <f t="shared" si="302"/>
        <v>483429.41262000002</v>
      </c>
      <c r="AD609" s="1"/>
      <c r="AE609" s="1"/>
      <c r="AF609" s="1"/>
      <c r="AI609" s="9"/>
      <c r="AJ609" s="1"/>
      <c r="AK609" s="1"/>
      <c r="AL609" s="1"/>
      <c r="AM609" s="1"/>
      <c r="AN609" s="1"/>
      <c r="AO609" s="1"/>
      <c r="AP609" s="9"/>
      <c r="AQ609" s="3"/>
      <c r="AR609" s="4"/>
      <c r="AS609" s="1"/>
      <c r="AT609" s="1"/>
      <c r="AU609" s="1"/>
      <c r="AV609" s="1"/>
      <c r="AW609" s="1"/>
      <c r="AX609" s="3"/>
      <c r="AY609" s="3"/>
      <c r="AZ609" s="5"/>
      <c r="BA609" s="5"/>
      <c r="BB609" s="5"/>
      <c r="BC609" s="5"/>
      <c r="BD609" s="6"/>
      <c r="BE609" s="6"/>
      <c r="BF609" s="12"/>
      <c r="BG609" s="12"/>
      <c r="BH609" s="12"/>
      <c r="BI609" s="12"/>
      <c r="BJ609" s="12"/>
    </row>
    <row r="610" spans="2:62" x14ac:dyDescent="0.25">
      <c r="B610" s="1" t="s">
        <v>891</v>
      </c>
      <c r="C610" s="1" t="s">
        <v>951</v>
      </c>
      <c r="D610" s="1" t="s">
        <v>1190</v>
      </c>
      <c r="E610" s="1" t="s">
        <v>952</v>
      </c>
      <c r="F610" s="1" t="s">
        <v>953</v>
      </c>
      <c r="G610" s="1" t="s">
        <v>954</v>
      </c>
      <c r="H610" s="1" t="s">
        <v>955</v>
      </c>
      <c r="I610" s="7" t="s">
        <v>322</v>
      </c>
      <c r="J610" s="44">
        <v>1</v>
      </c>
      <c r="K610" s="45">
        <v>1</v>
      </c>
      <c r="L610" s="1" t="s">
        <v>915</v>
      </c>
      <c r="M610" s="1" t="s">
        <v>905</v>
      </c>
      <c r="N610" s="1" t="s">
        <v>1140</v>
      </c>
      <c r="O610" s="1" t="s">
        <v>1189</v>
      </c>
      <c r="P610" s="1" t="s">
        <v>1190</v>
      </c>
      <c r="Q610" s="44">
        <f>IF(L610="894",Multipliers!C296,"oops")</f>
        <v>0.9</v>
      </c>
      <c r="R610" s="44">
        <f>IF(M610="NEVADA",Multipliers!C89, "GOOF")</f>
        <v>1.0900000000000001</v>
      </c>
      <c r="S610" s="46">
        <f t="shared" si="304"/>
        <v>365464.63800000009</v>
      </c>
      <c r="T610" s="46">
        <f t="shared" si="305"/>
        <v>426162.28130000003</v>
      </c>
      <c r="U610" s="46">
        <f t="shared" si="296"/>
        <v>421900.65848700004</v>
      </c>
      <c r="V610" s="46">
        <f t="shared" si="297"/>
        <v>393682.64824350004</v>
      </c>
      <c r="W610" s="47">
        <f t="shared" si="303"/>
        <v>393682.64824350004</v>
      </c>
      <c r="X610" s="47"/>
      <c r="Y610" s="48">
        <f t="shared" si="298"/>
        <v>313656.27331500006</v>
      </c>
      <c r="Z610" s="48">
        <f t="shared" si="299"/>
        <v>346913.24730300001</v>
      </c>
      <c r="AA610" s="48">
        <f t="shared" si="300"/>
        <v>393682.64824350004</v>
      </c>
      <c r="AB610" s="48">
        <f t="shared" si="301"/>
        <v>426703.52459700004</v>
      </c>
      <c r="AC610" s="48">
        <f t="shared" si="302"/>
        <v>460046.10147300002</v>
      </c>
      <c r="AD610" s="1"/>
      <c r="AE610" s="1"/>
      <c r="AF610" s="1"/>
      <c r="AI610" s="9"/>
      <c r="AJ610" s="1"/>
      <c r="AK610" s="1"/>
      <c r="AL610" s="1"/>
      <c r="AM610" s="1"/>
      <c r="AN610" s="1"/>
      <c r="AO610" s="1"/>
      <c r="AP610" s="9"/>
      <c r="AQ610" s="3"/>
      <c r="AR610" s="4"/>
      <c r="AS610" s="1"/>
      <c r="AT610" s="1"/>
      <c r="AU610" s="1"/>
      <c r="AV610" s="1"/>
      <c r="AW610" s="1"/>
      <c r="AX610" s="3"/>
      <c r="AY610" s="3"/>
      <c r="AZ610" s="5"/>
      <c r="BA610" s="5"/>
      <c r="BB610" s="5"/>
      <c r="BC610" s="5"/>
      <c r="BD610" s="6"/>
      <c r="BE610" s="6"/>
      <c r="BF610" s="12"/>
      <c r="BG610" s="12"/>
      <c r="BH610" s="12"/>
      <c r="BI610" s="12"/>
      <c r="BJ610" s="12"/>
    </row>
    <row r="611" spans="2:62" x14ac:dyDescent="0.25">
      <c r="B611" s="1" t="s">
        <v>891</v>
      </c>
      <c r="C611" s="1" t="s">
        <v>956</v>
      </c>
      <c r="D611" s="1" t="s">
        <v>1190</v>
      </c>
      <c r="E611" s="1" t="s">
        <v>957</v>
      </c>
      <c r="F611" s="1" t="s">
        <v>958</v>
      </c>
      <c r="G611" s="1" t="s">
        <v>959</v>
      </c>
      <c r="H611" s="1" t="s">
        <v>960</v>
      </c>
      <c r="I611" s="7" t="s">
        <v>322</v>
      </c>
      <c r="J611" s="44">
        <v>1</v>
      </c>
      <c r="K611" s="45">
        <v>1</v>
      </c>
      <c r="L611" s="1" t="s">
        <v>915</v>
      </c>
      <c r="M611" s="1" t="s">
        <v>905</v>
      </c>
      <c r="N611" s="1" t="s">
        <v>1140</v>
      </c>
      <c r="O611" s="1" t="s">
        <v>1189</v>
      </c>
      <c r="P611" s="1" t="s">
        <v>1190</v>
      </c>
      <c r="Q611" s="44">
        <f>IF(L611="894",Multipliers!C296,"oops")</f>
        <v>0.9</v>
      </c>
      <c r="R611" s="44">
        <f>IF(M611="NEVADA",Multipliers!C89, "GOOF")</f>
        <v>1.0900000000000001</v>
      </c>
      <c r="S611" s="46">
        <f t="shared" si="304"/>
        <v>365464.63800000009</v>
      </c>
      <c r="T611" s="46">
        <f t="shared" si="305"/>
        <v>426162.28130000003</v>
      </c>
      <c r="U611" s="46">
        <f t="shared" ref="U611:U617" si="306">IF(O611="E",$T$3*T611,IF(O611="C",$T$4*T611,IF(O611="W",$T$5*T611,1)))</f>
        <v>421900.65848700004</v>
      </c>
      <c r="V611" s="46">
        <f t="shared" ref="V611:V617" si="307">(S611+U611)/2</f>
        <v>393682.64824350004</v>
      </c>
      <c r="W611" s="47">
        <f t="shared" si="303"/>
        <v>393682.64824350004</v>
      </c>
      <c r="X611" s="47"/>
      <c r="Y611" s="48">
        <f t="shared" ref="Y611:Y617" si="308">IF(N611="Standard",(((($Z$3*Q611)+($AD$3*R611*$T$5))/2)*$O$7),IF(N611="Severe",(((($AA$3*Q611)+($AE$3*R611*$T$5))/2)*$O$7),IF(N611="Hostile",(((($AB$3*Q611)+($AF$3*R611*$T$5))/2)*$O$7))))</f>
        <v>313656.27331500006</v>
      </c>
      <c r="Z611" s="48">
        <f t="shared" ref="Z611:Z617" si="309">IF(N611="Standard",(((($Z$4*Q611)+($AD$4*R611*$T$5))/2)*$O$7),IF(N611="Severe",(((($AA$4*Q611)+($AE$4*R611*$T$5))/2)*$O$7),IF(N611="Hostile",(((($AB$4*Q611)+($AF$4*R611*$T$5))/2)*$O$7))))</f>
        <v>346913.24730300001</v>
      </c>
      <c r="AA611" s="48">
        <f t="shared" si="300"/>
        <v>393682.64824350004</v>
      </c>
      <c r="AB611" s="48">
        <f t="shared" si="301"/>
        <v>426703.52459700004</v>
      </c>
      <c r="AC611" s="48">
        <f t="shared" si="302"/>
        <v>460046.10147300002</v>
      </c>
      <c r="AD611" s="1"/>
      <c r="AE611" s="1"/>
      <c r="AF611" s="1"/>
      <c r="AI611" s="9"/>
      <c r="AJ611" s="1"/>
      <c r="AK611" s="1"/>
      <c r="AL611" s="1"/>
      <c r="AM611" s="1"/>
      <c r="AN611" s="1"/>
      <c r="AO611" s="1"/>
      <c r="AP611" s="9"/>
      <c r="AQ611" s="3"/>
      <c r="AR611" s="4"/>
      <c r="AS611" s="1"/>
      <c r="AT611" s="1"/>
      <c r="AU611" s="1"/>
      <c r="AV611" s="1"/>
      <c r="AW611" s="1"/>
      <c r="AX611" s="3"/>
      <c r="AY611" s="3"/>
      <c r="AZ611" s="5"/>
      <c r="BA611" s="5"/>
      <c r="BB611" s="5"/>
      <c r="BC611" s="5"/>
      <c r="BD611" s="6"/>
      <c r="BE611" s="6"/>
      <c r="BF611" s="12"/>
      <c r="BG611" s="12"/>
      <c r="BH611" s="12"/>
      <c r="BI611" s="12"/>
      <c r="BJ611" s="12"/>
    </row>
    <row r="612" spans="2:62" x14ac:dyDescent="0.25">
      <c r="B612" s="1" t="s">
        <v>891</v>
      </c>
      <c r="C612" s="1" t="s">
        <v>961</v>
      </c>
      <c r="D612" s="1" t="s">
        <v>1190</v>
      </c>
      <c r="E612" s="1" t="s">
        <v>962</v>
      </c>
      <c r="F612" s="1" t="s">
        <v>965</v>
      </c>
      <c r="G612" s="1" t="s">
        <v>924</v>
      </c>
      <c r="H612" s="1" t="s">
        <v>925</v>
      </c>
      <c r="I612" s="7" t="s">
        <v>322</v>
      </c>
      <c r="J612" s="44">
        <v>1</v>
      </c>
      <c r="K612" s="45">
        <v>1</v>
      </c>
      <c r="L612" s="1" t="s">
        <v>915</v>
      </c>
      <c r="M612" s="1" t="s">
        <v>905</v>
      </c>
      <c r="N612" s="1" t="s">
        <v>1140</v>
      </c>
      <c r="O612" s="1" t="s">
        <v>1189</v>
      </c>
      <c r="P612" s="1" t="s">
        <v>1190</v>
      </c>
      <c r="Q612" s="44">
        <f>IF(L612="894",Multipliers!C296,"oops")</f>
        <v>0.9</v>
      </c>
      <c r="R612" s="44">
        <f>IF(M612="NEVADA",Multipliers!C89, "GOOF")</f>
        <v>1.0900000000000001</v>
      </c>
      <c r="S612" s="46">
        <f t="shared" si="304"/>
        <v>365464.63800000009</v>
      </c>
      <c r="T612" s="46">
        <f t="shared" si="305"/>
        <v>426162.28130000003</v>
      </c>
      <c r="U612" s="46">
        <f t="shared" si="306"/>
        <v>421900.65848700004</v>
      </c>
      <c r="V612" s="46">
        <f t="shared" si="307"/>
        <v>393682.64824350004</v>
      </c>
      <c r="W612" s="47">
        <f t="shared" si="303"/>
        <v>393682.64824350004</v>
      </c>
      <c r="X612" s="47"/>
      <c r="Y612" s="48">
        <f t="shared" si="308"/>
        <v>313656.27331500006</v>
      </c>
      <c r="Z612" s="48">
        <f t="shared" si="309"/>
        <v>346913.24730300001</v>
      </c>
      <c r="AA612" s="48">
        <f t="shared" si="300"/>
        <v>393682.64824350004</v>
      </c>
      <c r="AB612" s="48">
        <f t="shared" si="301"/>
        <v>426703.52459700004</v>
      </c>
      <c r="AC612" s="48">
        <f t="shared" si="302"/>
        <v>460046.10147300002</v>
      </c>
      <c r="AD612" s="1"/>
      <c r="AE612" s="1"/>
      <c r="AF612" s="1"/>
      <c r="AI612" s="9"/>
      <c r="AJ612" s="1"/>
      <c r="AK612" s="1"/>
      <c r="AL612" s="1"/>
      <c r="AM612" s="1"/>
      <c r="AN612" s="1"/>
      <c r="AO612" s="1"/>
      <c r="AP612" s="9"/>
      <c r="AQ612" s="3"/>
      <c r="AR612" s="4"/>
      <c r="AS612" s="1"/>
      <c r="AT612" s="1"/>
      <c r="AU612" s="1"/>
      <c r="AV612" s="1"/>
      <c r="AW612" s="1"/>
      <c r="AX612" s="3"/>
      <c r="AY612" s="3"/>
      <c r="AZ612" s="5"/>
      <c r="BA612" s="5"/>
      <c r="BB612" s="5"/>
      <c r="BC612" s="5"/>
      <c r="BD612" s="6"/>
      <c r="BE612" s="6"/>
      <c r="BF612" s="12"/>
      <c r="BG612" s="12"/>
      <c r="BH612" s="12"/>
      <c r="BI612" s="12"/>
      <c r="BJ612" s="12"/>
    </row>
    <row r="613" spans="2:62" x14ac:dyDescent="0.25">
      <c r="B613" s="1" t="s">
        <v>891</v>
      </c>
      <c r="C613" s="1" t="s">
        <v>966</v>
      </c>
      <c r="D613" s="1" t="s">
        <v>1190</v>
      </c>
      <c r="E613" s="1" t="s">
        <v>967</v>
      </c>
      <c r="F613" s="1" t="s">
        <v>968</v>
      </c>
      <c r="G613" s="1" t="s">
        <v>969</v>
      </c>
      <c r="H613" s="1" t="s">
        <v>970</v>
      </c>
      <c r="I613" s="7" t="s">
        <v>322</v>
      </c>
      <c r="J613" s="44">
        <v>1</v>
      </c>
      <c r="K613" s="45">
        <v>1</v>
      </c>
      <c r="L613" s="1" t="s">
        <v>915</v>
      </c>
      <c r="M613" s="1" t="s">
        <v>905</v>
      </c>
      <c r="N613" s="1" t="s">
        <v>1140</v>
      </c>
      <c r="O613" s="1" t="s">
        <v>1189</v>
      </c>
      <c r="P613" s="1" t="s">
        <v>1190</v>
      </c>
      <c r="Q613" s="44">
        <f>IF(L613="894",Multipliers!C296,"oops")</f>
        <v>0.9</v>
      </c>
      <c r="R613" s="44">
        <f>IF(M613="NEVADA",Multipliers!C89, "GOOF")</f>
        <v>1.0900000000000001</v>
      </c>
      <c r="S613" s="46">
        <f t="shared" si="304"/>
        <v>365464.63800000009</v>
      </c>
      <c r="T613" s="46">
        <f t="shared" si="305"/>
        <v>426162.28130000003</v>
      </c>
      <c r="U613" s="46">
        <f t="shared" si="306"/>
        <v>421900.65848700004</v>
      </c>
      <c r="V613" s="46">
        <f t="shared" si="307"/>
        <v>393682.64824350004</v>
      </c>
      <c r="W613" s="47">
        <f t="shared" si="303"/>
        <v>393682.64824350004</v>
      </c>
      <c r="X613" s="47"/>
      <c r="Y613" s="48">
        <f t="shared" si="308"/>
        <v>313656.27331500006</v>
      </c>
      <c r="Z613" s="48">
        <f t="shared" si="309"/>
        <v>346913.24730300001</v>
      </c>
      <c r="AA613" s="48">
        <f t="shared" si="300"/>
        <v>393682.64824350004</v>
      </c>
      <c r="AB613" s="48">
        <f t="shared" si="301"/>
        <v>426703.52459700004</v>
      </c>
      <c r="AC613" s="48">
        <f t="shared" si="302"/>
        <v>460046.10147300002</v>
      </c>
      <c r="AD613" s="1"/>
      <c r="AE613" s="1"/>
      <c r="AF613" s="1"/>
      <c r="AI613" s="9"/>
      <c r="AJ613" s="1"/>
      <c r="AK613" s="1"/>
      <c r="AL613" s="1"/>
      <c r="AM613" s="1"/>
      <c r="AN613" s="1"/>
      <c r="AO613" s="1"/>
      <c r="AP613" s="9"/>
      <c r="AQ613" s="3"/>
      <c r="AR613" s="4"/>
      <c r="AS613" s="1"/>
      <c r="AT613" s="1"/>
      <c r="AU613" s="1"/>
      <c r="AV613" s="1"/>
      <c r="AW613" s="1"/>
      <c r="AX613" s="3"/>
      <c r="AY613" s="3"/>
      <c r="AZ613" s="5"/>
      <c r="BA613" s="5"/>
      <c r="BB613" s="5"/>
      <c r="BC613" s="5"/>
      <c r="BD613" s="6"/>
      <c r="BE613" s="6"/>
      <c r="BF613" s="12"/>
      <c r="BG613" s="12"/>
      <c r="BH613" s="12"/>
      <c r="BI613" s="12"/>
      <c r="BJ613" s="12"/>
    </row>
    <row r="614" spans="2:62" x14ac:dyDescent="0.25">
      <c r="B614" s="1" t="s">
        <v>891</v>
      </c>
      <c r="C614" s="1" t="s">
        <v>971</v>
      </c>
      <c r="D614" s="1" t="s">
        <v>1190</v>
      </c>
      <c r="E614" s="1" t="s">
        <v>972</v>
      </c>
      <c r="F614" s="1" t="s">
        <v>973</v>
      </c>
      <c r="G614" s="1" t="s">
        <v>974</v>
      </c>
      <c r="H614" s="1" t="s">
        <v>975</v>
      </c>
      <c r="I614" s="7" t="s">
        <v>322</v>
      </c>
      <c r="J614" s="44">
        <v>1</v>
      </c>
      <c r="K614" s="45">
        <v>1</v>
      </c>
      <c r="L614" s="1" t="s">
        <v>904</v>
      </c>
      <c r="M614" s="1" t="s">
        <v>905</v>
      </c>
      <c r="N614" s="1" t="s">
        <v>1140</v>
      </c>
      <c r="O614" s="1" t="s">
        <v>1189</v>
      </c>
      <c r="P614" s="1" t="s">
        <v>1190</v>
      </c>
      <c r="Q614" s="44">
        <f>IF(L614="890",Multipliers!C293,"oops")</f>
        <v>1.02</v>
      </c>
      <c r="R614" s="44">
        <f>IF(M614="NEVADA",Multipliers!C89, "GOOF")</f>
        <v>1.0900000000000001</v>
      </c>
      <c r="S614" s="46">
        <f t="shared" si="304"/>
        <v>414193.25640000007</v>
      </c>
      <c r="T614" s="46">
        <f t="shared" si="305"/>
        <v>426162.28130000003</v>
      </c>
      <c r="U614" s="46">
        <f t="shared" si="306"/>
        <v>421900.65848700004</v>
      </c>
      <c r="V614" s="46">
        <f t="shared" si="307"/>
        <v>418046.95744350005</v>
      </c>
      <c r="W614" s="47">
        <f t="shared" si="303"/>
        <v>418046.95744350005</v>
      </c>
      <c r="X614" s="47"/>
      <c r="Y614" s="48">
        <f t="shared" si="308"/>
        <v>333767.82631500001</v>
      </c>
      <c r="Z614" s="48">
        <f t="shared" si="309"/>
        <v>368822.07690299995</v>
      </c>
      <c r="AA614" s="48">
        <f t="shared" si="300"/>
        <v>418046.95744350005</v>
      </c>
      <c r="AB614" s="48">
        <f t="shared" si="301"/>
        <v>452839.85999700008</v>
      </c>
      <c r="AC614" s="48">
        <f t="shared" si="302"/>
        <v>488177.21007300005</v>
      </c>
      <c r="AD614" s="1"/>
      <c r="AE614" s="1"/>
      <c r="AF614" s="1"/>
      <c r="AI614" s="9"/>
      <c r="AJ614" s="1"/>
      <c r="AK614" s="1"/>
      <c r="AL614" s="1"/>
      <c r="AM614" s="1"/>
      <c r="AN614" s="1"/>
      <c r="AO614" s="1"/>
      <c r="AP614" s="9"/>
      <c r="AQ614" s="3"/>
      <c r="AR614" s="4"/>
      <c r="AS614" s="1"/>
      <c r="AT614" s="1"/>
      <c r="AU614" s="1"/>
      <c r="AV614" s="1"/>
      <c r="AW614" s="1"/>
      <c r="AX614" s="3"/>
      <c r="AY614" s="3"/>
      <c r="AZ614" s="5"/>
      <c r="BA614" s="5"/>
      <c r="BB614" s="5"/>
      <c r="BC614" s="5"/>
      <c r="BD614" s="6"/>
      <c r="BE614" s="6"/>
      <c r="BF614" s="12"/>
      <c r="BG614" s="12"/>
      <c r="BH614" s="12"/>
      <c r="BI614" s="12"/>
      <c r="BJ614" s="12"/>
    </row>
    <row r="615" spans="2:62" x14ac:dyDescent="0.25">
      <c r="B615" s="84" t="s">
        <v>891</v>
      </c>
      <c r="C615" s="1" t="s">
        <v>976</v>
      </c>
      <c r="D615" s="1" t="s">
        <v>1190</v>
      </c>
      <c r="E615" s="1" t="s">
        <v>977</v>
      </c>
      <c r="F615" s="1" t="s">
        <v>978</v>
      </c>
      <c r="G615" s="1" t="s">
        <v>979</v>
      </c>
      <c r="H615" s="1" t="s">
        <v>980</v>
      </c>
      <c r="I615" s="7" t="s">
        <v>322</v>
      </c>
      <c r="J615" s="44">
        <v>1</v>
      </c>
      <c r="K615" s="45">
        <v>1</v>
      </c>
      <c r="L615" s="1" t="s">
        <v>981</v>
      </c>
      <c r="M615" s="1" t="s">
        <v>2573</v>
      </c>
      <c r="N615" s="1" t="s">
        <v>1140</v>
      </c>
      <c r="O615" s="1" t="s">
        <v>1189</v>
      </c>
      <c r="P615" s="1" t="s">
        <v>1190</v>
      </c>
      <c r="Q615" s="44">
        <f>IF(L615="979",Multipliers!C348,"oops")</f>
        <v>0.96</v>
      </c>
      <c r="R615" s="44">
        <f>IF(M615="OREGON",Multipliers!C124, "GOOF")</f>
        <v>1.05</v>
      </c>
      <c r="S615" s="46">
        <f t="shared" si="304"/>
        <v>389828.94720000005</v>
      </c>
      <c r="T615" s="46">
        <f t="shared" si="305"/>
        <v>410523.29850000003</v>
      </c>
      <c r="U615" s="46">
        <f t="shared" si="306"/>
        <v>406418.06551500002</v>
      </c>
      <c r="V615" s="46">
        <f t="shared" si="307"/>
        <v>398123.50635750004</v>
      </c>
      <c r="W615" s="47">
        <f t="shared" si="303"/>
        <v>398123.50635750004</v>
      </c>
      <c r="X615" s="47"/>
      <c r="Y615" s="48">
        <f t="shared" si="308"/>
        <v>317737.01767500001</v>
      </c>
      <c r="Z615" s="48">
        <f t="shared" si="309"/>
        <v>351166.85383499996</v>
      </c>
      <c r="AA615" s="48">
        <f t="shared" si="300"/>
        <v>398123.50635750004</v>
      </c>
      <c r="AB615" s="48">
        <f t="shared" si="301"/>
        <v>431306.33416500007</v>
      </c>
      <c r="AC615" s="48">
        <f t="shared" si="302"/>
        <v>464971.73698500003</v>
      </c>
      <c r="AD615" s="1"/>
      <c r="AE615" s="1"/>
      <c r="AF615" s="1"/>
      <c r="AI615" s="9"/>
      <c r="AJ615" s="1"/>
      <c r="AK615" s="1"/>
      <c r="AL615" s="1"/>
      <c r="AM615" s="7"/>
      <c r="AN615" s="1"/>
      <c r="AO615" s="1"/>
      <c r="AP615" s="9"/>
      <c r="AQ615" s="3"/>
      <c r="AR615" s="4"/>
      <c r="AS615" s="1"/>
      <c r="AT615" s="1"/>
      <c r="AU615" s="1"/>
      <c r="AV615" s="1"/>
      <c r="AW615" s="1"/>
      <c r="AX615" s="3"/>
      <c r="AY615" s="3"/>
      <c r="AZ615" s="5"/>
      <c r="BA615" s="5"/>
      <c r="BB615" s="5"/>
      <c r="BC615" s="5"/>
      <c r="BD615" s="6"/>
      <c r="BE615" s="6"/>
      <c r="BF615" s="12"/>
      <c r="BG615" s="12"/>
      <c r="BH615" s="12"/>
      <c r="BI615" s="12"/>
      <c r="BJ615" s="12"/>
    </row>
    <row r="616" spans="2:62" x14ac:dyDescent="0.25">
      <c r="B616" s="1" t="s">
        <v>299</v>
      </c>
      <c r="C616" s="1" t="s">
        <v>982</v>
      </c>
      <c r="D616" s="1" t="s">
        <v>1190</v>
      </c>
      <c r="E616" s="1" t="s">
        <v>983</v>
      </c>
      <c r="F616" s="1" t="s">
        <v>984</v>
      </c>
      <c r="G616" s="1" t="s">
        <v>985</v>
      </c>
      <c r="H616" s="1" t="s">
        <v>986</v>
      </c>
      <c r="I616" s="7" t="s">
        <v>322</v>
      </c>
      <c r="J616" s="44">
        <v>1</v>
      </c>
      <c r="K616" s="45">
        <v>1</v>
      </c>
      <c r="L616" s="1" t="s">
        <v>987</v>
      </c>
      <c r="M616" s="1" t="s">
        <v>988</v>
      </c>
      <c r="N616" s="1" t="s">
        <v>1140</v>
      </c>
      <c r="O616" s="1" t="s">
        <v>1189</v>
      </c>
      <c r="P616" s="1" t="s">
        <v>1190</v>
      </c>
      <c r="Q616" s="44">
        <f>IF(L616="799",Multipliers!C366,"oops")</f>
        <v>0.8</v>
      </c>
      <c r="R616" s="44">
        <f>IF(M616="El Paso",Multipliers!C140, "GOOF")</f>
        <v>0.89</v>
      </c>
      <c r="S616" s="46">
        <f t="shared" si="304"/>
        <v>324857.45600000012</v>
      </c>
      <c r="T616" s="46">
        <f t="shared" si="305"/>
        <v>347967.36730000004</v>
      </c>
      <c r="U616" s="46">
        <f t="shared" si="306"/>
        <v>344487.69362700003</v>
      </c>
      <c r="V616" s="46">
        <f t="shared" si="307"/>
        <v>334672.57481350005</v>
      </c>
      <c r="W616" s="47">
        <f t="shared" si="303"/>
        <v>334672.57481350005</v>
      </c>
      <c r="X616" s="47"/>
      <c r="Y616" s="48">
        <f t="shared" si="308"/>
        <v>267021.48511500005</v>
      </c>
      <c r="Z616" s="48">
        <f t="shared" si="309"/>
        <v>295151.84796300001</v>
      </c>
      <c r="AA616" s="48">
        <f t="shared" si="300"/>
        <v>334672.57481350005</v>
      </c>
      <c r="AB616" s="48">
        <f t="shared" si="301"/>
        <v>362596.45443699998</v>
      </c>
      <c r="AC616" s="48">
        <f t="shared" si="302"/>
        <v>390903.91703300003</v>
      </c>
      <c r="AD616" s="1"/>
      <c r="AE616" s="1"/>
      <c r="AF616" s="1"/>
      <c r="AI616" s="9"/>
      <c r="AJ616" s="1"/>
      <c r="AK616" s="1"/>
      <c r="AL616" s="1"/>
      <c r="AM616" s="1"/>
      <c r="AN616" s="1"/>
      <c r="AO616" s="1"/>
      <c r="AP616" s="9"/>
      <c r="AQ616" s="3"/>
      <c r="AR616" s="4"/>
      <c r="AS616" s="1"/>
      <c r="AT616" s="1"/>
      <c r="AU616" s="1"/>
      <c r="AV616" s="1"/>
      <c r="AW616" s="1"/>
      <c r="AX616" s="3"/>
      <c r="AY616" s="3"/>
      <c r="AZ616" s="5"/>
      <c r="BA616" s="5"/>
      <c r="BB616" s="5"/>
      <c r="BC616" s="5"/>
      <c r="BD616" s="6"/>
      <c r="BE616" s="6"/>
      <c r="BF616" s="12"/>
      <c r="BG616" s="12"/>
      <c r="BH616" s="12"/>
      <c r="BI616" s="12"/>
      <c r="BJ616" s="12"/>
    </row>
    <row r="617" spans="2:62" x14ac:dyDescent="0.25">
      <c r="B617" s="1" t="s">
        <v>2463</v>
      </c>
      <c r="C617" s="1" t="s">
        <v>989</v>
      </c>
      <c r="D617" s="1" t="s">
        <v>1190</v>
      </c>
      <c r="E617" s="1" t="s">
        <v>990</v>
      </c>
      <c r="F617" s="1" t="s">
        <v>991</v>
      </c>
      <c r="G617" s="1" t="s">
        <v>902</v>
      </c>
      <c r="H617" s="1" t="s">
        <v>903</v>
      </c>
      <c r="I617" s="7" t="s">
        <v>322</v>
      </c>
      <c r="J617" s="44">
        <v>1</v>
      </c>
      <c r="K617" s="45">
        <v>1</v>
      </c>
      <c r="L617" s="1" t="s">
        <v>2475</v>
      </c>
      <c r="M617" s="1" t="s">
        <v>992</v>
      </c>
      <c r="N617" s="1" t="s">
        <v>1140</v>
      </c>
      <c r="O617" s="1" t="s">
        <v>1189</v>
      </c>
      <c r="P617" s="1" t="s">
        <v>1190</v>
      </c>
      <c r="Q617" s="44">
        <f>IF(L617="840",Multipliers!C369,"oops")</f>
        <v>0.85</v>
      </c>
      <c r="R617" s="44">
        <f>IF(M617="UTAH",Multipliers!C144, "GOOF")</f>
        <v>0.98</v>
      </c>
      <c r="S617" s="46">
        <f t="shared" si="304"/>
        <v>345161.04700000002</v>
      </c>
      <c r="T617" s="46">
        <f t="shared" si="305"/>
        <v>383155.07860000001</v>
      </c>
      <c r="U617" s="46">
        <f t="shared" si="306"/>
        <v>379323.52781400003</v>
      </c>
      <c r="V617" s="46">
        <f t="shared" si="307"/>
        <v>362242.28740700003</v>
      </c>
      <c r="W617" s="47">
        <f t="shared" si="303"/>
        <v>362242.28740700003</v>
      </c>
      <c r="X617" s="47"/>
      <c r="Y617" s="48">
        <f t="shared" si="308"/>
        <v>288845.12118000002</v>
      </c>
      <c r="Z617" s="48">
        <f t="shared" si="309"/>
        <v>319357.34556599997</v>
      </c>
      <c r="AA617" s="48">
        <f>IF(N617="Standard",((($Z$5*Q617)+($AD$5*R617*$T$5))/2)*$O$7,IF(N617="Severe",((($AA$5*Q617)+($AE$5*R617*$T$5))/2)*$O$7,IF(N617="Hostile",((($AB$5*Q617)+($AF$5*R617*$T$5))/2)*$O$7)))</f>
        <v>362242.28740700003</v>
      </c>
      <c r="AB617" s="48">
        <f>IF(N617="Standard",((($Z$6*Q617)+($AD$6*R617*$T$5))/2)*$O$7,IF(N617="Severe",((($AA$6*Q617)+($AE$6*R617*$T$5))/2)*$O$7,IF(N617="Hostile",((($AB$6*Q617)+($AF$6*R617*$T$5))/2)*$O$7)))</f>
        <v>392533.64998400002</v>
      </c>
      <c r="AC617" s="48">
        <f>IF(N617="Standard",((($Z$7*Q617)+($AD$7*R617*$T$5))/2)*$O$7,IF(N617="Severe",((($AA$7*Q617)+($AE$7*R617*$T$5))/2)*$O$7,IF(N617="Hostile",((($AB$7*Q617)+($AF$7*R617*$T$5))/2)*$O$7)))</f>
        <v>423190.02955599996</v>
      </c>
      <c r="AD617" s="1"/>
      <c r="AE617" s="1"/>
      <c r="AF617" s="1"/>
    </row>
    <row r="618" spans="2:62" x14ac:dyDescent="0.25">
      <c r="B618" s="1"/>
      <c r="C618" s="1"/>
      <c r="D618" s="1"/>
      <c r="E618" s="1"/>
      <c r="F618" s="1" t="s">
        <v>993</v>
      </c>
      <c r="G618" s="1"/>
      <c r="H618" s="1" t="s">
        <v>993</v>
      </c>
      <c r="I618" s="1"/>
      <c r="J618" s="1">
        <v>1</v>
      </c>
      <c r="K618" s="1">
        <v>1</v>
      </c>
      <c r="L618" s="1">
        <v>1</v>
      </c>
      <c r="M618" s="1"/>
      <c r="N618" s="1"/>
      <c r="O618" s="1"/>
      <c r="P618" s="1"/>
      <c r="Q618" s="1"/>
      <c r="R618" s="1"/>
      <c r="S618" s="46">
        <f t="shared" si="304"/>
        <v>0</v>
      </c>
      <c r="T618" s="46">
        <f t="shared" si="305"/>
        <v>0</v>
      </c>
      <c r="U618" s="46">
        <f>IF(O618="E",$T$3*T618,IF(O618="C",$T$4*T618,IF(O618="W",$T$5*T618,1)))</f>
        <v>0</v>
      </c>
      <c r="V618" s="46">
        <f>(S618+U618)/2</f>
        <v>0</v>
      </c>
      <c r="W618" s="47">
        <f>IF(F618=F635,(V618+V635)/2,IF(F618=F983,(V618+V983)/2,IF(F618&lt;&gt;F983,V618)))</f>
        <v>0</v>
      </c>
      <c r="X618" s="1"/>
      <c r="Y618" s="48">
        <f>IF(N618="Standard",(((($Z$3*Q618)+($AD$3*R618*$T$5))/2)*$O$7),IF(N618="Severe",(((($AA$3*Q618)+($AE$3*R618*$T$5))/2)*$O$7),IF(N618="Hostile",(((($AB$3*Q618)+($AF$3*R618*$T$5))/2)*$O$7))))</f>
        <v>0</v>
      </c>
      <c r="Z618" s="48">
        <f>IF(N618="Standard",(((($Z$4*Q618)+($AD$4*R618*$T$5))/2)*$O$7),IF(N618="Severe",(((($AA$4*Q618)+($AE$4*R618*$T$5))/2)*$O$7),IF(N618="Hostile",(((($AB$4*Q618)+($AF$4*R618*$T$5))/2)*$O$7))))</f>
        <v>0</v>
      </c>
      <c r="AA618" s="48">
        <f>IF(N618="Standard",((($Z$5*Q618)+($AD$5*R618*$T$3))/2)*$O$7,IF(N618="Severe",((($AA$5*Q618)+($AE$5*R618*$T$3))/2)*$O$7,IF(N618="Hostile",((($AB$5*Q618)+($AF$5*R618*$T$3))/2)*$O$7)))</f>
        <v>0</v>
      </c>
      <c r="AB618" s="48">
        <f>IF(N618="Standard",((($Z$6*Q618)+($AD$6*R618*$T$3))/2)*$O$7,IF(N618="Severe",((($AA$6*Q618)+($AE$6*R618*$T$3))/2)*$O$7,IF(N618="Hostile",((($AB$6*Q618)+($AF$6*R618*$T$3))/2)*$O$7)))</f>
        <v>0</v>
      </c>
      <c r="AC618" s="48">
        <f>IF(N618="Standard",((($Z$7*Q618)+($AD$7*R618*$T$3))/2)*$O$7,IF(N618="Severe",((($AA$7*Q618)+($AE$7*R618*$T$3))/2)*$O$7,IF(N618="Hostile",((($AB$7*Q618)+($AF$7*R618*$T$3))/2)*$O$7)))</f>
        <v>0</v>
      </c>
      <c r="AD618" s="1"/>
      <c r="AE618" s="1"/>
      <c r="AF618" s="1"/>
    </row>
    <row r="619" spans="2:62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2:62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2:62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>
        <v>1</v>
      </c>
      <c r="R621" s="1">
        <v>1</v>
      </c>
      <c r="S621" s="1"/>
      <c r="T621" s="1"/>
      <c r="U621" s="1"/>
      <c r="V621" s="1"/>
      <c r="W621" s="1"/>
      <c r="X621" s="1"/>
      <c r="Y621" s="48">
        <f>IF(N621="Standard",(((($Z$3*Q621)+($AD$3*R621*$T$5))/2)*$O$7),IF(N621="Severe",(((($AA$3*Q621)+($AE$3*R621*$T$5))/2)*$O$7),IF(N621="Hostile",(((($AB$3*Q621)+($AF$3*R621*$T$5))/2)*$O$7))))</f>
        <v>300498.4535</v>
      </c>
      <c r="Z621" s="48">
        <f>IF(N621="Standard",(((($Z$4*Q621)+($AD$4*R621*$T$5))/2)*$O$7),IF(N621="Severe",(((($AA$4*Q621)+($AE$4*R621*$T$5))/2)*$O$7),IF(N621="Hostile",(((($AB$4*Q621)+($AF$4*R621*$T$5))/2)*$O$7))))</f>
        <v>332962.37170000002</v>
      </c>
      <c r="AA621" s="48">
        <f>IF(N621="Standard",((($Z$5*Q621)+($AD$5*R621*$T$5))/2)*$O$7,IF(N621="Severe",((($AA$5*Q621)+($AE$5*R621*$T$5))/2)*$O$7,IF(N621="Hostile",((($AB$5*Q621)+($AF$5*R621*$T$5))/2)*$O$7)))</f>
        <v>377326.69590000005</v>
      </c>
      <c r="AB621" s="48">
        <f>IF(N621="Standard",((($Z$6*Q621)+($AD$6*R621*$T$5))/2)*$O$7,IF(N621="Severe",((($AA$6*Q621)+($AE$6*R621*$T$5))/2)*$O$7,IF(N621="Hostile",((($AB$6*Q621)+($AF$6*R621*$T$5))/2)*$O$7)))</f>
        <v>407275.01080000005</v>
      </c>
      <c r="AC621" s="48">
        <f>IF(N621="Standard",((($Z$7*Q621)+($AD$7*R621*$T$5))/2)*$O$7,IF(N621="Severe",((($AA$7*Q621)+($AE$7*R621*$T$5))/2)*$O$7,IF(N621="Hostile",((($AB$7*Q621)+($AF$7*R621*$T$5))/2)*$O$7)))</f>
        <v>439163.40720000002</v>
      </c>
      <c r="AD621" s="1"/>
      <c r="AE621" s="1"/>
      <c r="AF621" s="1"/>
    </row>
    <row r="622" spans="2:62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2:62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2:62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>
        <v>139030</v>
      </c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2:62" x14ac:dyDescent="0.25">
      <c r="B625" s="1"/>
      <c r="C625" s="1" t="s">
        <v>994</v>
      </c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2:62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2:62" x14ac:dyDescent="0.25">
      <c r="B627" s="1" t="s">
        <v>1927</v>
      </c>
      <c r="C627" s="1" t="s">
        <v>995</v>
      </c>
      <c r="D627" s="1" t="s">
        <v>1190</v>
      </c>
      <c r="E627" s="1" t="s">
        <v>996</v>
      </c>
      <c r="F627" s="1" t="s">
        <v>997</v>
      </c>
      <c r="G627" s="1" t="s">
        <v>998</v>
      </c>
      <c r="H627" s="1" t="s">
        <v>999</v>
      </c>
      <c r="I627" s="1" t="s">
        <v>1000</v>
      </c>
      <c r="J627" s="44">
        <v>0</v>
      </c>
      <c r="K627" s="45">
        <v>2</v>
      </c>
      <c r="L627" s="1" t="s">
        <v>1001</v>
      </c>
      <c r="M627" s="1" t="s">
        <v>1002</v>
      </c>
      <c r="N627" s="1" t="s">
        <v>1140</v>
      </c>
      <c r="O627" s="1" t="s">
        <v>1920</v>
      </c>
      <c r="P627" s="1" t="s">
        <v>1190</v>
      </c>
      <c r="Q627" s="44">
        <f>IF(L627="068",Multipliers!C215,"oops")</f>
        <v>1.1000000000000001</v>
      </c>
      <c r="R627" s="44">
        <f>IF(M627="Danbury",Multipliers!C29, "GOOF")</f>
        <v>1.21</v>
      </c>
      <c r="S627" s="46">
        <f>IF(N627="Standard",$O$5*Q627*$O$7,IF(N627="Severe",$O$4*Q627*$O$7,IF(N627="Hostile",$O$3*Q627*$O$7)))</f>
        <v>446679.00200000009</v>
      </c>
      <c r="T627" s="46">
        <f>IF(N627="Standard",$P$5*R627*$O$7,IF(N627="Severe",$P$4*R627*$O$7,IF(N627="Hostile",$P$3*R627*$O$7)))</f>
        <v>473079.22969999997</v>
      </c>
      <c r="U627" s="46">
        <f>IF(O627="E",$T$3*T627,IF(O627="C",$T$4*T627,IF(O627="W",$T$5*T627,1)))</f>
        <v>487271.60659099999</v>
      </c>
      <c r="V627" s="46">
        <f>(S627+U627)/2</f>
        <v>466975.30429550004</v>
      </c>
      <c r="W627" s="47">
        <f>IF(F627=F628,(V627+V628)/2,IF(F627=F617,(V627+V617)/2,IF(F627&lt;&gt;F617,V627)))</f>
        <v>466975.30429550004</v>
      </c>
      <c r="X627" s="47"/>
      <c r="Y627" s="48">
        <f>IF(N627="Standard",(((($Z$3*Q627)+($AD$3*R627*$T$5))/2)*$O$7),IF(N627="Severe",(((($AA$3*Q627)+($AE$3*R627*$T$5))/2)*$O$7),IF(N627="Hostile",(((($AB$3*Q627)+($AF$3*R627*$T$5))/2)*$O$7))))</f>
        <v>365100.62473500002</v>
      </c>
      <c r="Z627" s="48">
        <f>IF(N627="Standard",(((($Z$4*Q627)+($AD$4*R627*$T$5))/2)*$O$7),IF(N627="Severe",(((($AA$4*Q627)+($AE$4*R627*$T$5))/2)*$O$7),IF(N627="Hostile",(((($AB$4*Q627)+($AF$4*R627*$T$5))/2)*$O$7))))</f>
        <v>403530.38810699998</v>
      </c>
      <c r="AA627" s="48">
        <f>IF(N627="Standard",((($Z$5*Q627)+($AD$5*R627*$T$3))/2)*$O$7,IF(N627="Severe",((($AA$5*Q627)+($AE$5*R627*$T$3))/2)*$O$7,IF(N627="Hostile",((($AB$5*Q627)+($AF$5*R627*$T$3))/2)*$O$7)))</f>
        <v>466975.30429550004</v>
      </c>
      <c r="AB627" s="48">
        <f>IF(N627="Standard",((($Z$6*Q627)+($AD$6*R627*$T$3))/2)*$O$7,IF(N627="Severe",((($AA$6*Q627)+($AE$6*R627*$T$3))/2)*$O$7,IF(N627="Hostile",((($AB$6*Q627)+($AF$6*R627*$T$3))/2)*$O$7)))</f>
        <v>506006.70682100003</v>
      </c>
      <c r="AC627" s="48">
        <f>IF(N627="Standard",((($Z$7*Q627)+($AD$7*R627*$T$3))/2)*$O$7,IF(N627="Severe",((($AA$7*Q627)+($AE$7*R627*$T$3))/2)*$O$7,IF(N627="Hostile",((($AB$7*Q627)+($AF$7*R627*$T$3))/2)*$O$7)))</f>
        <v>545522.05068900005</v>
      </c>
      <c r="AD627" s="1"/>
      <c r="AE627" s="1"/>
      <c r="AF627" s="1"/>
    </row>
    <row r="628" spans="2:62" x14ac:dyDescent="0.25">
      <c r="B628" s="1" t="s">
        <v>1927</v>
      </c>
      <c r="C628" s="1" t="s">
        <v>1003</v>
      </c>
      <c r="D628" s="1" t="s">
        <v>1190</v>
      </c>
      <c r="E628" s="1" t="s">
        <v>1004</v>
      </c>
      <c r="F628" s="1" t="s">
        <v>1005</v>
      </c>
      <c r="G628" s="1" t="s">
        <v>1006</v>
      </c>
      <c r="H628" s="1" t="s">
        <v>1007</v>
      </c>
      <c r="I628" s="1" t="s">
        <v>1000</v>
      </c>
      <c r="J628" s="44">
        <v>0</v>
      </c>
      <c r="K628" s="45">
        <v>2</v>
      </c>
      <c r="L628" s="1" t="s">
        <v>1008</v>
      </c>
      <c r="M628" s="1" t="s">
        <v>1009</v>
      </c>
      <c r="N628" s="1" t="s">
        <v>1140</v>
      </c>
      <c r="O628" s="1" t="s">
        <v>1920</v>
      </c>
      <c r="P628" s="1" t="s">
        <v>1190</v>
      </c>
      <c r="Q628" s="44">
        <f>IF(L628="067",Multipliers!C214,"oops")</f>
        <v>1.0900000000000001</v>
      </c>
      <c r="R628" s="44">
        <f>IF(M628="Waterbury",Multipliers!C31, "GOOF")</f>
        <v>1.1000000000000001</v>
      </c>
      <c r="S628" s="46">
        <f>IF(N628="Standard",$O$5*Q628*$O$7,IF(N628="Severe",$O$4*Q628*$O$7,IF(N628="Hostile",$O$3*Q628*$O$7)))</f>
        <v>442618.28380000009</v>
      </c>
      <c r="T628" s="46">
        <f>IF(N628="Standard",$P$5*R628*$O$7,IF(N628="Severe",$P$4*R628*$O$7,IF(N628="Hostile",$P$3*R628*$O$7)))</f>
        <v>430072.027</v>
      </c>
      <c r="U628" s="46">
        <f>IF(O628="E",$T$3*T628,IF(O628="C",$T$4*T628,IF(O628="W",$T$5*T628,1)))</f>
        <v>442974.18781000003</v>
      </c>
      <c r="V628" s="46">
        <f>(S628+U628)/2</f>
        <v>442796.23580500006</v>
      </c>
      <c r="W628" s="47">
        <f>IF(F628=F634,(V628+V634)/2,IF(F628=F982,(V628+V982)/2,IF(F628&lt;&gt;F982,V628)))</f>
        <v>221398.11790250003</v>
      </c>
      <c r="X628" s="47"/>
      <c r="Y628" s="48">
        <f>IF(N628="Standard",(((($Z$3*Q628)+($AD$3*R628*$T$5))/2)*$O$7),IF(N628="Severe",(((($AA$3*Q628)+($AE$3*R628*$T$5))/2)*$O$7),IF(N628="Hostile",(((($AB$3*Q628)+($AF$3*R628*$T$5))/2)*$O$7))))</f>
        <v>346993.32360000006</v>
      </c>
      <c r="Z628" s="48">
        <f>IF(N628="Standard",(((($Z$4*Q628)+($AD$4*R628*$T$5))/2)*$O$7),IF(N628="Severe",(((($AA$4*Q628)+($AE$4*R628*$T$5))/2)*$O$7),IF(N628="Hostile",(((($AB$4*Q628)+($AF$4*R628*$T$5))/2)*$O$7))))</f>
        <v>383277.42957000004</v>
      </c>
      <c r="AA628" s="48">
        <f>IF(N628="Standard",((($Z$5*Q628)+($AD$5*R628*$T$3))/2)*$O$7,IF(N628="Severe",((($AA$5*Q628)+($AE$5*R628*$T$3))/2)*$O$7,IF(N628="Hostile",((($AB$5*Q628)+($AF$5*R628*$T$3))/2)*$O$7)))</f>
        <v>442796.23580500006</v>
      </c>
      <c r="AB628" s="48">
        <f>IF(N628="Standard",((($Z$6*Q628)+($AD$6*R628*$T$3))/2)*$O$7,IF(N628="Severe",((($AA$6*Q628)+($AE$6*R628*$T$3))/2)*$O$7,IF(N628="Hostile",((($AB$6*Q628)+($AF$6*R628*$T$3))/2)*$O$7)))</f>
        <v>479608.34866000013</v>
      </c>
      <c r="AC628" s="48">
        <f>IF(N628="Standard",((($Z$7*Q628)+($AD$7*R628*$T$3))/2)*$O$7,IF(N628="Severe",((($AA$7*Q628)+($AE$7*R628*$T$3))/2)*$O$7,IF(N628="Hostile",((($AB$7*Q628)+($AF$7*R628*$T$3))/2)*$O$7)))</f>
        <v>517027.46844000008</v>
      </c>
      <c r="AD628" s="1"/>
      <c r="AE628" s="1"/>
      <c r="AF628" s="1"/>
    </row>
    <row r="629" spans="2:62" x14ac:dyDescent="0.25">
      <c r="B629" s="1" t="s">
        <v>2307</v>
      </c>
      <c r="C629" s="1"/>
      <c r="D629" s="1" t="s">
        <v>1190</v>
      </c>
      <c r="E629" s="1"/>
      <c r="F629" s="7" t="s">
        <v>1010</v>
      </c>
      <c r="G629" s="1"/>
      <c r="H629" s="1"/>
      <c r="I629" s="1" t="s">
        <v>1011</v>
      </c>
      <c r="J629" s="44">
        <v>0</v>
      </c>
      <c r="K629" s="45">
        <v>1</v>
      </c>
      <c r="L629" s="1" t="s">
        <v>2313</v>
      </c>
      <c r="M629" s="1" t="s">
        <v>2314</v>
      </c>
      <c r="N629" s="1" t="s">
        <v>1140</v>
      </c>
      <c r="O629" s="1" t="s">
        <v>1189</v>
      </c>
      <c r="P629" s="1" t="s">
        <v>1190</v>
      </c>
      <c r="Q629" s="44">
        <f>IF(L629="594",Multipliers!C283,"oops")</f>
        <v>0.88</v>
      </c>
      <c r="R629" s="44">
        <f>IF(M629="Great Falls",Multipliers!C86, "GOOF")</f>
        <v>0.92</v>
      </c>
      <c r="S629" s="46">
        <f t="shared" ref="S629:S648" si="310">IF(N629="Standard",$O$5*Q629*$O$7,IF(N629="Severe",$O$4*Q629*$O$7,IF(N629="Hostile",$O$3*Q629*$O$7)))</f>
        <v>357343.20160000003</v>
      </c>
      <c r="T629" s="46">
        <f t="shared" ref="T629:T648" si="311">IF(N629="Standard",$P$5*R629*$O$7,IF(N629="Severe",$P$4*R629*$O$7,IF(N629="Hostile",$P$3*R629*$O$7)))</f>
        <v>359696.60440000001</v>
      </c>
      <c r="U629" s="46">
        <f t="shared" ref="U629:U648" si="312">IF(O629="E",$T$3*T629,IF(O629="C",$T$4*T629,IF(O629="W",$T$5*T629,1)))</f>
        <v>356099.63835600001</v>
      </c>
      <c r="V629" s="46">
        <f t="shared" ref="V629:V648" si="313">(S629+U629)/2</f>
        <v>356721.41997799999</v>
      </c>
      <c r="W629" s="47">
        <f>IF(F629=F388,(V629+V388)/2,IF(F629=F212,(V629+V212)/2,IF(F629&lt;&gt;F212,V629)))</f>
        <v>356721.41997799999</v>
      </c>
      <c r="X629" s="47"/>
      <c r="Y629" s="48">
        <f t="shared" ref="Y629:Y648" si="314">IF(N629="Standard",(((($Z$3*Q629)+($AD$3*R629*$T$5))/2)*$O$7),IF(N629="Severe",(((($AA$3*Q629)+($AE$3*R629*$T$5))/2)*$O$7),IF(N629="Hostile",(((($AB$3*Q629)+($AF$3*R629*$T$5))/2)*$O$7))))</f>
        <v>284910.46122</v>
      </c>
      <c r="Z629" s="48">
        <f t="shared" ref="Z629:Z648" si="315">IF(N629="Standard",(((($Z$4*Q629)+($AD$4*R629*$T$5))/2)*$O$7),IF(N629="Severe",(((($AA$4*Q629)+($AE$4*R629*$T$5))/2)*$O$7),IF(N629="Hostile",(((($AB$4*Q629)+($AF$4*R629*$T$5))/2)*$O$7))))</f>
        <v>314783.34056399995</v>
      </c>
      <c r="AA629" s="48">
        <f>IF(N629="Standard",((($Z$5*Q629)+($AD$5*R629*$T$5))/2)*$O$7,IF(N629="Severe",((($AA$5*Q629)+($AE$5*R629*$T$5))/2)*$O$7,IF(N629="Hostile",((($AB$5*Q629)+($AF$5*R629*$T$5))/2)*$O$7)))</f>
        <v>356721.41997799999</v>
      </c>
      <c r="AB629" s="48">
        <f>IF(N629="Standard",((($Z$6*Q629)+($AD$6*R629*$T$5))/2)*$O$7,IF(N629="Severe",((($AA$6*Q629)+($AE$6*R629*$T$5))/2)*$O$7,IF(N629="Hostile",((($AB$6*Q629)+($AF$6*R629*$T$5))/2)*$O$7)))</f>
        <v>386369.69663600001</v>
      </c>
      <c r="AC629" s="48">
        <f>IF(N629="Standard",((($Z$7*Q629)+($AD$7*R629*$T$5))/2)*$O$7,IF(N629="Severe",((($AA$7*Q629)+($AE$7*R629*$T$5))/2)*$O$7,IF(N629="Hostile",((($AB$7*Q629)+($AF$7*R629*$T$5))/2)*$O$7)))</f>
        <v>416512.92852399999</v>
      </c>
      <c r="AD629" s="1"/>
      <c r="AE629" s="1"/>
      <c r="AF629" s="1"/>
    </row>
    <row r="630" spans="2:62" x14ac:dyDescent="0.25">
      <c r="B630" s="1" t="s">
        <v>2579</v>
      </c>
      <c r="C630" s="1"/>
      <c r="D630" s="1"/>
      <c r="E630" s="1"/>
      <c r="F630" s="1" t="s">
        <v>1012</v>
      </c>
      <c r="G630" s="1"/>
      <c r="H630" s="1"/>
      <c r="I630" s="1" t="s">
        <v>1013</v>
      </c>
      <c r="J630" s="1">
        <v>0</v>
      </c>
      <c r="K630" s="1">
        <v>1</v>
      </c>
      <c r="L630" s="7" t="s">
        <v>2595</v>
      </c>
      <c r="M630" s="1" t="s">
        <v>2641</v>
      </c>
      <c r="N630" s="1" t="s">
        <v>1140</v>
      </c>
      <c r="O630" s="1" t="s">
        <v>1189</v>
      </c>
      <c r="P630" s="1"/>
      <c r="Q630" s="44">
        <f>IF(L630="986",Multipliers!C384,"oops")</f>
        <v>0.97</v>
      </c>
      <c r="R630" s="44">
        <f>IF(M630="Olympia",Multipliers!C156, "GOOF")</f>
        <v>1.21</v>
      </c>
      <c r="S630" s="46">
        <f t="shared" si="310"/>
        <v>393889.66540000006</v>
      </c>
      <c r="T630" s="46">
        <f t="shared" si="311"/>
        <v>473079.22969999997</v>
      </c>
      <c r="U630" s="46">
        <f t="shared" si="312"/>
        <v>468348.43740299996</v>
      </c>
      <c r="V630" s="46">
        <f t="shared" si="313"/>
        <v>431119.05140150001</v>
      </c>
      <c r="W630" s="47">
        <f>IF(F630=F631,(V630+V631)/2,IF(F630=F478,(V630+V478)/2,IF(F630&lt;&gt;F478,V630)))</f>
        <v>431119.05140150001</v>
      </c>
      <c r="X630" s="47"/>
      <c r="Y630" s="48">
        <f t="shared" si="314"/>
        <v>343313.108985</v>
      </c>
      <c r="Z630" s="48">
        <f t="shared" si="315"/>
        <v>379795.82270699996</v>
      </c>
      <c r="AA630" s="48">
        <f>IF(N630="Standard",((($Z$5*Q630)+($AD$5*R630*$T$4))/2)*$O$7,IF(N630="Severe",((($AA$5*Q630)+($AE$5*R630*$T$4))/2)*$O$7,IF(N630="Hostile",((($AB$5*Q630)+($AF$5*R630*$T$4))/2)*$O$7)))</f>
        <v>426388.25910449994</v>
      </c>
      <c r="AB630" s="48">
        <f>IF(N630="Standard",((($Z$6*Q630)+($AD$6*R630*$T$4))/2)*$O$7,IF(N630="Severe",((($AA$6*Q630)+($AE$6*R630*$T$4))/2)*$O$7,IF(N630="Hostile",((($AB$6*Q630)+($AF$6*R630*$T$4))/2)*$O$7)))</f>
        <v>462172.52022900002</v>
      </c>
      <c r="AC630" s="48">
        <f>IF(N630="Standard",((($Z$7*Q630)+($AD$7*R630*$T$4))/2)*$O$7,IF(N630="Severe",((($AA$7*Q630)+($AE$7*R630*$T$4))/2)*$O$7,IF(N630="Hostile",((($AB$7*Q630)+($AF$7*R630*$T$4))/2)*$O$7)))</f>
        <v>498290.16526099993</v>
      </c>
      <c r="AD630" s="1"/>
      <c r="AE630" s="1"/>
      <c r="AF630" s="1"/>
    </row>
    <row r="631" spans="2:62" x14ac:dyDescent="0.25">
      <c r="B631" s="1" t="s">
        <v>2579</v>
      </c>
      <c r="C631" s="1"/>
      <c r="D631" s="1"/>
      <c r="E631" s="1"/>
      <c r="F631" s="1" t="s">
        <v>1014</v>
      </c>
      <c r="G631" s="1"/>
      <c r="H631" s="1"/>
      <c r="I631" s="1" t="s">
        <v>1013</v>
      </c>
      <c r="J631" s="1">
        <v>0</v>
      </c>
      <c r="K631" s="1">
        <v>1</v>
      </c>
      <c r="L631" s="7" t="s">
        <v>2635</v>
      </c>
      <c r="M631" s="1" t="s">
        <v>2603</v>
      </c>
      <c r="N631" s="1" t="s">
        <v>1140</v>
      </c>
      <c r="O631" s="1" t="s">
        <v>1189</v>
      </c>
      <c r="P631" s="1"/>
      <c r="Q631" s="44">
        <f>IF(L631="980",Multipliers!C381,"oops")</f>
        <v>1.02</v>
      </c>
      <c r="R631" s="44">
        <f>IF(M631="Seattle",Multipliers!C157, "GOOF")</f>
        <v>1.21</v>
      </c>
      <c r="S631" s="46">
        <f t="shared" si="310"/>
        <v>414193.25640000007</v>
      </c>
      <c r="T631" s="46">
        <f t="shared" si="311"/>
        <v>473079.22969999997</v>
      </c>
      <c r="U631" s="46">
        <f t="shared" si="312"/>
        <v>468348.43740299996</v>
      </c>
      <c r="V631" s="46">
        <f t="shared" si="313"/>
        <v>441270.84690150002</v>
      </c>
      <c r="W631" s="47">
        <f>IF(F631=F632,(V631+V632)/2,IF(F631=F479,(V631+V479)/2,IF(F631&lt;&gt;F479,V631)))</f>
        <v>441270.84690150002</v>
      </c>
      <c r="X631" s="47"/>
      <c r="Y631" s="48">
        <f t="shared" si="314"/>
        <v>351692.92273500003</v>
      </c>
      <c r="Z631" s="48">
        <f t="shared" si="315"/>
        <v>388924.50170699996</v>
      </c>
      <c r="AA631" s="48">
        <f>IF(N631="Standard",((($Z$5*Q631)+($AD$5*R631*$T$4))/2)*$O$7,IF(N631="Severe",((($AA$5*Q631)+($AE$5*R631*$T$4))/2)*$O$7,IF(N631="Hostile",((($AB$5*Q631)+($AF$5*R631*$T$4))/2)*$O$7)))</f>
        <v>436540.05460449995</v>
      </c>
      <c r="AB631" s="48">
        <f>IF(N631="Standard",((($Z$6*Q631)+($AD$6*R631*$T$4))/2)*$O$7,IF(N631="Severe",((($AA$6*Q631)+($AE$6*R631*$T$4))/2)*$O$7,IF(N631="Hostile",((($AB$6*Q631)+($AF$6*R631*$T$4))/2)*$O$7)))</f>
        <v>473062.65997900011</v>
      </c>
      <c r="AC631" s="48">
        <f>IF(N631="Standard",((($Z$7*Q631)+($AD$7*R631*$T$4))/2)*$O$7,IF(N631="Severe",((($AA$7*Q631)+($AE$7*R631*$T$4))/2)*$O$7,IF(N631="Hostile",((($AB$7*Q631)+($AF$7*R631*$T$4))/2)*$O$7)))</f>
        <v>510011.46051100001</v>
      </c>
      <c r="AD631" s="1"/>
      <c r="AE631" s="1"/>
      <c r="AF631" s="1"/>
      <c r="AI631" s="9"/>
      <c r="AJ631" s="1"/>
      <c r="AK631" s="1"/>
      <c r="AL631" s="1"/>
      <c r="AM631" s="1"/>
      <c r="AN631" s="1"/>
      <c r="AO631" s="1"/>
      <c r="AP631" s="9"/>
      <c r="AQ631" s="3"/>
      <c r="AR631" s="4"/>
      <c r="AS631" s="1"/>
      <c r="AT631" s="1"/>
      <c r="AU631" s="1"/>
      <c r="AV631" s="1"/>
      <c r="AW631" s="1"/>
      <c r="AX631" s="3"/>
      <c r="AY631" s="3"/>
      <c r="AZ631" s="5"/>
      <c r="BA631" s="5"/>
      <c r="BB631" s="5"/>
      <c r="BC631" s="5"/>
      <c r="BD631" s="6"/>
      <c r="BE631" s="6"/>
      <c r="BF631" s="12"/>
      <c r="BG631" s="12"/>
      <c r="BH631" s="12"/>
      <c r="BI631" s="12"/>
      <c r="BJ631" s="12"/>
    </row>
    <row r="632" spans="2:62" x14ac:dyDescent="0.25">
      <c r="B632" s="1" t="s">
        <v>1927</v>
      </c>
      <c r="C632" s="1" t="s">
        <v>1015</v>
      </c>
      <c r="D632" s="1" t="s">
        <v>1190</v>
      </c>
      <c r="E632" s="1" t="s">
        <v>1016</v>
      </c>
      <c r="F632" s="1" t="s">
        <v>1017</v>
      </c>
      <c r="G632" s="1" t="s">
        <v>1018</v>
      </c>
      <c r="H632" s="1" t="s">
        <v>1019</v>
      </c>
      <c r="I632" s="1" t="s">
        <v>1000</v>
      </c>
      <c r="J632" s="44">
        <v>0</v>
      </c>
      <c r="K632" s="45">
        <v>2</v>
      </c>
      <c r="L632" s="1" t="s">
        <v>1933</v>
      </c>
      <c r="M632" s="1" t="s">
        <v>1934</v>
      </c>
      <c r="N632" s="1" t="s">
        <v>1140</v>
      </c>
      <c r="O632" s="1" t="s">
        <v>1920</v>
      </c>
      <c r="P632" s="1" t="s">
        <v>1190</v>
      </c>
      <c r="Q632" s="44">
        <f>IF(L632="063",Multipliers!C213,"oops")</f>
        <v>1.0900000000000001</v>
      </c>
      <c r="R632" s="44">
        <f>IF(M632="New Haven",Multipliers!C30, "GOOF")</f>
        <v>1.1200000000000001</v>
      </c>
      <c r="S632" s="46">
        <f t="shared" si="310"/>
        <v>442618.28380000009</v>
      </c>
      <c r="T632" s="46">
        <f t="shared" si="311"/>
        <v>437891.51840000006</v>
      </c>
      <c r="U632" s="46">
        <f t="shared" si="312"/>
        <v>451028.26395200007</v>
      </c>
      <c r="V632" s="46">
        <f t="shared" si="313"/>
        <v>446823.27387600008</v>
      </c>
      <c r="W632" s="47">
        <f>IF(F632=F254,(V632+V254)/2,IF(F632=F253,(V632+V253)/2,IF(F632&lt;&gt;F253,V632)))</f>
        <v>446823.27387600008</v>
      </c>
      <c r="X632" s="47"/>
      <c r="Y632" s="48">
        <f t="shared" si="314"/>
        <v>349980.83967000002</v>
      </c>
      <c r="Z632" s="48">
        <f t="shared" si="315"/>
        <v>386627.83370399999</v>
      </c>
      <c r="AA632" s="48">
        <f t="shared" ref="AA632:AA645" si="316">IF(N632="Standard",((($Z$5*Q632)+($AD$5*R632*$T$3))/2)*$O$7,IF(N632="Severe",((($AA$5*Q632)+($AE$5*R632*$T$3))/2)*$O$7,IF(N632="Hostile",((($AB$5*Q632)+($AF$5*R632*$T$3))/2)*$O$7)))</f>
        <v>446823.27387600008</v>
      </c>
      <c r="AB632" s="48">
        <f t="shared" ref="AB632:AB645" si="317">IF(N632="Standard",((($Z$6*Q632)+($AD$6*R632*$T$3))/2)*$O$7,IF(N632="Severe",((($AA$6*Q632)+($AE$6*R632*$T$3))/2)*$O$7,IF(N632="Hostile",((($AB$6*Q632)+($AF$6*R632*$T$3))/2)*$O$7)))</f>
        <v>484012.04506200005</v>
      </c>
      <c r="AC632" s="48">
        <f t="shared" ref="AC632:AC645" si="318">IF(N632="Standard",((($Z$7*Q632)+($AD$7*R632*$T$3))/2)*$O$7,IF(N632="Severe",((($AA$7*Q632)+($AE$7*R632*$T$3))/2)*$O$7,IF(N632="Hostile",((($AB$7*Q632)+($AF$7*R632*$T$3))/2)*$O$7)))</f>
        <v>521782.07265800005</v>
      </c>
      <c r="AD632" s="1"/>
      <c r="AE632" s="1"/>
      <c r="AF632" s="1"/>
      <c r="AI632" s="9"/>
      <c r="AJ632" s="1"/>
      <c r="AK632" s="1"/>
      <c r="AL632" s="1"/>
      <c r="AM632" s="1"/>
      <c r="AN632" s="1"/>
      <c r="AO632" s="1"/>
      <c r="AP632" s="9"/>
      <c r="AQ632" s="3"/>
      <c r="AR632" s="4"/>
      <c r="AS632" s="1"/>
      <c r="AT632" s="1"/>
      <c r="AU632" s="1"/>
      <c r="AV632" s="1"/>
      <c r="AW632" s="1"/>
      <c r="AX632" s="3"/>
      <c r="AY632" s="3"/>
      <c r="AZ632" s="5"/>
      <c r="BA632" s="5"/>
      <c r="BB632" s="5"/>
      <c r="BC632" s="5"/>
      <c r="BD632" s="6"/>
      <c r="BE632" s="6"/>
      <c r="BF632" s="12"/>
      <c r="BG632" s="12"/>
      <c r="BH632" s="12"/>
      <c r="BI632" s="12"/>
      <c r="BJ632" s="12"/>
    </row>
    <row r="633" spans="2:62" x14ac:dyDescent="0.25">
      <c r="B633" s="1" t="s">
        <v>1968</v>
      </c>
      <c r="C633" s="1" t="s">
        <v>1020</v>
      </c>
      <c r="D633" s="1" t="s">
        <v>1190</v>
      </c>
      <c r="E633" s="1" t="s">
        <v>1190</v>
      </c>
      <c r="F633" s="1" t="s">
        <v>1021</v>
      </c>
      <c r="G633" s="1" t="s">
        <v>1190</v>
      </c>
      <c r="H633" s="1" t="s">
        <v>1190</v>
      </c>
      <c r="I633" s="1" t="s">
        <v>1000</v>
      </c>
      <c r="J633" s="44">
        <v>0</v>
      </c>
      <c r="K633" s="45">
        <v>2</v>
      </c>
      <c r="L633" s="1" t="s">
        <v>1022</v>
      </c>
      <c r="M633" s="1" t="s">
        <v>1023</v>
      </c>
      <c r="N633" s="1" t="s">
        <v>1140</v>
      </c>
      <c r="O633" s="1" t="s">
        <v>1920</v>
      </c>
      <c r="P633" s="1" t="s">
        <v>1190</v>
      </c>
      <c r="Q633" s="44">
        <f>IF(L633="015",Multipliers!C254,"oops")</f>
        <v>1.1000000000000001</v>
      </c>
      <c r="R633" s="44">
        <f>IF(M633="Worcester",Multipliers!C62, "GOOF")</f>
        <v>1.1399999999999999</v>
      </c>
      <c r="S633" s="46">
        <f t="shared" si="310"/>
        <v>446679.00200000009</v>
      </c>
      <c r="T633" s="46">
        <f t="shared" si="311"/>
        <v>445711.00979999994</v>
      </c>
      <c r="U633" s="46">
        <f t="shared" si="312"/>
        <v>459082.34009399993</v>
      </c>
      <c r="V633" s="46">
        <f t="shared" si="313"/>
        <v>452880.67104699998</v>
      </c>
      <c r="W633" s="47">
        <f>IF(F633=F266,(V633+V266)/2,IF(F633=F264,(V633+V264)/2,IF(F633&lt;&gt;F264,V633)))</f>
        <v>452880.67104699998</v>
      </c>
      <c r="X633" s="47"/>
      <c r="Y633" s="48">
        <f t="shared" si="314"/>
        <v>354644.31849000003</v>
      </c>
      <c r="Z633" s="48">
        <f t="shared" si="315"/>
        <v>391803.97363799997</v>
      </c>
      <c r="AA633" s="48">
        <f t="shared" si="316"/>
        <v>452880.67104699998</v>
      </c>
      <c r="AB633" s="48">
        <f t="shared" si="317"/>
        <v>490593.7694140001</v>
      </c>
      <c r="AC633" s="48">
        <f t="shared" si="318"/>
        <v>528880.93592600001</v>
      </c>
      <c r="AD633" s="1"/>
      <c r="AE633" s="1"/>
      <c r="AF633" s="1"/>
      <c r="AI633" s="9"/>
      <c r="AJ633" s="1"/>
      <c r="AK633" s="1"/>
      <c r="AL633" s="1"/>
      <c r="AM633" s="1"/>
      <c r="AN633" s="1"/>
      <c r="AO633" s="1"/>
      <c r="AP633" s="9"/>
      <c r="AQ633" s="3"/>
      <c r="AR633" s="4"/>
      <c r="AS633" s="1"/>
      <c r="AT633" s="1"/>
      <c r="AU633" s="1"/>
      <c r="AV633" s="1"/>
      <c r="AW633" s="1"/>
      <c r="AX633" s="3"/>
      <c r="AY633" s="3"/>
      <c r="AZ633" s="5"/>
      <c r="BA633" s="5"/>
      <c r="BB633" s="5"/>
      <c r="BC633" s="5"/>
      <c r="BD633" s="6"/>
      <c r="BE633" s="6"/>
      <c r="BF633" s="12"/>
      <c r="BG633" s="12"/>
      <c r="BH633" s="12"/>
      <c r="BI633" s="12"/>
      <c r="BJ633" s="12"/>
    </row>
    <row r="634" spans="2:62" x14ac:dyDescent="0.25">
      <c r="B634" s="1" t="s">
        <v>1024</v>
      </c>
      <c r="C634" s="1" t="s">
        <v>1025</v>
      </c>
      <c r="D634" s="1" t="s">
        <v>1190</v>
      </c>
      <c r="E634" s="1" t="s">
        <v>1190</v>
      </c>
      <c r="F634" s="1" t="s">
        <v>1026</v>
      </c>
      <c r="G634" s="1" t="s">
        <v>1024</v>
      </c>
      <c r="H634" s="1" t="s">
        <v>1190</v>
      </c>
      <c r="I634" s="1" t="s">
        <v>1000</v>
      </c>
      <c r="J634" s="44">
        <v>0</v>
      </c>
      <c r="K634" s="45">
        <v>2</v>
      </c>
      <c r="L634" s="1" t="s">
        <v>1027</v>
      </c>
      <c r="M634" s="1" t="s">
        <v>1028</v>
      </c>
      <c r="N634" s="1" t="s">
        <v>1139</v>
      </c>
      <c r="O634" s="1" t="s">
        <v>1920</v>
      </c>
      <c r="P634" s="1" t="s">
        <v>1190</v>
      </c>
      <c r="Q634" s="44">
        <f>IF(L634="317",Multipliers!C227,"oops")</f>
        <v>0.82</v>
      </c>
      <c r="R634" s="44">
        <f>IF(M634="Albany",Multipliers!C42, "GOOF")</f>
        <v>0.83</v>
      </c>
      <c r="S634" s="46">
        <f t="shared" si="310"/>
        <v>314408.78700000001</v>
      </c>
      <c r="T634" s="46">
        <f t="shared" si="311"/>
        <v>311231.5906</v>
      </c>
      <c r="U634" s="46">
        <f t="shared" si="312"/>
        <v>320568.53831799998</v>
      </c>
      <c r="V634" s="46">
        <f t="shared" si="313"/>
        <v>317488.66265900002</v>
      </c>
      <c r="W634" s="47">
        <f>IF(F634=F635,(V634+V635)/2,IF(F634=F628,(V634+V628)/2,IF(F634&lt;&gt;F628,V634)))</f>
        <v>317488.66265900002</v>
      </c>
      <c r="X634" s="47"/>
      <c r="Y634" s="48">
        <f t="shared" si="314"/>
        <v>247838.73390499997</v>
      </c>
      <c r="Z634" s="48">
        <f t="shared" si="315"/>
        <v>274635.67056100001</v>
      </c>
      <c r="AA634" s="48">
        <f t="shared" si="316"/>
        <v>317488.66265900002</v>
      </c>
      <c r="AB634" s="48">
        <f t="shared" si="317"/>
        <v>342775.61950799997</v>
      </c>
      <c r="AC634" s="48">
        <f t="shared" si="318"/>
        <v>369623.891672</v>
      </c>
      <c r="AD634" s="1"/>
      <c r="AE634" s="1"/>
      <c r="AF634" s="1"/>
      <c r="AI634" s="9"/>
      <c r="AJ634" s="1"/>
      <c r="AK634" s="1"/>
      <c r="AL634" s="1"/>
      <c r="AM634" s="1"/>
      <c r="AN634" s="1"/>
      <c r="AO634" s="1"/>
      <c r="AP634" s="9"/>
      <c r="AQ634" s="3"/>
      <c r="AR634" s="4"/>
      <c r="AS634" s="1"/>
      <c r="AT634" s="1"/>
      <c r="AU634" s="1"/>
      <c r="AV634" s="1"/>
      <c r="AW634" s="1"/>
      <c r="AX634" s="3"/>
      <c r="AY634" s="3"/>
      <c r="AZ634" s="5"/>
      <c r="BA634" s="5"/>
      <c r="BB634" s="5"/>
      <c r="BC634" s="5"/>
      <c r="BD634" s="6"/>
      <c r="BE634" s="6"/>
      <c r="BF634" s="12"/>
      <c r="BG634" s="12"/>
      <c r="BH634" s="12"/>
      <c r="BI634" s="12"/>
      <c r="BJ634" s="12"/>
    </row>
    <row r="635" spans="2:62" x14ac:dyDescent="0.25">
      <c r="B635" s="1" t="s">
        <v>1029</v>
      </c>
      <c r="C635" s="1" t="s">
        <v>1030</v>
      </c>
      <c r="D635" s="1" t="s">
        <v>1190</v>
      </c>
      <c r="E635" s="1" t="s">
        <v>1190</v>
      </c>
      <c r="F635" s="1" t="s">
        <v>1031</v>
      </c>
      <c r="G635" s="1" t="s">
        <v>1190</v>
      </c>
      <c r="H635" s="1" t="s">
        <v>1190</v>
      </c>
      <c r="I635" s="1" t="s">
        <v>1000</v>
      </c>
      <c r="J635" s="44">
        <v>0</v>
      </c>
      <c r="K635" s="45">
        <v>2</v>
      </c>
      <c r="L635" s="1" t="s">
        <v>1032</v>
      </c>
      <c r="M635" s="1" t="s">
        <v>1033</v>
      </c>
      <c r="N635" s="1" t="s">
        <v>1139</v>
      </c>
      <c r="O635" s="1" t="s">
        <v>1920</v>
      </c>
      <c r="P635" s="1" t="s">
        <v>1190</v>
      </c>
      <c r="Q635" s="44">
        <f>IF(L635="076",Multipliers!C301,"oops")</f>
        <v>1.19</v>
      </c>
      <c r="R635" s="44">
        <f>IF(M635="NEW JERSEY",Multipliers!C94, "GOOF")</f>
        <v>1.27</v>
      </c>
      <c r="S635" s="46">
        <f t="shared" si="310"/>
        <v>456276.16650000005</v>
      </c>
      <c r="T635" s="46">
        <f t="shared" si="311"/>
        <v>476221.83139999997</v>
      </c>
      <c r="U635" s="46">
        <f t="shared" si="312"/>
        <v>490508.48634199996</v>
      </c>
      <c r="V635" s="46">
        <f t="shared" si="313"/>
        <v>473392.32642100001</v>
      </c>
      <c r="W635" s="47">
        <f t="shared" ref="W635:W647" si="319">IF(F635=F636,(V635+V636)/2,IF(F635=F634,(V635+V634)/2,IF(F635&lt;&gt;F634,V635)))</f>
        <v>473392.32642100001</v>
      </c>
      <c r="X635" s="47"/>
      <c r="Y635" s="48">
        <f t="shared" si="314"/>
        <v>369033.17594500002</v>
      </c>
      <c r="Z635" s="48">
        <f t="shared" si="315"/>
        <v>409077.42845900002</v>
      </c>
      <c r="AA635" s="48">
        <f t="shared" si="316"/>
        <v>473392.32642100006</v>
      </c>
      <c r="AB635" s="48">
        <f t="shared" si="317"/>
        <v>511230.6824520001</v>
      </c>
      <c r="AC635" s="48">
        <f t="shared" si="318"/>
        <v>551288.60096800001</v>
      </c>
      <c r="AD635" s="1"/>
      <c r="AE635" s="1"/>
      <c r="AF635" s="1"/>
      <c r="AI635" s="9"/>
      <c r="AJ635" s="1"/>
      <c r="AK635" s="1"/>
      <c r="AL635" s="1"/>
      <c r="AM635" s="1"/>
      <c r="AN635" s="1"/>
      <c r="AO635" s="1"/>
      <c r="AP635" s="9"/>
      <c r="AQ635" s="3"/>
      <c r="AR635" s="4"/>
      <c r="AS635" s="1"/>
      <c r="AT635" s="1"/>
      <c r="AU635" s="1"/>
      <c r="AV635" s="1"/>
      <c r="AW635" s="1"/>
      <c r="AX635" s="3"/>
      <c r="AY635" s="3"/>
      <c r="AZ635" s="5"/>
      <c r="BA635" s="5"/>
      <c r="BB635" s="5"/>
      <c r="BC635" s="5"/>
      <c r="BD635" s="6"/>
      <c r="BE635" s="6"/>
      <c r="BF635" s="12"/>
      <c r="BG635" s="12"/>
      <c r="BH635" s="12"/>
      <c r="BI635" s="12"/>
      <c r="BJ635" s="12"/>
    </row>
    <row r="636" spans="2:62" x14ac:dyDescent="0.25">
      <c r="B636" s="1" t="s">
        <v>1029</v>
      </c>
      <c r="C636" s="1" t="s">
        <v>1034</v>
      </c>
      <c r="D636" s="1" t="s">
        <v>1190</v>
      </c>
      <c r="E636" s="1" t="s">
        <v>1190</v>
      </c>
      <c r="F636" s="1" t="s">
        <v>1035</v>
      </c>
      <c r="G636" s="1" t="s">
        <v>1190</v>
      </c>
      <c r="H636" s="1" t="s">
        <v>1190</v>
      </c>
      <c r="I636" s="1" t="s">
        <v>1000</v>
      </c>
      <c r="J636" s="44">
        <v>0</v>
      </c>
      <c r="K636" s="45">
        <v>2</v>
      </c>
      <c r="L636" s="1" t="s">
        <v>1036</v>
      </c>
      <c r="M636" s="1" t="s">
        <v>1033</v>
      </c>
      <c r="N636" s="1" t="s">
        <v>1139</v>
      </c>
      <c r="O636" s="1" t="s">
        <v>1920</v>
      </c>
      <c r="P636" s="1" t="s">
        <v>1190</v>
      </c>
      <c r="Q636" s="44">
        <f>IF(L636="080",Multipliers!C302,"oops")</f>
        <v>1.1599999999999999</v>
      </c>
      <c r="R636" s="44">
        <f>IF(M636="NEW JERSEY",Multipliers!C94, "GOOF")</f>
        <v>1.27</v>
      </c>
      <c r="S636" s="46">
        <f t="shared" si="310"/>
        <v>444773.40600000002</v>
      </c>
      <c r="T636" s="46">
        <f t="shared" si="311"/>
        <v>476221.83139999997</v>
      </c>
      <c r="U636" s="46">
        <f t="shared" si="312"/>
        <v>490508.48634199996</v>
      </c>
      <c r="V636" s="46">
        <f t="shared" si="313"/>
        <v>467640.94617100002</v>
      </c>
      <c r="W636" s="47">
        <f t="shared" si="319"/>
        <v>467640.94617100002</v>
      </c>
      <c r="X636" s="47"/>
      <c r="Y636" s="48">
        <f t="shared" si="314"/>
        <v>364308.22844499996</v>
      </c>
      <c r="Z636" s="48">
        <f t="shared" si="315"/>
        <v>403908.134609</v>
      </c>
      <c r="AA636" s="48">
        <f t="shared" si="316"/>
        <v>467640.94617100002</v>
      </c>
      <c r="AB636" s="48">
        <f t="shared" si="317"/>
        <v>505083.43645199994</v>
      </c>
      <c r="AC636" s="48">
        <f t="shared" si="318"/>
        <v>544666.92296799994</v>
      </c>
      <c r="AD636" s="1"/>
      <c r="AE636" s="1"/>
      <c r="AF636" s="1"/>
      <c r="AI636" s="9"/>
      <c r="AJ636" s="1"/>
      <c r="AK636" s="1"/>
      <c r="AL636" s="1"/>
      <c r="AM636" s="1"/>
      <c r="AN636" s="1"/>
      <c r="AO636" s="1"/>
      <c r="AP636" s="9"/>
      <c r="AQ636" s="3"/>
      <c r="AR636" s="4"/>
      <c r="AS636" s="1"/>
      <c r="AT636" s="1"/>
      <c r="AU636" s="1"/>
      <c r="AV636" s="1"/>
      <c r="AW636" s="1"/>
      <c r="AX636" s="3"/>
      <c r="AY636" s="3"/>
      <c r="AZ636" s="5"/>
      <c r="BA636" s="5"/>
      <c r="BB636" s="5"/>
      <c r="BC636" s="5"/>
      <c r="BD636" s="6"/>
      <c r="BE636" s="6"/>
      <c r="BF636" s="12"/>
      <c r="BG636" s="12"/>
      <c r="BH636" s="12"/>
      <c r="BI636" s="12"/>
      <c r="BJ636" s="12"/>
    </row>
    <row r="637" spans="2:62" x14ac:dyDescent="0.25">
      <c r="B637" s="1" t="s">
        <v>2172</v>
      </c>
      <c r="C637" s="1" t="s">
        <v>1037</v>
      </c>
      <c r="D637" s="1" t="s">
        <v>1190</v>
      </c>
      <c r="E637" s="1" t="s">
        <v>1038</v>
      </c>
      <c r="F637" s="1" t="s">
        <v>1039</v>
      </c>
      <c r="G637" s="1" t="s">
        <v>1190</v>
      </c>
      <c r="H637" s="1" t="s">
        <v>1190</v>
      </c>
      <c r="I637" s="1" t="s">
        <v>1000</v>
      </c>
      <c r="J637" s="44">
        <v>0</v>
      </c>
      <c r="K637" s="45">
        <v>2</v>
      </c>
      <c r="L637" s="1" t="s">
        <v>1040</v>
      </c>
      <c r="M637" s="1" t="s">
        <v>1041</v>
      </c>
      <c r="N637" s="1" t="s">
        <v>1140</v>
      </c>
      <c r="O637" s="1" t="s">
        <v>1920</v>
      </c>
      <c r="P637" s="1" t="s">
        <v>1190</v>
      </c>
      <c r="Q637" s="44">
        <f>IF(L637="117",Multipliers!C312,"oops")</f>
        <v>1.25</v>
      </c>
      <c r="R637" s="44">
        <f>IF(M637="NEW YORK",Multipliers!C102, "GOOF")</f>
        <v>1.1000000000000001</v>
      </c>
      <c r="S637" s="46">
        <f t="shared" si="310"/>
        <v>507589.77500000008</v>
      </c>
      <c r="T637" s="46">
        <f t="shared" si="311"/>
        <v>430072.027</v>
      </c>
      <c r="U637" s="46">
        <f t="shared" si="312"/>
        <v>442974.18781000003</v>
      </c>
      <c r="V637" s="46">
        <f t="shared" si="313"/>
        <v>475281.98140500009</v>
      </c>
      <c r="W637" s="47">
        <f t="shared" si="319"/>
        <v>475281.98140500009</v>
      </c>
      <c r="X637" s="47"/>
      <c r="Y637" s="48">
        <f t="shared" si="314"/>
        <v>373808.72760000004</v>
      </c>
      <c r="Z637" s="48">
        <f t="shared" si="315"/>
        <v>412489.20237000001</v>
      </c>
      <c r="AA637" s="48">
        <f t="shared" si="316"/>
        <v>475281.98140500009</v>
      </c>
      <c r="AB637" s="48">
        <f t="shared" si="317"/>
        <v>514456.79586000001</v>
      </c>
      <c r="AC637" s="48">
        <f t="shared" si="318"/>
        <v>554535.61324000009</v>
      </c>
      <c r="AD637" s="1"/>
      <c r="AE637" s="1"/>
      <c r="AF637" s="1"/>
      <c r="AI637" s="9"/>
      <c r="AJ637" s="1"/>
      <c r="AK637" s="1"/>
      <c r="AL637" s="1"/>
      <c r="AM637" s="1"/>
      <c r="AN637" s="1"/>
      <c r="AO637" s="1"/>
      <c r="AP637" s="9"/>
      <c r="AQ637" s="3"/>
      <c r="AR637" s="4"/>
      <c r="AS637" s="1"/>
      <c r="AT637" s="1"/>
      <c r="AU637" s="1"/>
      <c r="AV637" s="1"/>
      <c r="AW637" s="1"/>
      <c r="AX637" s="3"/>
      <c r="AY637" s="3"/>
      <c r="AZ637" s="5"/>
      <c r="BA637" s="5"/>
      <c r="BB637" s="5"/>
      <c r="BC637" s="5"/>
      <c r="BD637" s="6"/>
      <c r="BE637" s="6"/>
      <c r="BF637" s="12"/>
      <c r="BG637" s="12"/>
      <c r="BH637" s="12"/>
      <c r="BI637" s="12"/>
      <c r="BJ637" s="12"/>
    </row>
    <row r="638" spans="2:62" x14ac:dyDescent="0.25">
      <c r="B638" s="1" t="s">
        <v>2172</v>
      </c>
      <c r="C638" s="1" t="s">
        <v>1042</v>
      </c>
      <c r="D638" s="1" t="s">
        <v>1190</v>
      </c>
      <c r="E638" s="1" t="s">
        <v>1043</v>
      </c>
      <c r="F638" s="1" t="s">
        <v>1044</v>
      </c>
      <c r="G638" s="1" t="s">
        <v>1190</v>
      </c>
      <c r="H638" s="1" t="s">
        <v>1190</v>
      </c>
      <c r="I638" s="1" t="s">
        <v>1000</v>
      </c>
      <c r="J638" s="44">
        <v>0</v>
      </c>
      <c r="K638" s="45">
        <v>2</v>
      </c>
      <c r="L638" s="1" t="s">
        <v>1040</v>
      </c>
      <c r="M638" s="1" t="s">
        <v>1041</v>
      </c>
      <c r="N638" s="1" t="s">
        <v>1140</v>
      </c>
      <c r="O638" s="1" t="s">
        <v>1920</v>
      </c>
      <c r="P638" s="1" t="s">
        <v>1190</v>
      </c>
      <c r="Q638" s="44">
        <f>IF(L638="117",Multipliers!C312,"oops")</f>
        <v>1.25</v>
      </c>
      <c r="R638" s="44">
        <f>IF(M638="NEW YORK",Multipliers!C102, "GOOF")</f>
        <v>1.1000000000000001</v>
      </c>
      <c r="S638" s="46">
        <f t="shared" si="310"/>
        <v>507589.77500000008</v>
      </c>
      <c r="T638" s="46">
        <f t="shared" si="311"/>
        <v>430072.027</v>
      </c>
      <c r="U638" s="46">
        <f t="shared" si="312"/>
        <v>442974.18781000003</v>
      </c>
      <c r="V638" s="46">
        <f t="shared" si="313"/>
        <v>475281.98140500009</v>
      </c>
      <c r="W638" s="47">
        <f>IF(F638=F641,(V638+V641)/2,IF(F638=F637,(V638+V637)/2,IF(F638&lt;&gt;F637,V638)))</f>
        <v>475281.98140500009</v>
      </c>
      <c r="X638" s="47"/>
      <c r="Y638" s="48">
        <f t="shared" si="314"/>
        <v>373808.72760000004</v>
      </c>
      <c r="Z638" s="48">
        <f t="shared" si="315"/>
        <v>412489.20237000001</v>
      </c>
      <c r="AA638" s="48">
        <f t="shared" si="316"/>
        <v>475281.98140500009</v>
      </c>
      <c r="AB638" s="48">
        <f t="shared" si="317"/>
        <v>514456.79586000001</v>
      </c>
      <c r="AC638" s="48">
        <f t="shared" si="318"/>
        <v>554535.61324000009</v>
      </c>
      <c r="AD638" s="1"/>
      <c r="AE638" s="1"/>
      <c r="AF638" s="1"/>
      <c r="AI638" s="9"/>
      <c r="AJ638" s="1"/>
      <c r="AK638" s="1"/>
      <c r="AL638" s="1"/>
      <c r="AM638" s="1"/>
      <c r="AN638" s="1"/>
      <c r="AO638" s="1"/>
      <c r="AP638" s="9"/>
      <c r="AQ638" s="3"/>
      <c r="AR638" s="4"/>
      <c r="AS638" s="7"/>
      <c r="AT638" s="1"/>
      <c r="AU638" s="1"/>
      <c r="AV638" s="1"/>
      <c r="AW638" s="1"/>
      <c r="AX638" s="3"/>
      <c r="AY638" s="3"/>
      <c r="AZ638" s="5"/>
      <c r="BA638" s="5"/>
      <c r="BB638" s="5"/>
      <c r="BC638" s="5"/>
      <c r="BD638" s="6"/>
      <c r="BE638" s="6"/>
      <c r="BF638" s="12"/>
      <c r="BG638" s="12"/>
      <c r="BH638" s="12"/>
      <c r="BI638" s="12"/>
      <c r="BJ638" s="12"/>
    </row>
    <row r="639" spans="2:62" x14ac:dyDescent="0.25">
      <c r="B639" s="84" t="s">
        <v>1045</v>
      </c>
      <c r="C639" s="1"/>
      <c r="D639" s="1"/>
      <c r="E639" s="1"/>
      <c r="F639" s="84" t="s">
        <v>2679</v>
      </c>
      <c r="G639" s="1"/>
      <c r="H639" s="1"/>
      <c r="I639" s="84" t="s">
        <v>1000</v>
      </c>
      <c r="J639" s="44">
        <v>1</v>
      </c>
      <c r="K639" s="45">
        <v>2</v>
      </c>
      <c r="L639" s="1">
        <v>234</v>
      </c>
      <c r="M639" s="84" t="s">
        <v>1049</v>
      </c>
      <c r="N639" s="84" t="s">
        <v>1139</v>
      </c>
      <c r="O639" s="84" t="s">
        <v>1920</v>
      </c>
      <c r="P639" s="1"/>
      <c r="Q639" s="44">
        <v>0.95</v>
      </c>
      <c r="R639" s="44">
        <f>IF(M639="VIRGINIA",Multipliers!C147, "GOOF")</f>
        <v>0.95</v>
      </c>
      <c r="S639" s="46">
        <f>IF(N639="Standard",$O$5*Q639*$O$7,IF(N639="Severe",$O$4*Q639*$O$7,IF(N639="Hostile",$O$3*Q639*$O$7)))</f>
        <v>364254.08250000008</v>
      </c>
      <c r="T639" s="46">
        <f>IF(N639="Standard",$P$5*R639*$O$7,IF(N639="Severe",$P$4*R639*$O$7,IF(N639="Hostile",$P$3*R639*$O$7)))</f>
        <v>356228.929</v>
      </c>
      <c r="U639" s="46">
        <f>IF(O639="E",$T$3*T639,IF(O639="C",$T$4*T639,IF(O639="W",$T$5*T639,1)))</f>
        <v>366915.79687000002</v>
      </c>
      <c r="V639" s="46">
        <f>(S639+U639)/2</f>
        <v>365584.93968500005</v>
      </c>
      <c r="W639" s="47">
        <f>IF(F639=F640,(V639+V640)/2,IF(F639=F636,(V639+V636)/2,IF(F639&lt;&gt;F636,V639)))</f>
        <v>365584.93968500005</v>
      </c>
      <c r="X639" s="47"/>
      <c r="Y639" s="48">
        <f>IF(N639="Standard",(((($Z$3*Q639)+($AD$3*R639*$T$5))/2)*$O$7),IF(N639="Severe",(((($AA$3*Q639)+($AE$3*R639*$T$5))/2)*$O$7),IF(N639="Hostile",(((($AB$3*Q639)+($AF$3*R639*$T$5))/2)*$O$7))))</f>
        <v>285473.53082500002</v>
      </c>
      <c r="Z639" s="48">
        <f>IF(N639="Standard",(((($Z$4*Q639)+($AD$4*R639*$T$5))/2)*$O$7),IF(N639="Severe",(((($AA$4*Q639)+($AE$4*R639*$T$5))/2)*$O$7),IF(N639="Hostile",(((($AB$4*Q639)+($AF$4*R639*$T$5))/2)*$O$7))))</f>
        <v>316314.25311499997</v>
      </c>
      <c r="AA639" s="48">
        <f>IF(N639="Standard",((($Z$5*Q639)+($AD$5*R639*$T$3))/2)*$O$7,IF(N639="Severe",((($AA$5*Q639)+($AE$5*R639*$T$3))/2)*$O$7,IF(N639="Hostile",((($AB$5*Q639)+($AF$5*R639*$T$3))/2)*$O$7)))</f>
        <v>365584.93968500005</v>
      </c>
      <c r="AB639" s="48">
        <f>IF(N639="Standard",((($Z$6*Q639)+($AD$6*R639*$T$3))/2)*$O$7,IF(N639="Severe",((($AA$6*Q639)+($AE$6*R639*$T$3))/2)*$O$7,IF(N639="Hostile",((($AB$6*Q639)+($AF$6*R639*$T$3))/2)*$O$7)))</f>
        <v>394678.87521999999</v>
      </c>
      <c r="AC639" s="48">
        <f>IF(N639="Standard",((($Z$7*Q639)+($AD$7*R639*$T$3))/2)*$O$7,IF(N639="Severe",((($AA$7*Q639)+($AE$7*R639*$T$3))/2)*$O$7,IF(N639="Hostile",((($AB$7*Q639)+($AF$7*R639*$T$3))/2)*$O$7)))</f>
        <v>425589.83348000003</v>
      </c>
      <c r="AD639" s="1"/>
      <c r="AE639" s="1"/>
      <c r="AF639" s="1"/>
      <c r="AI639" s="9"/>
      <c r="AJ639" s="1"/>
      <c r="AK639" s="1"/>
      <c r="AL639" s="1"/>
      <c r="AM639" s="1"/>
      <c r="AN639" s="1"/>
      <c r="AO639" s="1"/>
      <c r="AP639" s="9"/>
      <c r="AQ639" s="3"/>
      <c r="AR639" s="4"/>
      <c r="AS639" s="7"/>
      <c r="AT639" s="1"/>
      <c r="AU639" s="1"/>
      <c r="AV639" s="1"/>
      <c r="AW639" s="1"/>
      <c r="AX639" s="3"/>
      <c r="AY639" s="3"/>
      <c r="AZ639" s="5"/>
      <c r="BA639" s="5"/>
      <c r="BB639" s="5"/>
      <c r="BC639" s="5"/>
      <c r="BD639" s="6"/>
      <c r="BE639" s="6"/>
      <c r="BF639" s="12"/>
      <c r="BG639" s="12"/>
      <c r="BH639" s="12"/>
      <c r="BI639" s="12"/>
      <c r="BJ639" s="12"/>
    </row>
    <row r="640" spans="2:62" x14ac:dyDescent="0.25">
      <c r="B640" s="84" t="s">
        <v>1045</v>
      </c>
      <c r="C640" s="1"/>
      <c r="D640" s="1"/>
      <c r="E640" s="1"/>
      <c r="F640" s="84" t="s">
        <v>2680</v>
      </c>
      <c r="G640" s="1"/>
      <c r="H640" s="1"/>
      <c r="I640" s="84" t="s">
        <v>1000</v>
      </c>
      <c r="J640" s="44">
        <v>1</v>
      </c>
      <c r="K640" s="45">
        <v>2</v>
      </c>
      <c r="L640" s="1">
        <v>245</v>
      </c>
      <c r="M640" s="84" t="s">
        <v>1049</v>
      </c>
      <c r="N640" s="84" t="s">
        <v>1139</v>
      </c>
      <c r="O640" s="84" t="s">
        <v>1920</v>
      </c>
      <c r="P640" s="1"/>
      <c r="Q640" s="44">
        <v>0.98</v>
      </c>
      <c r="R640" s="44">
        <v>0.89</v>
      </c>
      <c r="S640" s="46">
        <f>IF(N640="Standard",$O$5*Q640*$O$7,IF(N640="Severe",$O$4*Q640*$O$7,IF(N640="Hostile",$O$3*Q640*$O$7)))</f>
        <v>375756.84300000005</v>
      </c>
      <c r="T640" s="46">
        <f>IF(N640="Standard",$P$5*R640*$O$7,IF(N640="Severe",$P$4*R640*$O$7,IF(N640="Hostile",$P$3*R640*$O$7)))</f>
        <v>333730.2598</v>
      </c>
      <c r="U640" s="46">
        <f>IF(O640="E",$T$3*T640,IF(O640="C",$T$4*T640,IF(O640="W",$T$5*T640,1)))</f>
        <v>343742.167594</v>
      </c>
      <c r="V640" s="46">
        <f>(S640+U640)/2</f>
        <v>359749.50529700005</v>
      </c>
      <c r="W640" s="47">
        <f>IF(F640=F641,(V640+V641)/2,IF(F640=F637,(V640+V637)/2,IF(F640&lt;&gt;F637,V640)))</f>
        <v>359749.50529700005</v>
      </c>
      <c r="X640" s="47"/>
      <c r="Y640" s="48">
        <f>IF(N640="Standard",(((($Z$3*Q640)+($AD$3*R640*$T$5))/2)*$O$7),IF(N640="Severe",(((($AA$3*Q640)+($AE$3*R640*$T$5))/2)*$O$7),IF(N640="Hostile",(((($AB$3*Q640)+($AF$3*R640*$T$5))/2)*$O$7))))</f>
        <v>281618.46611500002</v>
      </c>
      <c r="Z640" s="48">
        <f>IF(N640="Standard",(((($Z$4*Q640)+($AD$4*R640*$T$5))/2)*$O$7),IF(N640="Severe",(((($AA$4*Q640)+($AE$4*R640*$T$5))/2)*$O$7),IF(N640="Hostile",(((($AB$4*Q640)+($AF$4*R640*$T$5))/2)*$O$7))))</f>
        <v>311844.39236299996</v>
      </c>
      <c r="AA640" s="48">
        <f>IF(N640="Standard",((($Z$5*Q640)+($AD$5*R640*$T$3))/2)*$O$7,IF(N640="Severe",((($AA$5*Q640)+($AE$5*R640*$T$3))/2)*$O$7,IF(N640="Hostile",((($AB$5*Q640)+($AF$5*R640*$T$3))/2)*$O$7)))</f>
        <v>359749.505297</v>
      </c>
      <c r="AB640" s="48">
        <f>IF(N640="Standard",((($Z$6*Q640)+($AD$6*R640*$T$3))/2)*$O$7,IF(N640="Severe",((($AA$6*Q640)+($AE$6*R640*$T$3))/2)*$O$7,IF(N640="Hostile",((($AB$6*Q640)+($AF$6*R640*$T$3))/2)*$O$7)))</f>
        <v>388193.52636399999</v>
      </c>
      <c r="AC640" s="48">
        <f>IF(N640="Standard",((($Z$7*Q640)+($AD$7*R640*$T$3))/2)*$O$7,IF(N640="Severe",((($AA$7*Q640)+($AE$7*R640*$T$3))/2)*$O$7,IF(N640="Hostile",((($AB$7*Q640)+($AF$7*R640*$T$3))/2)*$O$7)))</f>
        <v>418575.50957599998</v>
      </c>
      <c r="AD640" s="1"/>
      <c r="AE640" s="1"/>
      <c r="AF640" s="1"/>
      <c r="AI640" s="9"/>
      <c r="AJ640" s="1"/>
      <c r="AK640" s="1"/>
      <c r="AL640" s="1"/>
      <c r="AM640" s="1"/>
      <c r="AN640" s="1"/>
      <c r="AO640" s="1"/>
      <c r="AP640" s="9"/>
      <c r="AQ640" s="3"/>
      <c r="AR640" s="4"/>
      <c r="AS640" s="7"/>
      <c r="AT640" s="1"/>
      <c r="AU640" s="1"/>
      <c r="AV640" s="1"/>
      <c r="AW640" s="1"/>
      <c r="AX640" s="3"/>
      <c r="AY640" s="3"/>
      <c r="AZ640" s="5"/>
      <c r="BA640" s="5"/>
      <c r="BB640" s="5"/>
      <c r="BC640" s="5"/>
      <c r="BD640" s="6"/>
      <c r="BE640" s="6"/>
      <c r="BF640" s="12"/>
      <c r="BG640" s="12"/>
      <c r="BH640" s="12"/>
      <c r="BI640" s="12"/>
      <c r="BJ640" s="12"/>
    </row>
    <row r="641" spans="2:62" x14ac:dyDescent="0.25">
      <c r="B641" s="1" t="s">
        <v>1045</v>
      </c>
      <c r="C641" s="1" t="s">
        <v>1046</v>
      </c>
      <c r="D641" s="1" t="s">
        <v>1190</v>
      </c>
      <c r="E641" s="1" t="s">
        <v>1190</v>
      </c>
      <c r="F641" s="1" t="s">
        <v>1047</v>
      </c>
      <c r="G641" s="1" t="s">
        <v>1190</v>
      </c>
      <c r="H641" s="1" t="s">
        <v>1190</v>
      </c>
      <c r="I641" s="1" t="s">
        <v>1000</v>
      </c>
      <c r="J641" s="44">
        <v>1</v>
      </c>
      <c r="K641" s="45">
        <v>2</v>
      </c>
      <c r="L641" s="7" t="s">
        <v>1048</v>
      </c>
      <c r="M641" s="1" t="s">
        <v>1049</v>
      </c>
      <c r="N641" s="1" t="s">
        <v>1139</v>
      </c>
      <c r="O641" s="1" t="s">
        <v>1920</v>
      </c>
      <c r="P641" s="1" t="s">
        <v>1190</v>
      </c>
      <c r="Q641" s="44">
        <f>IF(L641="231",Multipliers!C376,"oops")</f>
        <v>1.02</v>
      </c>
      <c r="R641" s="44">
        <f>IF(M641="VIRGINIA",Multipliers!C149, "GOOF")</f>
        <v>0.96</v>
      </c>
      <c r="S641" s="46">
        <f t="shared" si="310"/>
        <v>391093.85700000008</v>
      </c>
      <c r="T641" s="46">
        <f t="shared" si="311"/>
        <v>359978.7072</v>
      </c>
      <c r="U641" s="46">
        <f t="shared" si="312"/>
        <v>370778.06841599999</v>
      </c>
      <c r="V641" s="46">
        <f t="shared" si="313"/>
        <v>380935.96270800004</v>
      </c>
      <c r="W641" s="47">
        <f>IF(F641=F642,(V641+V642)/2,IF(F641=F638,(V641+V638)/2,IF(F641&lt;&gt;F638,V641)))</f>
        <v>380935.96270800004</v>
      </c>
      <c r="X641" s="47"/>
      <c r="Y641" s="48">
        <f t="shared" si="314"/>
        <v>297928.41036000004</v>
      </c>
      <c r="Z641" s="48">
        <f t="shared" si="315"/>
        <v>329982.46453199995</v>
      </c>
      <c r="AA641" s="48">
        <f t="shared" si="316"/>
        <v>380935.96270800004</v>
      </c>
      <c r="AB641" s="48">
        <f t="shared" si="317"/>
        <v>411127.881696</v>
      </c>
      <c r="AC641" s="48">
        <f t="shared" si="318"/>
        <v>443313.08246400004</v>
      </c>
      <c r="AD641" s="1"/>
      <c r="AE641" s="1"/>
      <c r="AF641" s="1"/>
      <c r="AI641" s="9"/>
      <c r="AJ641" s="1"/>
      <c r="AK641" s="1"/>
      <c r="AL641" s="1"/>
      <c r="AM641" s="1"/>
      <c r="AN641" s="1"/>
      <c r="AO641" s="1"/>
      <c r="AP641" s="9"/>
      <c r="AQ641" s="3"/>
      <c r="AR641" s="4"/>
      <c r="AS641" s="7"/>
      <c r="AT641" s="1"/>
      <c r="AU641" s="1"/>
      <c r="AV641" s="1"/>
      <c r="AW641" s="1"/>
      <c r="AX641" s="3"/>
      <c r="AY641" s="3"/>
      <c r="AZ641" s="5"/>
      <c r="BA641" s="5"/>
      <c r="BB641" s="5"/>
      <c r="BC641" s="5"/>
      <c r="BD641" s="6"/>
      <c r="BE641" s="6"/>
      <c r="BF641" s="12"/>
      <c r="BG641" s="12"/>
      <c r="BH641" s="12"/>
      <c r="BI641" s="12"/>
      <c r="BJ641" s="12"/>
    </row>
    <row r="642" spans="2:62" x14ac:dyDescent="0.25">
      <c r="B642" s="1" t="s">
        <v>1045</v>
      </c>
      <c r="C642" s="1" t="s">
        <v>1050</v>
      </c>
      <c r="D642" s="1" t="s">
        <v>1190</v>
      </c>
      <c r="E642" s="1" t="s">
        <v>1190</v>
      </c>
      <c r="F642" s="1" t="s">
        <v>1051</v>
      </c>
      <c r="G642" s="1" t="s">
        <v>1190</v>
      </c>
      <c r="H642" s="1" t="s">
        <v>1190</v>
      </c>
      <c r="I642" s="1" t="s">
        <v>1000</v>
      </c>
      <c r="J642" s="44">
        <v>1</v>
      </c>
      <c r="K642" s="45">
        <v>2</v>
      </c>
      <c r="L642" s="7" t="s">
        <v>1048</v>
      </c>
      <c r="M642" s="1" t="s">
        <v>1049</v>
      </c>
      <c r="N642" s="1" t="s">
        <v>1139</v>
      </c>
      <c r="O642" s="1" t="s">
        <v>1920</v>
      </c>
      <c r="P642" s="1" t="s">
        <v>1190</v>
      </c>
      <c r="Q642" s="44">
        <f>IF(L642="231",Multipliers!C376,"oops")</f>
        <v>1.02</v>
      </c>
      <c r="R642" s="44">
        <f>IF(M642="VIRGINIA",Multipliers!C149, "GOOF")</f>
        <v>0.96</v>
      </c>
      <c r="S642" s="46">
        <f t="shared" si="310"/>
        <v>391093.85700000008</v>
      </c>
      <c r="T642" s="46">
        <f t="shared" si="311"/>
        <v>359978.7072</v>
      </c>
      <c r="U642" s="46">
        <f t="shared" si="312"/>
        <v>370778.06841599999</v>
      </c>
      <c r="V642" s="46">
        <f t="shared" si="313"/>
        <v>380935.96270800004</v>
      </c>
      <c r="W642" s="47">
        <f t="shared" si="319"/>
        <v>380935.96270800004</v>
      </c>
      <c r="X642" s="47"/>
      <c r="Y642" s="48">
        <f t="shared" si="314"/>
        <v>297928.41036000004</v>
      </c>
      <c r="Z642" s="48">
        <f t="shared" si="315"/>
        <v>329982.46453199995</v>
      </c>
      <c r="AA642" s="48">
        <f t="shared" si="316"/>
        <v>380935.96270800004</v>
      </c>
      <c r="AB642" s="48">
        <f t="shared" si="317"/>
        <v>411127.881696</v>
      </c>
      <c r="AC642" s="48">
        <f t="shared" si="318"/>
        <v>443313.08246400004</v>
      </c>
      <c r="AD642" s="1"/>
      <c r="AE642" s="1"/>
      <c r="AF642" s="1"/>
      <c r="AI642" s="9"/>
      <c r="AJ642" s="1"/>
      <c r="AK642" s="1"/>
      <c r="AL642" s="1"/>
      <c r="AM642" s="1"/>
      <c r="AN642" s="1"/>
      <c r="AO642" s="1"/>
      <c r="AP642" s="9"/>
      <c r="AQ642" s="3"/>
      <c r="AR642" s="4"/>
      <c r="AS642" s="1"/>
      <c r="AT642" s="1"/>
      <c r="AU642" s="1"/>
      <c r="AV642" s="1"/>
      <c r="AW642" s="1"/>
      <c r="AX642" s="3"/>
      <c r="AY642" s="3"/>
      <c r="AZ642" s="5"/>
      <c r="BA642" s="5"/>
      <c r="BB642" s="5"/>
      <c r="BC642" s="5"/>
      <c r="BD642" s="6"/>
      <c r="BE642" s="6"/>
      <c r="BF642" s="12"/>
      <c r="BG642" s="12"/>
      <c r="BH642" s="12"/>
      <c r="BI642" s="12"/>
      <c r="BJ642" s="12"/>
    </row>
    <row r="643" spans="2:62" x14ac:dyDescent="0.25">
      <c r="B643" s="1" t="s">
        <v>1045</v>
      </c>
      <c r="C643" s="1" t="s">
        <v>1052</v>
      </c>
      <c r="D643" s="1" t="s">
        <v>1190</v>
      </c>
      <c r="E643" s="1" t="s">
        <v>1053</v>
      </c>
      <c r="F643" s="1" t="s">
        <v>1054</v>
      </c>
      <c r="G643" s="1" t="s">
        <v>1190</v>
      </c>
      <c r="H643" s="1" t="s">
        <v>1190</v>
      </c>
      <c r="I643" s="1" t="s">
        <v>1000</v>
      </c>
      <c r="J643" s="44">
        <v>1</v>
      </c>
      <c r="K643" s="45">
        <v>2</v>
      </c>
      <c r="L643" s="1" t="s">
        <v>1055</v>
      </c>
      <c r="M643" s="1" t="s">
        <v>1049</v>
      </c>
      <c r="N643" s="1" t="s">
        <v>1139</v>
      </c>
      <c r="O643" s="1" t="s">
        <v>1920</v>
      </c>
      <c r="P643" s="1" t="s">
        <v>1190</v>
      </c>
      <c r="Q643" s="44">
        <f>IF(L643="230",Multipliers!C375,"oops")</f>
        <v>1.02</v>
      </c>
      <c r="R643" s="44">
        <f>IF(M643="VIRGINIA",Multipliers!C149, "GOOF")</f>
        <v>0.96</v>
      </c>
      <c r="S643" s="46">
        <f t="shared" si="310"/>
        <v>391093.85700000008</v>
      </c>
      <c r="T643" s="46">
        <f t="shared" si="311"/>
        <v>359978.7072</v>
      </c>
      <c r="U643" s="46">
        <f t="shared" si="312"/>
        <v>370778.06841599999</v>
      </c>
      <c r="V643" s="46">
        <f t="shared" si="313"/>
        <v>380935.96270800004</v>
      </c>
      <c r="W643" s="47">
        <f t="shared" si="319"/>
        <v>380935.96270800004</v>
      </c>
      <c r="X643" s="47"/>
      <c r="Y643" s="48">
        <f t="shared" si="314"/>
        <v>297928.41036000004</v>
      </c>
      <c r="Z643" s="48">
        <f t="shared" si="315"/>
        <v>329982.46453199995</v>
      </c>
      <c r="AA643" s="48">
        <f t="shared" si="316"/>
        <v>380935.96270800004</v>
      </c>
      <c r="AB643" s="48">
        <f t="shared" si="317"/>
        <v>411127.881696</v>
      </c>
      <c r="AC643" s="48">
        <f t="shared" si="318"/>
        <v>443313.08246400004</v>
      </c>
      <c r="AD643" s="1"/>
      <c r="AE643" s="1"/>
      <c r="AF643" s="1"/>
      <c r="AI643" s="9"/>
      <c r="AJ643" s="1"/>
      <c r="AK643" s="1"/>
      <c r="AL643" s="1"/>
      <c r="AM643" s="1"/>
      <c r="AN643" s="1"/>
      <c r="AO643" s="1"/>
      <c r="AP643" s="9"/>
      <c r="AQ643" s="3"/>
      <c r="AR643" s="4"/>
      <c r="AS643" s="1"/>
      <c r="AT643" s="1"/>
      <c r="AU643" s="1"/>
      <c r="AV643" s="1"/>
      <c r="AW643" s="1"/>
      <c r="AX643" s="3"/>
      <c r="AY643" s="3"/>
      <c r="AZ643" s="5"/>
      <c r="BA643" s="5"/>
      <c r="BB643" s="5"/>
      <c r="BC643" s="5"/>
      <c r="BD643" s="6"/>
      <c r="BE643" s="6"/>
      <c r="BF643" s="12"/>
      <c r="BG643" s="12"/>
      <c r="BH643" s="12"/>
      <c r="BI643" s="12"/>
      <c r="BJ643" s="12"/>
    </row>
    <row r="644" spans="2:62" x14ac:dyDescent="0.25">
      <c r="B644" s="1" t="s">
        <v>1045</v>
      </c>
      <c r="C644" s="1" t="s">
        <v>1056</v>
      </c>
      <c r="D644" s="1" t="s">
        <v>1190</v>
      </c>
      <c r="E644" s="1" t="s">
        <v>1057</v>
      </c>
      <c r="F644" s="1" t="s">
        <v>1058</v>
      </c>
      <c r="G644" s="1" t="s">
        <v>1190</v>
      </c>
      <c r="H644" s="1" t="s">
        <v>1190</v>
      </c>
      <c r="I644" s="1" t="s">
        <v>1000</v>
      </c>
      <c r="J644" s="44">
        <v>1</v>
      </c>
      <c r="K644" s="45">
        <v>2</v>
      </c>
      <c r="L644" s="1" t="s">
        <v>1055</v>
      </c>
      <c r="M644" s="1" t="s">
        <v>1049</v>
      </c>
      <c r="N644" s="1" t="s">
        <v>1139</v>
      </c>
      <c r="O644" s="1" t="s">
        <v>1920</v>
      </c>
      <c r="P644" s="1" t="s">
        <v>1190</v>
      </c>
      <c r="Q644" s="44">
        <f>IF(L644="230",Multipliers!C375,"oops")</f>
        <v>1.02</v>
      </c>
      <c r="R644" s="44">
        <f>IF(M644="VIRGINIA",Multipliers!C149, "GOOF")</f>
        <v>0.96</v>
      </c>
      <c r="S644" s="46">
        <f t="shared" si="310"/>
        <v>391093.85700000008</v>
      </c>
      <c r="T644" s="46">
        <f t="shared" si="311"/>
        <v>359978.7072</v>
      </c>
      <c r="U644" s="46">
        <f t="shared" si="312"/>
        <v>370778.06841599999</v>
      </c>
      <c r="V644" s="46">
        <f t="shared" si="313"/>
        <v>380935.96270800004</v>
      </c>
      <c r="W644" s="47">
        <f t="shared" si="319"/>
        <v>380935.96270800004</v>
      </c>
      <c r="X644" s="47"/>
      <c r="Y644" s="48">
        <f t="shared" si="314"/>
        <v>297928.41036000004</v>
      </c>
      <c r="Z644" s="48">
        <f t="shared" si="315"/>
        <v>329982.46453199995</v>
      </c>
      <c r="AA644" s="48">
        <f t="shared" si="316"/>
        <v>380935.96270800004</v>
      </c>
      <c r="AB644" s="48">
        <f t="shared" si="317"/>
        <v>411127.881696</v>
      </c>
      <c r="AC644" s="48">
        <f t="shared" si="318"/>
        <v>443313.08246400004</v>
      </c>
      <c r="AD644" s="1"/>
      <c r="AE644" s="1"/>
      <c r="AF644" s="1"/>
      <c r="AI644" s="9"/>
      <c r="AJ644" s="1"/>
      <c r="AK644" s="1"/>
      <c r="AL644" s="1"/>
      <c r="AM644" s="1"/>
      <c r="AN644" s="1"/>
      <c r="AO644" s="1"/>
      <c r="AP644" s="9"/>
      <c r="AQ644" s="3"/>
      <c r="AR644" s="4"/>
      <c r="AS644" s="1"/>
      <c r="AT644" s="1"/>
      <c r="AU644" s="1"/>
      <c r="AV644" s="1"/>
      <c r="AW644" s="1"/>
      <c r="AX644" s="3"/>
      <c r="AY644" s="3"/>
      <c r="AZ644" s="5"/>
      <c r="BA644" s="5"/>
      <c r="BB644" s="5"/>
      <c r="BC644" s="5"/>
      <c r="BD644" s="6"/>
      <c r="BE644" s="6"/>
      <c r="BF644" s="12"/>
      <c r="BG644" s="12"/>
      <c r="BH644" s="12"/>
      <c r="BI644" s="12"/>
      <c r="BJ644" s="12"/>
    </row>
    <row r="645" spans="2:62" x14ac:dyDescent="0.25">
      <c r="B645" s="1" t="s">
        <v>1045</v>
      </c>
      <c r="C645" s="1" t="s">
        <v>1059</v>
      </c>
      <c r="D645" s="1" t="s">
        <v>1190</v>
      </c>
      <c r="E645" s="1" t="s">
        <v>1190</v>
      </c>
      <c r="F645" s="1" t="s">
        <v>1060</v>
      </c>
      <c r="G645" s="1" t="s">
        <v>1190</v>
      </c>
      <c r="H645" s="1" t="s">
        <v>1190</v>
      </c>
      <c r="I645" s="1" t="s">
        <v>1000</v>
      </c>
      <c r="J645" s="44">
        <v>1</v>
      </c>
      <c r="K645" s="45">
        <v>2</v>
      </c>
      <c r="L645" s="1" t="s">
        <v>1048</v>
      </c>
      <c r="M645" s="1" t="s">
        <v>1049</v>
      </c>
      <c r="N645" s="1" t="s">
        <v>1139</v>
      </c>
      <c r="O645" s="1" t="s">
        <v>1920</v>
      </c>
      <c r="P645" s="1" t="s">
        <v>1190</v>
      </c>
      <c r="Q645" s="44">
        <f>IF(L645="231",Multipliers!C376,"oops")</f>
        <v>1.02</v>
      </c>
      <c r="R645" s="44">
        <f>IF(M645="VIRGINIA",Multipliers!C149, "GOOF")</f>
        <v>0.96</v>
      </c>
      <c r="S645" s="46">
        <f t="shared" si="310"/>
        <v>391093.85700000008</v>
      </c>
      <c r="T645" s="46">
        <f t="shared" si="311"/>
        <v>359978.7072</v>
      </c>
      <c r="U645" s="46">
        <f t="shared" si="312"/>
        <v>370778.06841599999</v>
      </c>
      <c r="V645" s="46">
        <f t="shared" si="313"/>
        <v>380935.96270800004</v>
      </c>
      <c r="W645" s="47">
        <f t="shared" si="319"/>
        <v>380935.96270800004</v>
      </c>
      <c r="X645" s="47"/>
      <c r="Y645" s="48">
        <f t="shared" si="314"/>
        <v>297928.41036000004</v>
      </c>
      <c r="Z645" s="48">
        <f t="shared" si="315"/>
        <v>329982.46453199995</v>
      </c>
      <c r="AA645" s="48">
        <f t="shared" si="316"/>
        <v>380935.96270800004</v>
      </c>
      <c r="AB645" s="48">
        <f t="shared" si="317"/>
        <v>411127.881696</v>
      </c>
      <c r="AC645" s="48">
        <f t="shared" si="318"/>
        <v>443313.08246400004</v>
      </c>
      <c r="AD645" s="1"/>
      <c r="AE645" s="1"/>
      <c r="AF645" s="1"/>
      <c r="AI645" s="9"/>
      <c r="AJ645" s="1"/>
      <c r="AK645" s="1"/>
      <c r="AL645" s="1"/>
      <c r="AM645" s="1"/>
      <c r="AN645" s="1"/>
      <c r="AO645" s="1"/>
      <c r="AP645" s="9"/>
      <c r="AQ645" s="3"/>
      <c r="AR645" s="4"/>
      <c r="AS645" s="1"/>
      <c r="AT645" s="1"/>
      <c r="AU645" s="1"/>
      <c r="AV645" s="1"/>
      <c r="AW645" s="1"/>
      <c r="AX645" s="3"/>
      <c r="AY645" s="3"/>
      <c r="AZ645" s="5"/>
      <c r="BA645" s="5"/>
      <c r="BB645" s="5"/>
      <c r="BC645" s="5"/>
      <c r="BD645" s="6"/>
      <c r="BE645" s="6"/>
      <c r="BF645" s="12"/>
      <c r="BG645" s="12"/>
      <c r="BH645" s="12"/>
      <c r="BI645" s="12"/>
      <c r="BJ645" s="12"/>
    </row>
    <row r="646" spans="2:62" x14ac:dyDescent="0.25">
      <c r="B646" s="1" t="s">
        <v>99</v>
      </c>
      <c r="C646" s="1" t="s">
        <v>1061</v>
      </c>
      <c r="D646" s="1" t="s">
        <v>1190</v>
      </c>
      <c r="E646" s="1" t="s">
        <v>1190</v>
      </c>
      <c r="F646" s="1" t="s">
        <v>1062</v>
      </c>
      <c r="G646" s="1" t="s">
        <v>1190</v>
      </c>
      <c r="H646" s="1" t="s">
        <v>1190</v>
      </c>
      <c r="I646" s="1" t="s">
        <v>198</v>
      </c>
      <c r="J646" s="44">
        <v>0</v>
      </c>
      <c r="K646" s="45">
        <v>2</v>
      </c>
      <c r="L646" s="1" t="s">
        <v>1063</v>
      </c>
      <c r="M646" s="1" t="s">
        <v>112</v>
      </c>
      <c r="N646" s="1" t="s">
        <v>1139</v>
      </c>
      <c r="O646" s="1" t="s">
        <v>1959</v>
      </c>
      <c r="P646" s="1" t="s">
        <v>1190</v>
      </c>
      <c r="Q646" s="44">
        <f>IF(L646="714",Multipliers!C247,"oops")</f>
        <v>0.81</v>
      </c>
      <c r="R646" s="44">
        <f>IF(M646="LOUISIANA",Multipliers!C54, "GOOF")</f>
        <v>0.88</v>
      </c>
      <c r="S646" s="46">
        <f t="shared" si="310"/>
        <v>310574.53350000008</v>
      </c>
      <c r="T646" s="46">
        <f t="shared" si="311"/>
        <v>329980.4816</v>
      </c>
      <c r="U646" s="46">
        <f t="shared" si="312"/>
        <v>320081.06715199997</v>
      </c>
      <c r="V646" s="46">
        <f t="shared" si="313"/>
        <v>315327.80032600003</v>
      </c>
      <c r="W646" s="47">
        <f t="shared" si="319"/>
        <v>315327.80032600003</v>
      </c>
      <c r="X646" s="47"/>
      <c r="Y646" s="48">
        <f t="shared" si="314"/>
        <v>253413.76158000002</v>
      </c>
      <c r="Z646" s="48">
        <f t="shared" si="315"/>
        <v>280945.20144600002</v>
      </c>
      <c r="AA646" s="48">
        <f>IF(N646="Standard",((($Z$5*Q646)+($AD$5*R646*$T$4))/2)*$O$7,IF(N646="Severe",((($AA$5*Q646)+($AE$5*R646*$T$4))/2)*$O$7,IF(N646="Hostile",((($AB$5*Q646)+($AF$5*R646*$T$4))/2)*$O$7)))</f>
        <v>315327.80032599997</v>
      </c>
      <c r="AB646" s="48">
        <f>IF(N646="Standard",((($Z$6*Q646)+($AD$6*R646*$T$4))/2)*$O$7,IF(N646="Severe",((($AA$6*Q646)+($AE$6*R646*$T$4))/2)*$O$7,IF(N646="Hostile",((($AB$6*Q646)+($AF$6*R646*$T$4))/2)*$O$7)))</f>
        <v>340460.803312</v>
      </c>
      <c r="AC646" s="48">
        <f>IF(N646="Standard",((($Z$7*Q646)+($AD$7*R646*$T$4))/2)*$O$7,IF(N646="Severe",((($AA$7*Q646)+($AE$7*R646*$T$4))/2)*$O$7,IF(N646="Hostile",((($AB$7*Q646)+($AF$7*R646*$T$4))/2)*$O$7)))</f>
        <v>367129.82420800003</v>
      </c>
      <c r="AD646" s="1"/>
      <c r="AE646" s="1"/>
      <c r="AF646" s="1"/>
      <c r="AI646" s="9"/>
      <c r="AJ646" s="1"/>
      <c r="AK646" s="1"/>
      <c r="AL646" s="1"/>
      <c r="AM646" s="1"/>
      <c r="AN646" s="1"/>
      <c r="AO646" s="1"/>
      <c r="AP646" s="9"/>
      <c r="AQ646" s="3"/>
      <c r="AR646" s="4"/>
      <c r="AS646" s="1"/>
      <c r="AT646" s="1"/>
      <c r="AU646" s="1"/>
      <c r="AV646" s="1"/>
      <c r="AW646" s="1"/>
      <c r="AX646" s="3"/>
      <c r="AY646" s="3"/>
      <c r="AZ646" s="5"/>
      <c r="BA646" s="5"/>
      <c r="BB646" s="5"/>
      <c r="BC646" s="5"/>
      <c r="BD646" s="6"/>
      <c r="BE646" s="6"/>
      <c r="BF646" s="12"/>
      <c r="BG646" s="12"/>
      <c r="BH646" s="12"/>
      <c r="BI646" s="12"/>
      <c r="BJ646" s="12"/>
    </row>
    <row r="647" spans="2:62" x14ac:dyDescent="0.25">
      <c r="B647" s="1" t="s">
        <v>99</v>
      </c>
      <c r="C647" s="1" t="s">
        <v>1064</v>
      </c>
      <c r="D647" s="1" t="s">
        <v>1190</v>
      </c>
      <c r="E647" s="1" t="s">
        <v>1190</v>
      </c>
      <c r="F647" s="1" t="s">
        <v>1065</v>
      </c>
      <c r="G647" s="1" t="s">
        <v>1190</v>
      </c>
      <c r="H647" s="1" t="s">
        <v>1190</v>
      </c>
      <c r="I647" s="1" t="s">
        <v>198</v>
      </c>
      <c r="J647" s="44">
        <v>0</v>
      </c>
      <c r="K647" s="45">
        <v>2</v>
      </c>
      <c r="L647" s="1" t="s">
        <v>116</v>
      </c>
      <c r="M647" s="1" t="s">
        <v>112</v>
      </c>
      <c r="N647" s="1" t="s">
        <v>1139</v>
      </c>
      <c r="O647" s="1" t="s">
        <v>1959</v>
      </c>
      <c r="P647" s="1" t="s">
        <v>1190</v>
      </c>
      <c r="Q647" s="44">
        <f>IF(L647="713",Multipliers!C246,"oops")</f>
        <v>0.81</v>
      </c>
      <c r="R647" s="44">
        <f>IF(M647="LOUISIANA",Multipliers!C54, "GOOF")</f>
        <v>0.88</v>
      </c>
      <c r="S647" s="46">
        <f t="shared" si="310"/>
        <v>310574.53350000008</v>
      </c>
      <c r="T647" s="46">
        <f t="shared" si="311"/>
        <v>329980.4816</v>
      </c>
      <c r="U647" s="46">
        <f t="shared" si="312"/>
        <v>320081.06715199997</v>
      </c>
      <c r="V647" s="46">
        <f t="shared" si="313"/>
        <v>315327.80032600003</v>
      </c>
      <c r="W647" s="47">
        <f t="shared" si="319"/>
        <v>315327.80032600003</v>
      </c>
      <c r="X647" s="47"/>
      <c r="Y647" s="48">
        <f t="shared" si="314"/>
        <v>253413.76158000002</v>
      </c>
      <c r="Z647" s="48">
        <f t="shared" si="315"/>
        <v>280945.20144600002</v>
      </c>
      <c r="AA647" s="48">
        <f>IF(N647="Standard",((($Z$5*Q647)+($AD$5*R647*$T$4))/2)*$O$7,IF(N647="Severe",((($AA$5*Q647)+($AE$5*R647*$T$4))/2)*$O$7,IF(N647="Hostile",((($AB$5*Q647)+($AF$5*R647*$T$4))/2)*$O$7)))</f>
        <v>315327.80032599997</v>
      </c>
      <c r="AB647" s="48">
        <f>IF(N647="Standard",((($Z$6*Q647)+($AD$6*R647*$T$4))/2)*$O$7,IF(N647="Severe",((($AA$6*Q647)+($AE$6*R647*$T$4))/2)*$O$7,IF(N647="Hostile",((($AB$6*Q647)+($AF$6*R647*$T$4))/2)*$O$7)))</f>
        <v>340460.803312</v>
      </c>
      <c r="AC647" s="48">
        <f>IF(N647="Standard",((($Z$7*Q647)+($AD$7*R647*$T$4))/2)*$O$7,IF(N647="Severe",((($AA$7*Q647)+($AE$7*R647*$T$4))/2)*$O$7,IF(N647="Hostile",((($AB$7*Q647)+($AF$7*R647*$T$4))/2)*$O$7)))</f>
        <v>367129.82420800003</v>
      </c>
      <c r="AD647" s="1"/>
      <c r="AE647" s="1"/>
      <c r="AF647" s="1"/>
      <c r="AI647" s="9"/>
      <c r="AJ647" s="1"/>
      <c r="AK647" s="1"/>
      <c r="AL647" s="1"/>
      <c r="AM647" s="1"/>
      <c r="AN647" s="1"/>
      <c r="AO647" s="1"/>
      <c r="AP647" s="9"/>
      <c r="AQ647" s="3"/>
      <c r="AR647" s="4"/>
      <c r="AS647" s="1"/>
      <c r="AT647" s="1"/>
      <c r="AU647" s="1"/>
      <c r="AV647" s="1"/>
      <c r="AW647" s="1"/>
      <c r="AX647" s="3"/>
      <c r="AY647" s="3"/>
      <c r="AZ647" s="5"/>
      <c r="BA647" s="5"/>
      <c r="BB647" s="5"/>
      <c r="BC647" s="5"/>
      <c r="BD647" s="6"/>
      <c r="BE647" s="6"/>
      <c r="BF647" s="12"/>
      <c r="BG647" s="12"/>
      <c r="BH647" s="12"/>
      <c r="BI647" s="12"/>
      <c r="BJ647" s="12"/>
    </row>
    <row r="648" spans="2:62" x14ac:dyDescent="0.25">
      <c r="B648" s="1" t="s">
        <v>99</v>
      </c>
      <c r="C648" s="1" t="s">
        <v>1066</v>
      </c>
      <c r="D648" s="1" t="s">
        <v>1190</v>
      </c>
      <c r="E648" s="1" t="s">
        <v>1190</v>
      </c>
      <c r="F648" s="1" t="s">
        <v>1067</v>
      </c>
      <c r="G648" s="1" t="s">
        <v>1190</v>
      </c>
      <c r="H648" s="1" t="s">
        <v>1190</v>
      </c>
      <c r="I648" s="1" t="s">
        <v>198</v>
      </c>
      <c r="J648" s="44">
        <v>0</v>
      </c>
      <c r="K648" s="45">
        <v>2</v>
      </c>
      <c r="L648" s="1" t="s">
        <v>1068</v>
      </c>
      <c r="M648" s="1" t="s">
        <v>112</v>
      </c>
      <c r="N648" s="1" t="s">
        <v>1139</v>
      </c>
      <c r="O648" s="1" t="s">
        <v>1959</v>
      </c>
      <c r="P648" s="1" t="s">
        <v>1190</v>
      </c>
      <c r="Q648" s="44">
        <f>IF(L648="700",Multipliers!C244,"oops")</f>
        <v>0.86</v>
      </c>
      <c r="R648" s="44">
        <f>IF(M648="LOUISIANA",Multipliers!C54, "GOOF")</f>
        <v>0.88</v>
      </c>
      <c r="S648" s="46">
        <f t="shared" si="310"/>
        <v>329745.80100000004</v>
      </c>
      <c r="T648" s="46">
        <f t="shared" si="311"/>
        <v>329980.4816</v>
      </c>
      <c r="U648" s="46">
        <f t="shared" si="312"/>
        <v>320081.06715199997</v>
      </c>
      <c r="V648" s="46">
        <f t="shared" si="313"/>
        <v>324913.43407600001</v>
      </c>
      <c r="W648" s="47" t="e">
        <f>IF(F648=#REF!,(V648+#REF!)/2,IF(F648=F647,(V648+V647)/2,IF(F648&lt;&gt;F647,V648)))</f>
        <v>#REF!</v>
      </c>
      <c r="X648" s="47"/>
      <c r="Y648" s="48">
        <f t="shared" si="314"/>
        <v>261288.67407999997</v>
      </c>
      <c r="Z648" s="48">
        <f t="shared" si="315"/>
        <v>289560.69119600003</v>
      </c>
      <c r="AA648" s="48">
        <f>IF(N648="Standard",((($Z$5*Q648)+($AD$5*R648*$T$4))/2)*$O$7,IF(N648="Severe",((($AA$5*Q648)+($AE$5*R648*$T$4))/2)*$O$7,IF(N648="Hostile",((($AB$5*Q648)+($AF$5*R648*$T$4))/2)*$O$7)))</f>
        <v>324913.43407600001</v>
      </c>
      <c r="AB648" s="48">
        <f>IF(N648="Standard",((($Z$6*Q648)+($AD$6*R648*$T$4))/2)*$O$7,IF(N648="Severe",((($AA$6*Q648)+($AE$6*R648*$T$4))/2)*$O$7,IF(N648="Hostile",((($AB$6*Q648)+($AF$6*R648*$T$4))/2)*$O$7)))</f>
        <v>350706.21331199998</v>
      </c>
      <c r="AC648" s="48">
        <f>IF(N648="Standard",((($Z$7*Q648)+($AD$7*R648*$T$4))/2)*$O$7,IF(N648="Severe",((($AA$7*Q648)+($AE$7*R648*$T$4))/2)*$O$7,IF(N648="Hostile",((($AB$7*Q648)+($AF$7*R648*$T$4))/2)*$O$7)))</f>
        <v>378165.95420799998</v>
      </c>
    </row>
    <row r="649" spans="2:62" x14ac:dyDescent="0.25">
      <c r="F649" s="2" t="s">
        <v>993</v>
      </c>
      <c r="H649" s="2" t="s">
        <v>993</v>
      </c>
    </row>
  </sheetData>
  <mergeCells count="2">
    <mergeCell ref="W2:X2"/>
    <mergeCell ref="L2:M2"/>
  </mergeCells>
  <phoneticPr fontId="0" type="noConversion"/>
  <printOptions horizontalCentered="1"/>
  <pageMargins left="0.23" right="0.19" top="0.75" bottom="1" header="0.5" footer="0.5"/>
  <pageSetup paperSize="17" orientation="landscape" r:id="rId1"/>
  <headerFooter alignWithMargins="0">
    <oddHeader>&amp;C&amp;"Courier,Bold Italic"&amp;14 February 2006
Dwelling Construction and Equipment Costs</oddHeader>
    <oddFooter>&amp;C&amp;"Courier,Italic"&amp;8Page &amp;P
_____________________
All Dwelling Construction and Equipment Costs are for detached dwellings (one-four family dwellings).  For other structure types, e.g., walkup,elevator, etc., contact the Area ONAP Office.</oddFooter>
  </headerFooter>
  <ignoredErrors>
    <ignoredError sqref="Q580:R580 R596 Q296 R306 Q321 R332:R333 Q345:R345 Q351:R351 R349 Q362:R362 Q370:R370 Q379 Q381 Q387 Q398:R398 R400 Q405 Q418 Q437:R437 R436 R438:R439 Q439 R441 Q443 R445 Q452:R452 R454 Q458:R458 R461 Q463 R465 R474 R476 R478 R480 R486 R497 R499 R502 Q508:R508 R504 Q609:R609 Q603:Q604 R602 R591 Q590 Q579 R561 Q556 Q551:R551 Q546:R546 Q536:R536 R550 R544 R541 R531:R532 R530 R527 Q514:R514 R510 R506 Q537 AC360 AA360:AB360 W598 AA520:AC520 AA504:AC504 Y456:Z456 V456 W393:W402 V262:Z262 W250:W252" formula="1"/>
    <ignoredError sqref="D11 D50 D59 D70 D105:D118 D179 D199:D201 D214:D215 D240 D264:D265 D335:D342 D359:D360 D537 D526 D521 D511 D507 E577:E617 E374:E384 D385:E415 E416:E418 D419:E448 E226:E254 E494:E566 E568:E575 E11:E224 E260:E304 E318:E373 E306:E3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F2BD2-CB09-46F9-B5B5-4C1651320850}">
  <sheetPr syncVertical="1" syncRef="A1" transitionEvaluation="1">
    <pageSetUpPr fitToPage="1"/>
  </sheetPr>
  <dimension ref="A1:AP765"/>
  <sheetViews>
    <sheetView showRowColHeaders="0" view="pageLayout" zoomScale="115" zoomScaleNormal="75" zoomScalePageLayoutView="115" workbookViewId="0">
      <selection activeCell="C1" sqref="C1"/>
    </sheetView>
  </sheetViews>
  <sheetFormatPr defaultColWidth="7.6640625" defaultRowHeight="13.2" x14ac:dyDescent="0.25"/>
  <cols>
    <col min="1" max="1" width="19.21875" style="2" customWidth="1"/>
    <col min="2" max="2" width="8" style="2" customWidth="1"/>
    <col min="3" max="3" width="42.109375" style="2" customWidth="1"/>
    <col min="4" max="4" width="11.6640625" style="6" customWidth="1"/>
    <col min="5" max="6" width="11.6640625" style="32" customWidth="1"/>
    <col min="7" max="8" width="11.6640625" style="6" customWidth="1"/>
    <col min="9" max="9" width="12.6640625" style="11" customWidth="1"/>
    <col min="10" max="10" width="7.33203125" style="2" customWidth="1"/>
    <col min="11" max="11" width="6.77734375" style="2" customWidth="1"/>
    <col min="12" max="12" width="7.33203125" style="2" customWidth="1"/>
    <col min="13" max="16384" width="7.6640625" style="2"/>
  </cols>
  <sheetData>
    <row r="1" spans="1:42" ht="26.25" customHeight="1" x14ac:dyDescent="0.3">
      <c r="A1" s="80" t="str">
        <f>TDCTRIBE!I10</f>
        <v>ONAP OFFICE</v>
      </c>
      <c r="B1" s="80" t="str">
        <f>TDCTRIBE!B10</f>
        <v>STATE</v>
      </c>
      <c r="C1" s="80" t="str">
        <f>TDCTRIBE!F10</f>
        <v>TRIBAL AREA</v>
      </c>
      <c r="D1" s="81" t="str">
        <f>TDCTRIBE!Y10</f>
        <v>1BDRM</v>
      </c>
      <c r="E1" s="81" t="str">
        <f>TDCTRIBE!Z10</f>
        <v>2BDRM</v>
      </c>
      <c r="F1" s="81" t="str">
        <f>TDCTRIBE!AA10</f>
        <v>3BDRM</v>
      </c>
      <c r="G1" s="81" t="str">
        <f>TDCTRIBE!AB10</f>
        <v>4BDRM</v>
      </c>
      <c r="H1" s="81" t="str">
        <f>TDCTRIBE!AC10</f>
        <v>5BDRM</v>
      </c>
      <c r="O1" s="13"/>
      <c r="P1" s="14"/>
      <c r="Q1" s="14"/>
      <c r="R1" s="14"/>
      <c r="S1" s="14"/>
      <c r="T1" s="14"/>
      <c r="U1" s="14"/>
      <c r="V1" s="15"/>
      <c r="W1" s="16"/>
      <c r="X1" s="16"/>
      <c r="Y1" s="14"/>
      <c r="Z1" s="14"/>
      <c r="AA1" s="14"/>
      <c r="AB1" s="14"/>
      <c r="AC1" s="14"/>
      <c r="AD1" s="16"/>
      <c r="AE1" s="16"/>
      <c r="AF1" s="14"/>
      <c r="AG1" s="14"/>
      <c r="AH1" s="14"/>
      <c r="AI1" s="14"/>
      <c r="AJ1" s="17"/>
      <c r="AK1" s="17"/>
      <c r="AL1" s="16"/>
      <c r="AM1" s="16"/>
      <c r="AN1" s="16"/>
      <c r="AO1" s="16"/>
      <c r="AP1" s="16"/>
    </row>
    <row r="2" spans="1:42" s="17" customFormat="1" ht="17.25" customHeight="1" x14ac:dyDescent="0.25">
      <c r="A2" s="82" t="s">
        <v>1187</v>
      </c>
      <c r="B2" s="82" t="str">
        <f>TDCTRIBE!B11</f>
        <v>AK</v>
      </c>
      <c r="C2" s="82" t="str">
        <f>TDCTRIBE!F11</f>
        <v>Afognak</v>
      </c>
      <c r="D2" s="83">
        <f>TDCTRIBE!Y11</f>
        <v>537627.23286300001</v>
      </c>
      <c r="E2" s="83">
        <f>TDCTRIBE!Z11</f>
        <v>593892.8539060998</v>
      </c>
      <c r="F2" s="83">
        <f>TDCTRIBE!AA11</f>
        <v>670883.01826070005</v>
      </c>
      <c r="G2" s="83">
        <f>TDCTRIBE!AB11</f>
        <v>727154.03193440009</v>
      </c>
      <c r="H2" s="83">
        <f>TDCTRIBE!AC11</f>
        <v>784795.42359260004</v>
      </c>
      <c r="J2" s="2"/>
      <c r="K2" s="2"/>
      <c r="L2" s="2"/>
      <c r="O2" s="9"/>
      <c r="P2" s="1"/>
      <c r="Q2" s="1"/>
      <c r="R2" s="1"/>
      <c r="S2" s="7"/>
      <c r="T2" s="1"/>
      <c r="U2" s="1"/>
      <c r="V2" s="9"/>
      <c r="W2" s="3"/>
      <c r="X2" s="4"/>
      <c r="Y2" s="7"/>
      <c r="Z2" s="1"/>
      <c r="AA2" s="1"/>
      <c r="AB2" s="1"/>
      <c r="AC2" s="1"/>
      <c r="AD2" s="3"/>
      <c r="AE2" s="3"/>
      <c r="AF2" s="5"/>
      <c r="AG2" s="5"/>
      <c r="AH2" s="5"/>
      <c r="AI2" s="5"/>
      <c r="AJ2" s="6"/>
      <c r="AK2" s="6"/>
      <c r="AL2" s="12"/>
      <c r="AM2" s="12"/>
      <c r="AN2" s="12"/>
      <c r="AO2" s="12"/>
      <c r="AP2" s="12"/>
    </row>
    <row r="3" spans="1:42" ht="15" x14ac:dyDescent="0.25">
      <c r="A3" s="82" t="str">
        <f>TDCTRIBE!I12</f>
        <v>Alaska</v>
      </c>
      <c r="B3" s="82" t="str">
        <f>TDCTRIBE!B12</f>
        <v>AK</v>
      </c>
      <c r="C3" s="82" t="str">
        <f>TDCTRIBE!F12</f>
        <v>Ahtna Native Regional Corporation</v>
      </c>
      <c r="D3" s="83">
        <f>TDCTRIBE!Y12</f>
        <v>537627.23286300001</v>
      </c>
      <c r="E3" s="83">
        <f>TDCTRIBE!Z12</f>
        <v>593892.8539060998</v>
      </c>
      <c r="F3" s="83">
        <f>TDCTRIBE!AA12</f>
        <v>670883.01826070005</v>
      </c>
      <c r="G3" s="83">
        <f>TDCTRIBE!AB12</f>
        <v>727154.03193440009</v>
      </c>
      <c r="H3" s="83">
        <f>TDCTRIBE!AC12</f>
        <v>784795.42359260004</v>
      </c>
      <c r="O3" s="9"/>
      <c r="P3" s="1"/>
      <c r="Q3" s="1"/>
      <c r="R3" s="1"/>
      <c r="S3" s="1"/>
      <c r="T3" s="1"/>
      <c r="U3" s="1"/>
      <c r="V3" s="9"/>
      <c r="W3" s="3"/>
      <c r="X3" s="4"/>
      <c r="Y3" s="7"/>
      <c r="Z3" s="1"/>
      <c r="AA3" s="1"/>
      <c r="AB3" s="1"/>
      <c r="AC3" s="1"/>
      <c r="AD3" s="3"/>
      <c r="AE3" s="3"/>
      <c r="AF3" s="5"/>
      <c r="AG3" s="5"/>
      <c r="AH3" s="5"/>
      <c r="AI3" s="5"/>
      <c r="AJ3" s="6"/>
      <c r="AK3" s="6"/>
      <c r="AL3" s="12"/>
      <c r="AM3" s="12"/>
      <c r="AN3" s="12"/>
      <c r="AO3" s="12"/>
      <c r="AP3" s="12"/>
    </row>
    <row r="4" spans="1:42" ht="15" x14ac:dyDescent="0.25">
      <c r="A4" s="82" t="str">
        <f>TDCTRIBE!I13</f>
        <v>Alaska</v>
      </c>
      <c r="B4" s="82" t="str">
        <f>TDCTRIBE!B13</f>
        <v>AK</v>
      </c>
      <c r="C4" s="82" t="str">
        <f>TDCTRIBE!F13</f>
        <v>Akhiok</v>
      </c>
      <c r="D4" s="83">
        <f>TDCTRIBE!Y13</f>
        <v>537627.23286300001</v>
      </c>
      <c r="E4" s="83">
        <f>TDCTRIBE!Z13</f>
        <v>593892.8539060998</v>
      </c>
      <c r="F4" s="83">
        <f>TDCTRIBE!AA13</f>
        <v>670883.01826070005</v>
      </c>
      <c r="G4" s="83">
        <f>TDCTRIBE!AB13</f>
        <v>727154.03193440009</v>
      </c>
      <c r="H4" s="83">
        <f>TDCTRIBE!AC13</f>
        <v>784795.42359260004</v>
      </c>
      <c r="O4" s="9"/>
      <c r="P4" s="1"/>
      <c r="Q4" s="1"/>
      <c r="R4" s="1"/>
      <c r="S4" s="1"/>
      <c r="T4" s="1"/>
      <c r="U4" s="1"/>
      <c r="V4" s="9"/>
      <c r="W4" s="3"/>
      <c r="X4" s="4"/>
      <c r="Y4" s="1"/>
      <c r="Z4" s="1"/>
      <c r="AA4" s="1"/>
      <c r="AB4" s="1"/>
      <c r="AC4" s="1"/>
      <c r="AD4" s="3"/>
      <c r="AE4" s="3"/>
      <c r="AF4" s="5"/>
      <c r="AG4" s="5"/>
      <c r="AH4" s="5"/>
      <c r="AI4" s="5"/>
      <c r="AJ4" s="6"/>
      <c r="AK4" s="6"/>
      <c r="AL4" s="12"/>
      <c r="AM4" s="12"/>
      <c r="AN4" s="12"/>
      <c r="AO4" s="12"/>
      <c r="AP4" s="12"/>
    </row>
    <row r="5" spans="1:42" ht="15" x14ac:dyDescent="0.25">
      <c r="A5" s="82" t="str">
        <f>TDCTRIBE!I14</f>
        <v>Alaska</v>
      </c>
      <c r="B5" s="82" t="str">
        <f>TDCTRIBE!B14</f>
        <v>AK</v>
      </c>
      <c r="C5" s="82" t="str">
        <f>TDCTRIBE!F14</f>
        <v>Akiachak</v>
      </c>
      <c r="D5" s="83">
        <f>TDCTRIBE!Y14</f>
        <v>537627.23286300001</v>
      </c>
      <c r="E5" s="83">
        <f>TDCTRIBE!Z14</f>
        <v>593892.8539060998</v>
      </c>
      <c r="F5" s="83">
        <f>TDCTRIBE!AA14</f>
        <v>670883.01826070005</v>
      </c>
      <c r="G5" s="83">
        <f>TDCTRIBE!AB14</f>
        <v>727154.03193440009</v>
      </c>
      <c r="H5" s="83">
        <f>TDCTRIBE!AC14</f>
        <v>784795.42359260004</v>
      </c>
      <c r="O5" s="9"/>
      <c r="P5" s="1"/>
      <c r="Q5" s="1"/>
      <c r="R5" s="1"/>
      <c r="S5" s="1"/>
      <c r="T5" s="1"/>
      <c r="U5" s="1"/>
      <c r="V5" s="9"/>
      <c r="W5" s="3"/>
      <c r="X5" s="4"/>
      <c r="Y5" s="1"/>
      <c r="Z5" s="1"/>
      <c r="AA5" s="1"/>
      <c r="AB5" s="1"/>
      <c r="AC5" s="1"/>
      <c r="AD5" s="3"/>
      <c r="AE5" s="3"/>
      <c r="AF5" s="5"/>
      <c r="AG5" s="5"/>
      <c r="AH5" s="5"/>
      <c r="AI5" s="5"/>
      <c r="AJ5" s="6"/>
      <c r="AK5" s="6"/>
      <c r="AL5" s="12"/>
      <c r="AM5" s="12"/>
      <c r="AN5" s="12"/>
      <c r="AO5" s="12"/>
      <c r="AP5" s="12"/>
    </row>
    <row r="6" spans="1:42" ht="15" x14ac:dyDescent="0.25">
      <c r="A6" s="82" t="str">
        <f>TDCTRIBE!I15</f>
        <v>Alaska</v>
      </c>
      <c r="B6" s="82" t="str">
        <f>TDCTRIBE!B15</f>
        <v>AK</v>
      </c>
      <c r="C6" s="82" t="str">
        <f>TDCTRIBE!F15</f>
        <v>Akiak</v>
      </c>
      <c r="D6" s="83">
        <f>TDCTRIBE!Y15</f>
        <v>537627.23286300001</v>
      </c>
      <c r="E6" s="83">
        <f>TDCTRIBE!Z15</f>
        <v>593892.8539060998</v>
      </c>
      <c r="F6" s="83">
        <f>TDCTRIBE!AA15</f>
        <v>670883.01826070005</v>
      </c>
      <c r="G6" s="83">
        <f>TDCTRIBE!AB15</f>
        <v>727154.03193440009</v>
      </c>
      <c r="H6" s="83">
        <f>TDCTRIBE!AC15</f>
        <v>784795.42359260004</v>
      </c>
      <c r="O6" s="9"/>
      <c r="P6" s="1"/>
      <c r="Q6" s="1"/>
      <c r="R6" s="1"/>
      <c r="S6" s="1"/>
      <c r="T6" s="1"/>
      <c r="U6" s="1"/>
      <c r="V6" s="9"/>
      <c r="W6" s="3"/>
      <c r="X6" s="4"/>
      <c r="Y6" s="1"/>
      <c r="Z6" s="1"/>
      <c r="AA6" s="1"/>
      <c r="AB6" s="1"/>
      <c r="AC6" s="1"/>
      <c r="AD6" s="3"/>
      <c r="AE6" s="3"/>
      <c r="AF6" s="5"/>
      <c r="AG6" s="5"/>
      <c r="AH6" s="5"/>
      <c r="AI6" s="5"/>
      <c r="AJ6" s="6"/>
      <c r="AK6" s="6"/>
      <c r="AL6" s="12"/>
      <c r="AM6" s="12"/>
      <c r="AN6" s="12"/>
      <c r="AO6" s="12"/>
      <c r="AP6" s="12"/>
    </row>
    <row r="7" spans="1:42" ht="15" x14ac:dyDescent="0.25">
      <c r="A7" s="82" t="str">
        <f>TDCTRIBE!I16</f>
        <v>Alaska</v>
      </c>
      <c r="B7" s="82" t="str">
        <f>TDCTRIBE!B16</f>
        <v>AK</v>
      </c>
      <c r="C7" s="82" t="str">
        <f>TDCTRIBE!F16</f>
        <v>Akutan</v>
      </c>
      <c r="D7" s="83">
        <f>TDCTRIBE!Y16</f>
        <v>537627.23286300001</v>
      </c>
      <c r="E7" s="83">
        <f>TDCTRIBE!Z16</f>
        <v>593892.8539060998</v>
      </c>
      <c r="F7" s="83">
        <f>TDCTRIBE!AA16</f>
        <v>670883.01826070005</v>
      </c>
      <c r="G7" s="83">
        <f>TDCTRIBE!AB16</f>
        <v>727154.03193440009</v>
      </c>
      <c r="H7" s="83">
        <f>TDCTRIBE!AC16</f>
        <v>784795.42359260004</v>
      </c>
      <c r="O7" s="9"/>
      <c r="P7" s="1"/>
      <c r="Q7" s="1"/>
      <c r="R7" s="1"/>
      <c r="S7" s="1"/>
      <c r="T7" s="1"/>
      <c r="U7" s="1"/>
      <c r="V7" s="9"/>
      <c r="W7" s="3"/>
      <c r="X7" s="4"/>
      <c r="Y7" s="1"/>
      <c r="Z7" s="1"/>
      <c r="AA7" s="1"/>
      <c r="AB7" s="1"/>
      <c r="AC7" s="1"/>
      <c r="AD7" s="3"/>
      <c r="AE7" s="3"/>
      <c r="AF7" s="5"/>
      <c r="AG7" s="5"/>
      <c r="AH7" s="5"/>
      <c r="AI7" s="5"/>
      <c r="AJ7" s="6"/>
      <c r="AK7" s="6"/>
      <c r="AL7" s="12"/>
      <c r="AM7" s="12"/>
      <c r="AN7" s="12"/>
      <c r="AO7" s="12"/>
      <c r="AP7" s="12"/>
    </row>
    <row r="8" spans="1:42" ht="15" x14ac:dyDescent="0.25">
      <c r="A8" s="82" t="str">
        <f>TDCTRIBE!I17</f>
        <v>Alaska</v>
      </c>
      <c r="B8" s="82" t="str">
        <f>TDCTRIBE!B17</f>
        <v>AK</v>
      </c>
      <c r="C8" s="82" t="str">
        <f>TDCTRIBE!F17</f>
        <v>Alakanuk</v>
      </c>
      <c r="D8" s="83">
        <f>TDCTRIBE!Y17</f>
        <v>537627.23286300001</v>
      </c>
      <c r="E8" s="83">
        <f>TDCTRIBE!Z17</f>
        <v>593892.8539060998</v>
      </c>
      <c r="F8" s="83">
        <f>TDCTRIBE!AA17</f>
        <v>670883.01826070005</v>
      </c>
      <c r="G8" s="83">
        <f>TDCTRIBE!AB17</f>
        <v>727154.03193440009</v>
      </c>
      <c r="H8" s="83">
        <f>TDCTRIBE!AC17</f>
        <v>784795.42359260004</v>
      </c>
      <c r="O8" s="9"/>
      <c r="P8" s="1"/>
      <c r="Q8" s="1"/>
      <c r="R8" s="1"/>
      <c r="S8" s="1"/>
      <c r="T8" s="1"/>
      <c r="U8" s="1"/>
      <c r="V8" s="9"/>
      <c r="W8" s="3"/>
      <c r="X8" s="4"/>
      <c r="Y8" s="1"/>
      <c r="Z8" s="1"/>
      <c r="AA8" s="1"/>
      <c r="AB8" s="1"/>
      <c r="AC8" s="1"/>
      <c r="AD8" s="3"/>
      <c r="AE8" s="3"/>
      <c r="AF8" s="5"/>
      <c r="AG8" s="5"/>
      <c r="AH8" s="5"/>
      <c r="AI8" s="5"/>
      <c r="AJ8" s="6"/>
      <c r="AK8" s="6"/>
      <c r="AL8" s="12"/>
      <c r="AM8" s="12"/>
      <c r="AN8" s="12"/>
      <c r="AO8" s="12"/>
      <c r="AP8" s="12"/>
    </row>
    <row r="9" spans="1:42" ht="15" x14ac:dyDescent="0.25">
      <c r="A9" s="82" t="str">
        <f>TDCTRIBE!I18</f>
        <v>Alaska</v>
      </c>
      <c r="B9" s="82" t="str">
        <f>TDCTRIBE!B18</f>
        <v>AK</v>
      </c>
      <c r="C9" s="82" t="str">
        <f>TDCTRIBE!F18</f>
        <v>Alatna</v>
      </c>
      <c r="D9" s="83">
        <f>TDCTRIBE!Y18</f>
        <v>573912.50187599997</v>
      </c>
      <c r="E9" s="83">
        <f>TDCTRIBE!Z18</f>
        <v>633906.89508719998</v>
      </c>
      <c r="F9" s="83">
        <f>TDCTRIBE!AA18</f>
        <v>715983.34034640016</v>
      </c>
      <c r="G9" s="83">
        <f>TDCTRIBE!AB18</f>
        <v>775980.51116880018</v>
      </c>
      <c r="H9" s="83">
        <f>TDCTRIBE!AC18</f>
        <v>837476.24333520012</v>
      </c>
      <c r="O9" s="9"/>
      <c r="P9" s="1"/>
      <c r="Q9" s="1"/>
      <c r="R9" s="1"/>
      <c r="S9" s="1"/>
      <c r="T9" s="1"/>
      <c r="U9" s="1"/>
      <c r="V9" s="9"/>
      <c r="W9" s="3"/>
      <c r="X9" s="4"/>
      <c r="Y9" s="1"/>
      <c r="Z9" s="1"/>
      <c r="AA9" s="1"/>
      <c r="AB9" s="1"/>
      <c r="AC9" s="1"/>
      <c r="AD9" s="3"/>
      <c r="AE9" s="3"/>
      <c r="AF9" s="5"/>
      <c r="AG9" s="5"/>
      <c r="AH9" s="5"/>
      <c r="AI9" s="5"/>
      <c r="AJ9" s="6"/>
      <c r="AK9" s="6"/>
      <c r="AL9" s="12"/>
      <c r="AM9" s="12"/>
      <c r="AN9" s="12"/>
      <c r="AO9" s="12"/>
      <c r="AP9" s="12"/>
    </row>
    <row r="10" spans="1:42" ht="15" x14ac:dyDescent="0.25">
      <c r="A10" s="82" t="str">
        <f>TDCTRIBE!I19</f>
        <v>Alaska</v>
      </c>
      <c r="B10" s="82" t="str">
        <f>TDCTRIBE!B19</f>
        <v>AK</v>
      </c>
      <c r="C10" s="82" t="str">
        <f>TDCTRIBE!F19</f>
        <v>Aleknagik</v>
      </c>
      <c r="D10" s="83">
        <f>TDCTRIBE!Y19</f>
        <v>537627.23286300001</v>
      </c>
      <c r="E10" s="83">
        <f>TDCTRIBE!Z19</f>
        <v>593892.8539060998</v>
      </c>
      <c r="F10" s="83">
        <f>TDCTRIBE!AA19</f>
        <v>670883.01826070005</v>
      </c>
      <c r="G10" s="83">
        <f>TDCTRIBE!AB19</f>
        <v>727154.03193440009</v>
      </c>
      <c r="H10" s="83">
        <f>TDCTRIBE!AC19</f>
        <v>784795.42359260004</v>
      </c>
      <c r="O10" s="9"/>
      <c r="P10" s="1"/>
      <c r="Q10" s="1"/>
      <c r="R10" s="1"/>
      <c r="S10" s="1"/>
      <c r="T10" s="1"/>
      <c r="U10" s="1"/>
      <c r="V10" s="9"/>
      <c r="W10" s="3"/>
      <c r="X10" s="4"/>
      <c r="Y10" s="1"/>
      <c r="Z10" s="1"/>
      <c r="AA10" s="1"/>
      <c r="AB10" s="1"/>
      <c r="AC10" s="1"/>
      <c r="AD10" s="3"/>
      <c r="AE10" s="3"/>
      <c r="AF10" s="5"/>
      <c r="AG10" s="5"/>
      <c r="AH10" s="5"/>
      <c r="AI10" s="5"/>
      <c r="AJ10" s="6"/>
      <c r="AK10" s="6"/>
      <c r="AL10" s="12"/>
      <c r="AM10" s="12"/>
      <c r="AN10" s="12"/>
      <c r="AO10" s="12"/>
      <c r="AP10" s="12"/>
    </row>
    <row r="11" spans="1:42" ht="15" x14ac:dyDescent="0.25">
      <c r="A11" s="82" t="str">
        <f>TDCTRIBE!I20</f>
        <v>Alaska</v>
      </c>
      <c r="B11" s="82" t="str">
        <f>TDCTRIBE!B20</f>
        <v>AK</v>
      </c>
      <c r="C11" s="82" t="str">
        <f>TDCTRIBE!F20</f>
        <v>Aleutian Regional Corp.</v>
      </c>
      <c r="D11" s="83">
        <f>TDCTRIBE!Y20</f>
        <v>537627.23286300001</v>
      </c>
      <c r="E11" s="83">
        <f>TDCTRIBE!Z20</f>
        <v>593892.8539060998</v>
      </c>
      <c r="F11" s="83">
        <f>TDCTRIBE!AA20</f>
        <v>670883.01826070005</v>
      </c>
      <c r="G11" s="83">
        <f>TDCTRIBE!AB20</f>
        <v>727154.03193440009</v>
      </c>
      <c r="H11" s="83">
        <f>TDCTRIBE!AC20</f>
        <v>784795.42359260004</v>
      </c>
      <c r="O11" s="9"/>
      <c r="P11" s="1"/>
      <c r="Q11" s="1"/>
      <c r="R11" s="1"/>
      <c r="S11" s="1"/>
      <c r="T11" s="1"/>
      <c r="U11" s="1"/>
      <c r="V11" s="9"/>
      <c r="W11" s="3"/>
      <c r="X11" s="4"/>
      <c r="Y11" s="1"/>
      <c r="Z11" s="1"/>
      <c r="AA11" s="1"/>
      <c r="AB11" s="1"/>
      <c r="AC11" s="1"/>
      <c r="AD11" s="3"/>
      <c r="AE11" s="3"/>
      <c r="AF11" s="5"/>
      <c r="AG11" s="5"/>
      <c r="AH11" s="5"/>
      <c r="AI11" s="5"/>
      <c r="AJ11" s="6"/>
      <c r="AK11" s="6"/>
      <c r="AL11" s="12"/>
      <c r="AM11" s="12"/>
      <c r="AN11" s="12"/>
      <c r="AO11" s="12"/>
      <c r="AP11" s="12"/>
    </row>
    <row r="12" spans="1:42" ht="15" x14ac:dyDescent="0.25">
      <c r="A12" s="82" t="str">
        <f>TDCTRIBE!I21</f>
        <v>Alaska</v>
      </c>
      <c r="B12" s="82" t="str">
        <f>TDCTRIBE!B21</f>
        <v>AK</v>
      </c>
      <c r="C12" s="82" t="str">
        <f>TDCTRIBE!F21</f>
        <v>Algaaciq (St. Mary's)</v>
      </c>
      <c r="D12" s="83">
        <f>TDCTRIBE!Y21</f>
        <v>537627.23286300001</v>
      </c>
      <c r="E12" s="83">
        <f>TDCTRIBE!Z21</f>
        <v>593892.8539060998</v>
      </c>
      <c r="F12" s="83">
        <f>TDCTRIBE!AA21</f>
        <v>670883.01826070005</v>
      </c>
      <c r="G12" s="83">
        <f>TDCTRIBE!AB21</f>
        <v>727154.03193440009</v>
      </c>
      <c r="H12" s="83">
        <f>TDCTRIBE!AC21</f>
        <v>784795.42359260004</v>
      </c>
      <c r="O12" s="9"/>
      <c r="P12" s="1"/>
      <c r="Q12" s="1"/>
      <c r="R12" s="1"/>
      <c r="S12" s="1"/>
      <c r="T12" s="1"/>
      <c r="U12" s="1"/>
      <c r="V12" s="9"/>
      <c r="W12" s="3"/>
      <c r="X12" s="4"/>
      <c r="Y12" s="1"/>
      <c r="Z12" s="1"/>
      <c r="AA12" s="1"/>
      <c r="AB12" s="1"/>
      <c r="AC12" s="1"/>
      <c r="AD12" s="3"/>
      <c r="AE12" s="3"/>
      <c r="AF12" s="5"/>
      <c r="AG12" s="5"/>
      <c r="AH12" s="5"/>
      <c r="AI12" s="5"/>
      <c r="AJ12" s="6"/>
      <c r="AK12" s="6"/>
      <c r="AL12" s="12"/>
      <c r="AM12" s="12"/>
      <c r="AN12" s="12"/>
      <c r="AO12" s="12"/>
      <c r="AP12" s="12"/>
    </row>
    <row r="13" spans="1:42" ht="15" x14ac:dyDescent="0.25">
      <c r="A13" s="82" t="str">
        <f>TDCTRIBE!I22</f>
        <v>Alaska</v>
      </c>
      <c r="B13" s="82" t="str">
        <f>TDCTRIBE!B22</f>
        <v>AK</v>
      </c>
      <c r="C13" s="82" t="str">
        <f>TDCTRIBE!F22</f>
        <v>Allakaket</v>
      </c>
      <c r="D13" s="83">
        <f>TDCTRIBE!Y22</f>
        <v>573912.50187599997</v>
      </c>
      <c r="E13" s="83">
        <f>TDCTRIBE!Z22</f>
        <v>633906.89508719998</v>
      </c>
      <c r="F13" s="83">
        <f>TDCTRIBE!AA22</f>
        <v>715983.34034640016</v>
      </c>
      <c r="G13" s="83">
        <f>TDCTRIBE!AB22</f>
        <v>775980.51116880018</v>
      </c>
      <c r="H13" s="83">
        <f>TDCTRIBE!AC22</f>
        <v>837476.24333520012</v>
      </c>
      <c r="O13" s="9"/>
      <c r="P13" s="1"/>
      <c r="Q13" s="1"/>
      <c r="R13" s="1"/>
      <c r="S13" s="1"/>
      <c r="T13" s="1"/>
      <c r="U13" s="1"/>
      <c r="V13" s="9"/>
      <c r="W13" s="3"/>
      <c r="X13" s="4"/>
      <c r="Y13" s="1"/>
      <c r="Z13" s="1"/>
      <c r="AA13" s="1"/>
      <c r="AB13" s="1"/>
      <c r="AC13" s="1"/>
      <c r="AD13" s="3"/>
      <c r="AE13" s="3"/>
      <c r="AF13" s="5"/>
      <c r="AG13" s="5"/>
      <c r="AH13" s="5"/>
      <c r="AI13" s="5"/>
      <c r="AJ13" s="6"/>
      <c r="AK13" s="6"/>
      <c r="AL13" s="12"/>
      <c r="AM13" s="12"/>
      <c r="AN13" s="12"/>
      <c r="AO13" s="12"/>
      <c r="AP13" s="12"/>
    </row>
    <row r="14" spans="1:42" ht="15" x14ac:dyDescent="0.25">
      <c r="A14" s="82" t="str">
        <f>TDCTRIBE!I23</f>
        <v>Alaska</v>
      </c>
      <c r="B14" s="82" t="str">
        <f>TDCTRIBE!B23</f>
        <v>AK</v>
      </c>
      <c r="C14" s="82" t="str">
        <f>TDCTRIBE!F23</f>
        <v>Ambler</v>
      </c>
      <c r="D14" s="83">
        <f>TDCTRIBE!Y23</f>
        <v>573912.50187599997</v>
      </c>
      <c r="E14" s="83">
        <f>TDCTRIBE!Z23</f>
        <v>633906.89508719998</v>
      </c>
      <c r="F14" s="83">
        <f>TDCTRIBE!AA23</f>
        <v>715983.34034640016</v>
      </c>
      <c r="G14" s="83">
        <f>TDCTRIBE!AB23</f>
        <v>775980.51116880018</v>
      </c>
      <c r="H14" s="83">
        <f>TDCTRIBE!AC23</f>
        <v>837476.24333520012</v>
      </c>
      <c r="O14" s="9"/>
      <c r="P14" s="1"/>
      <c r="Q14" s="1"/>
      <c r="R14" s="1"/>
      <c r="S14" s="1"/>
      <c r="T14" s="1"/>
      <c r="U14" s="1"/>
      <c r="V14" s="9"/>
      <c r="W14" s="3"/>
      <c r="X14" s="4"/>
      <c r="Y14" s="1"/>
      <c r="Z14" s="1"/>
      <c r="AA14" s="1"/>
      <c r="AB14" s="1"/>
      <c r="AC14" s="1"/>
      <c r="AD14" s="3"/>
      <c r="AE14" s="3"/>
      <c r="AF14" s="5"/>
      <c r="AG14" s="5"/>
      <c r="AH14" s="5"/>
      <c r="AI14" s="5"/>
      <c r="AJ14" s="6"/>
      <c r="AK14" s="6"/>
      <c r="AL14" s="12"/>
      <c r="AM14" s="12"/>
      <c r="AN14" s="12"/>
      <c r="AO14" s="12"/>
      <c r="AP14" s="12"/>
    </row>
    <row r="15" spans="1:42" ht="15" x14ac:dyDescent="0.25">
      <c r="A15" s="82" t="str">
        <f>TDCTRIBE!I24</f>
        <v>Alaska</v>
      </c>
      <c r="B15" s="82" t="str">
        <f>TDCTRIBE!B24</f>
        <v>AK</v>
      </c>
      <c r="C15" s="82" t="str">
        <f>TDCTRIBE!F24</f>
        <v>Anaktuvuk Pass</v>
      </c>
      <c r="D15" s="83">
        <f>TDCTRIBE!Y24</f>
        <v>573912.50187599997</v>
      </c>
      <c r="E15" s="83">
        <f>TDCTRIBE!Z24</f>
        <v>633906.89508719998</v>
      </c>
      <c r="F15" s="83">
        <f>TDCTRIBE!AA24</f>
        <v>715983.34034640016</v>
      </c>
      <c r="G15" s="83">
        <f>TDCTRIBE!AB24</f>
        <v>775980.51116880018</v>
      </c>
      <c r="H15" s="83">
        <f>TDCTRIBE!AC24</f>
        <v>837476.24333520012</v>
      </c>
      <c r="O15" s="9"/>
      <c r="P15" s="1"/>
      <c r="Q15" s="1"/>
      <c r="R15" s="1"/>
      <c r="S15" s="1"/>
      <c r="T15" s="1"/>
      <c r="U15" s="1"/>
      <c r="V15" s="9"/>
      <c r="W15" s="3"/>
      <c r="X15" s="4"/>
      <c r="Y15" s="1"/>
      <c r="Z15" s="1"/>
      <c r="AA15" s="1"/>
      <c r="AB15" s="1"/>
      <c r="AC15" s="1"/>
      <c r="AD15" s="3"/>
      <c r="AE15" s="3"/>
      <c r="AF15" s="5"/>
      <c r="AG15" s="5"/>
      <c r="AH15" s="5"/>
      <c r="AI15" s="5"/>
      <c r="AJ15" s="6"/>
      <c r="AK15" s="6"/>
      <c r="AL15" s="12"/>
      <c r="AM15" s="12"/>
      <c r="AN15" s="12"/>
      <c r="AO15" s="12"/>
      <c r="AP15" s="12"/>
    </row>
    <row r="16" spans="1:42" ht="15" x14ac:dyDescent="0.25">
      <c r="A16" s="82" t="str">
        <f>TDCTRIBE!I25</f>
        <v>Alaska</v>
      </c>
      <c r="B16" s="82" t="str">
        <f>TDCTRIBE!B25</f>
        <v>AK</v>
      </c>
      <c r="C16" s="82" t="str">
        <f>TDCTRIBE!F25</f>
        <v>Andreafski</v>
      </c>
      <c r="D16" s="83">
        <f>TDCTRIBE!Y25</f>
        <v>537627.23286300001</v>
      </c>
      <c r="E16" s="83">
        <f>TDCTRIBE!Z25</f>
        <v>593892.8539060998</v>
      </c>
      <c r="F16" s="83">
        <f>TDCTRIBE!AA25</f>
        <v>670883.01826070005</v>
      </c>
      <c r="G16" s="83">
        <f>TDCTRIBE!AB25</f>
        <v>727154.03193440009</v>
      </c>
      <c r="H16" s="83">
        <f>TDCTRIBE!AC25</f>
        <v>784795.42359260004</v>
      </c>
      <c r="O16" s="9"/>
      <c r="P16" s="1"/>
      <c r="Q16" s="1"/>
      <c r="R16" s="1"/>
      <c r="S16" s="1"/>
      <c r="T16" s="1"/>
      <c r="U16" s="1"/>
      <c r="V16" s="9"/>
      <c r="W16" s="3"/>
      <c r="X16" s="4"/>
      <c r="Y16" s="1"/>
      <c r="Z16" s="1"/>
      <c r="AA16" s="1"/>
      <c r="AB16" s="1"/>
      <c r="AC16" s="1"/>
      <c r="AD16" s="3"/>
      <c r="AE16" s="3"/>
      <c r="AF16" s="5"/>
      <c r="AG16" s="5"/>
      <c r="AH16" s="5"/>
      <c r="AI16" s="5"/>
      <c r="AJ16" s="6"/>
      <c r="AK16" s="6"/>
      <c r="AL16" s="12"/>
      <c r="AM16" s="12"/>
      <c r="AN16" s="12"/>
      <c r="AO16" s="12"/>
      <c r="AP16" s="12"/>
    </row>
    <row r="17" spans="1:42" ht="15" x14ac:dyDescent="0.25">
      <c r="A17" s="82" t="str">
        <f>TDCTRIBE!I26</f>
        <v>Alaska</v>
      </c>
      <c r="B17" s="82" t="str">
        <f>TDCTRIBE!B26</f>
        <v>AK</v>
      </c>
      <c r="C17" s="82" t="str">
        <f>TDCTRIBE!F26</f>
        <v>Angoon</v>
      </c>
      <c r="D17" s="83">
        <f>TDCTRIBE!Y26</f>
        <v>465666.31849500001</v>
      </c>
      <c r="E17" s="83">
        <f>TDCTRIBE!Z26</f>
        <v>514428.62433899997</v>
      </c>
      <c r="F17" s="83">
        <f>TDCTRIBE!AA26</f>
        <v>581158.19019300013</v>
      </c>
      <c r="G17" s="83">
        <f>TDCTRIBE!AB26</f>
        <v>629926.37213100016</v>
      </c>
      <c r="H17" s="83">
        <f>TDCTRIBE!AC26</f>
        <v>679867.06659900001</v>
      </c>
      <c r="O17" s="9"/>
      <c r="P17" s="1"/>
      <c r="Q17" s="1"/>
      <c r="R17" s="1"/>
      <c r="S17" s="1"/>
      <c r="T17" s="1"/>
      <c r="U17" s="1"/>
      <c r="V17" s="9"/>
      <c r="W17" s="3"/>
      <c r="X17" s="4"/>
      <c r="Y17" s="1"/>
      <c r="Z17" s="1"/>
      <c r="AA17" s="1"/>
      <c r="AB17" s="1"/>
      <c r="AC17" s="1"/>
      <c r="AD17" s="3"/>
      <c r="AE17" s="3"/>
      <c r="AF17" s="5"/>
      <c r="AG17" s="5"/>
      <c r="AH17" s="5"/>
      <c r="AI17" s="5"/>
      <c r="AJ17" s="6"/>
      <c r="AK17" s="6"/>
      <c r="AL17" s="12"/>
      <c r="AM17" s="12"/>
      <c r="AN17" s="12"/>
      <c r="AO17" s="12"/>
      <c r="AP17" s="12"/>
    </row>
    <row r="18" spans="1:42" ht="15" x14ac:dyDescent="0.25">
      <c r="A18" s="82" t="str">
        <f>TDCTRIBE!I27</f>
        <v>Alaska</v>
      </c>
      <c r="B18" s="82" t="str">
        <f>TDCTRIBE!B27</f>
        <v>AK</v>
      </c>
      <c r="C18" s="82" t="str">
        <f>TDCTRIBE!F27</f>
        <v>Aniak</v>
      </c>
      <c r="D18" s="83">
        <f>TDCTRIBE!Y27</f>
        <v>537627.23286300001</v>
      </c>
      <c r="E18" s="83">
        <f>TDCTRIBE!Z27</f>
        <v>593892.8539060998</v>
      </c>
      <c r="F18" s="83">
        <f>TDCTRIBE!AA27</f>
        <v>670883.01826070005</v>
      </c>
      <c r="G18" s="83">
        <f>TDCTRIBE!AB27</f>
        <v>727154.03193440009</v>
      </c>
      <c r="H18" s="83">
        <f>TDCTRIBE!AC27</f>
        <v>784795.42359260004</v>
      </c>
      <c r="O18" s="9"/>
      <c r="P18" s="1"/>
      <c r="Q18" s="1"/>
      <c r="R18" s="1"/>
      <c r="S18" s="1"/>
      <c r="T18" s="1"/>
      <c r="U18" s="1"/>
      <c r="V18" s="9"/>
      <c r="W18" s="3"/>
      <c r="X18" s="4"/>
      <c r="Y18" s="1"/>
      <c r="Z18" s="1"/>
      <c r="AA18" s="1"/>
      <c r="AB18" s="1"/>
      <c r="AC18" s="1"/>
      <c r="AD18" s="3"/>
      <c r="AE18" s="3"/>
      <c r="AF18" s="5"/>
      <c r="AG18" s="5"/>
      <c r="AH18" s="5"/>
      <c r="AI18" s="5"/>
      <c r="AJ18" s="6"/>
      <c r="AK18" s="6"/>
      <c r="AL18" s="12"/>
      <c r="AM18" s="12"/>
      <c r="AN18" s="12"/>
      <c r="AO18" s="12"/>
      <c r="AP18" s="12"/>
    </row>
    <row r="19" spans="1:42" ht="15" x14ac:dyDescent="0.25">
      <c r="A19" s="82" t="str">
        <f>TDCTRIBE!I28</f>
        <v>Alaska</v>
      </c>
      <c r="B19" s="82" t="str">
        <f>TDCTRIBE!B28</f>
        <v>AK</v>
      </c>
      <c r="C19" s="82" t="str">
        <f>TDCTRIBE!F28</f>
        <v>Annette Island  (Metlakakla)</v>
      </c>
      <c r="D19" s="83">
        <f>TDCTRIBE!Y28</f>
        <v>465666.31849500001</v>
      </c>
      <c r="E19" s="83">
        <f>TDCTRIBE!Z28</f>
        <v>514428.62433899997</v>
      </c>
      <c r="F19" s="83">
        <f>TDCTRIBE!AA28</f>
        <v>581158.19019300013</v>
      </c>
      <c r="G19" s="83">
        <f>TDCTRIBE!AB28</f>
        <v>629926.37213100016</v>
      </c>
      <c r="H19" s="83">
        <f>TDCTRIBE!AC28</f>
        <v>679867.06659900001</v>
      </c>
      <c r="O19" s="9"/>
      <c r="P19" s="1"/>
      <c r="Q19" s="1"/>
      <c r="R19" s="1"/>
      <c r="S19" s="1"/>
      <c r="T19" s="1"/>
      <c r="U19" s="1"/>
      <c r="V19" s="9"/>
      <c r="W19" s="3"/>
      <c r="X19" s="4"/>
      <c r="Y19" s="1"/>
      <c r="Z19" s="1"/>
      <c r="AA19" s="1"/>
      <c r="AB19" s="1"/>
      <c r="AC19" s="1"/>
      <c r="AD19" s="3"/>
      <c r="AE19" s="3"/>
      <c r="AF19" s="5"/>
      <c r="AG19" s="5"/>
      <c r="AH19" s="5"/>
      <c r="AI19" s="5"/>
      <c r="AJ19" s="6"/>
      <c r="AK19" s="6"/>
      <c r="AL19" s="12"/>
      <c r="AM19" s="12"/>
      <c r="AN19" s="12"/>
      <c r="AO19" s="12"/>
      <c r="AP19" s="12"/>
    </row>
    <row r="20" spans="1:42" ht="15" x14ac:dyDescent="0.25">
      <c r="A20" s="82" t="str">
        <f>TDCTRIBE!I29</f>
        <v>Alaska</v>
      </c>
      <c r="B20" s="82" t="str">
        <f>TDCTRIBE!B29</f>
        <v>AK</v>
      </c>
      <c r="C20" s="82" t="str">
        <f>TDCTRIBE!F29</f>
        <v>Anvik</v>
      </c>
      <c r="D20" s="83">
        <f>TDCTRIBE!Y29</f>
        <v>537627.23286300001</v>
      </c>
      <c r="E20" s="83">
        <f>TDCTRIBE!Z29</f>
        <v>593892.8539060998</v>
      </c>
      <c r="F20" s="83">
        <f>TDCTRIBE!AA29</f>
        <v>670883.01826070005</v>
      </c>
      <c r="G20" s="83">
        <f>TDCTRIBE!AB29</f>
        <v>727154.03193440009</v>
      </c>
      <c r="H20" s="83">
        <f>TDCTRIBE!AC29</f>
        <v>784795.42359260004</v>
      </c>
      <c r="O20" s="9"/>
      <c r="P20" s="1"/>
      <c r="Q20" s="1"/>
      <c r="R20" s="1"/>
      <c r="S20" s="1"/>
      <c r="T20" s="1"/>
      <c r="U20" s="1"/>
      <c r="V20" s="9"/>
      <c r="W20" s="3"/>
      <c r="X20" s="4"/>
      <c r="Y20" s="1"/>
      <c r="Z20" s="1"/>
      <c r="AA20" s="1"/>
      <c r="AB20" s="1"/>
      <c r="AC20" s="1"/>
      <c r="AD20" s="3"/>
      <c r="AE20" s="3"/>
      <c r="AF20" s="5"/>
      <c r="AG20" s="5"/>
      <c r="AH20" s="5"/>
      <c r="AI20" s="5"/>
      <c r="AJ20" s="6"/>
      <c r="AK20" s="6"/>
      <c r="AL20" s="12"/>
      <c r="AM20" s="12"/>
      <c r="AN20" s="12"/>
      <c r="AO20" s="12"/>
      <c r="AP20" s="12"/>
    </row>
    <row r="21" spans="1:42" ht="15" x14ac:dyDescent="0.25">
      <c r="A21" s="82" t="str">
        <f>TDCTRIBE!I30</f>
        <v>Alaska</v>
      </c>
      <c r="B21" s="82" t="str">
        <f>TDCTRIBE!B30</f>
        <v>AK</v>
      </c>
      <c r="C21" s="82" t="str">
        <f>TDCTRIBE!F30</f>
        <v>Arctic Village</v>
      </c>
      <c r="D21" s="83">
        <f>TDCTRIBE!Y30</f>
        <v>573912.50187599997</v>
      </c>
      <c r="E21" s="83">
        <f>TDCTRIBE!Z30</f>
        <v>633906.89508719998</v>
      </c>
      <c r="F21" s="83">
        <f>TDCTRIBE!AA30</f>
        <v>715983.34034640016</v>
      </c>
      <c r="G21" s="83">
        <f>TDCTRIBE!AB30</f>
        <v>775980.51116880018</v>
      </c>
      <c r="H21" s="83">
        <f>TDCTRIBE!AC30</f>
        <v>837476.24333520012</v>
      </c>
      <c r="O21" s="9"/>
      <c r="P21" s="1"/>
      <c r="Q21" s="1"/>
      <c r="R21" s="1"/>
      <c r="S21" s="1"/>
      <c r="T21" s="1"/>
      <c r="U21" s="1"/>
      <c r="V21" s="9"/>
      <c r="W21" s="3"/>
      <c r="X21" s="4"/>
      <c r="Y21" s="1"/>
      <c r="Z21" s="1"/>
      <c r="AA21" s="1"/>
      <c r="AB21" s="1"/>
      <c r="AC21" s="1"/>
      <c r="AD21" s="3"/>
      <c r="AE21" s="3"/>
      <c r="AF21" s="5"/>
      <c r="AG21" s="5"/>
      <c r="AH21" s="5"/>
      <c r="AI21" s="5"/>
      <c r="AJ21" s="6"/>
      <c r="AK21" s="6"/>
      <c r="AL21" s="12"/>
      <c r="AM21" s="12"/>
      <c r="AN21" s="12"/>
      <c r="AO21" s="12"/>
      <c r="AP21" s="12"/>
    </row>
    <row r="22" spans="1:42" ht="15" x14ac:dyDescent="0.25">
      <c r="A22" s="82" t="str">
        <f>TDCTRIBE!I31</f>
        <v>Alaska</v>
      </c>
      <c r="B22" s="82" t="str">
        <f>TDCTRIBE!B31</f>
        <v>AK</v>
      </c>
      <c r="C22" s="82" t="str">
        <f>TDCTRIBE!F31</f>
        <v>Arctic Slope Native Regional Corp.</v>
      </c>
      <c r="D22" s="83">
        <f>TDCTRIBE!Y31</f>
        <v>573912.50187599997</v>
      </c>
      <c r="E22" s="83">
        <f>TDCTRIBE!Z31</f>
        <v>633906.89508719998</v>
      </c>
      <c r="F22" s="83">
        <f>TDCTRIBE!AA31</f>
        <v>715983.34034640016</v>
      </c>
      <c r="G22" s="83">
        <f>TDCTRIBE!AB31</f>
        <v>775980.51116880018</v>
      </c>
      <c r="H22" s="83">
        <f>TDCTRIBE!AC31</f>
        <v>837476.24333520012</v>
      </c>
      <c r="O22" s="9"/>
      <c r="P22" s="1"/>
      <c r="Q22" s="1"/>
      <c r="R22" s="1"/>
      <c r="S22" s="1"/>
      <c r="T22" s="1"/>
      <c r="U22" s="1"/>
      <c r="V22" s="9"/>
      <c r="W22" s="3"/>
      <c r="X22" s="4"/>
      <c r="Y22" s="1"/>
      <c r="Z22" s="1"/>
      <c r="AA22" s="1"/>
      <c r="AB22" s="1"/>
      <c r="AC22" s="1"/>
      <c r="AD22" s="3"/>
      <c r="AE22" s="3"/>
      <c r="AF22" s="5"/>
      <c r="AG22" s="5"/>
      <c r="AH22" s="5"/>
      <c r="AI22" s="5"/>
      <c r="AJ22" s="6"/>
      <c r="AK22" s="6"/>
      <c r="AL22" s="12"/>
      <c r="AM22" s="12"/>
      <c r="AN22" s="12"/>
      <c r="AO22" s="12"/>
      <c r="AP22" s="12"/>
    </row>
    <row r="23" spans="1:42" ht="15" x14ac:dyDescent="0.25">
      <c r="A23" s="82" t="str">
        <f>TDCTRIBE!I32</f>
        <v>Alaska</v>
      </c>
      <c r="B23" s="82" t="str">
        <f>TDCTRIBE!B32</f>
        <v>AK</v>
      </c>
      <c r="C23" s="82" t="str">
        <f>TDCTRIBE!F32</f>
        <v>Atka</v>
      </c>
      <c r="D23" s="83">
        <f>TDCTRIBE!Y32</f>
        <v>537627.23286300001</v>
      </c>
      <c r="E23" s="83">
        <f>TDCTRIBE!Z32</f>
        <v>593892.8539060998</v>
      </c>
      <c r="F23" s="83">
        <f>TDCTRIBE!AA32</f>
        <v>670883.01826070005</v>
      </c>
      <c r="G23" s="83">
        <f>TDCTRIBE!AB32</f>
        <v>727154.03193440009</v>
      </c>
      <c r="H23" s="83">
        <f>TDCTRIBE!AC32</f>
        <v>784795.42359260004</v>
      </c>
      <c r="O23" s="9"/>
      <c r="P23" s="1"/>
      <c r="Q23" s="1"/>
      <c r="R23" s="1"/>
      <c r="S23" s="1"/>
      <c r="T23" s="1"/>
      <c r="U23" s="1"/>
      <c r="V23" s="9"/>
      <c r="W23" s="3"/>
      <c r="X23" s="4"/>
      <c r="Y23" s="1"/>
      <c r="Z23" s="1"/>
      <c r="AA23" s="1"/>
      <c r="AB23" s="1"/>
      <c r="AC23" s="1"/>
      <c r="AD23" s="3"/>
      <c r="AE23" s="3"/>
      <c r="AF23" s="5"/>
      <c r="AG23" s="5"/>
      <c r="AH23" s="5"/>
      <c r="AI23" s="5"/>
      <c r="AJ23" s="6"/>
      <c r="AK23" s="6"/>
      <c r="AL23" s="12"/>
      <c r="AM23" s="12"/>
      <c r="AN23" s="12"/>
      <c r="AO23" s="12"/>
      <c r="AP23" s="12"/>
    </row>
    <row r="24" spans="1:42" ht="15" x14ac:dyDescent="0.25">
      <c r="A24" s="82" t="str">
        <f>TDCTRIBE!I33</f>
        <v>Alaska</v>
      </c>
      <c r="B24" s="82" t="str">
        <f>TDCTRIBE!B33</f>
        <v>AK</v>
      </c>
      <c r="C24" s="82" t="str">
        <f>TDCTRIBE!F33</f>
        <v>Atmautluak</v>
      </c>
      <c r="D24" s="83">
        <f>TDCTRIBE!Y33</f>
        <v>537627.23286300001</v>
      </c>
      <c r="E24" s="83">
        <f>TDCTRIBE!Z33</f>
        <v>593892.8539060998</v>
      </c>
      <c r="F24" s="83">
        <f>TDCTRIBE!AA33</f>
        <v>670883.01826070005</v>
      </c>
      <c r="G24" s="83">
        <f>TDCTRIBE!AB33</f>
        <v>727154.03193440009</v>
      </c>
      <c r="H24" s="83">
        <f>TDCTRIBE!AC33</f>
        <v>784795.42359260004</v>
      </c>
      <c r="O24" s="9"/>
      <c r="P24" s="1"/>
      <c r="Q24" s="1"/>
      <c r="R24" s="1"/>
      <c r="S24" s="1"/>
      <c r="T24" s="1"/>
      <c r="U24" s="1"/>
      <c r="V24" s="9"/>
      <c r="W24" s="3"/>
      <c r="X24" s="4"/>
      <c r="Y24" s="1"/>
      <c r="Z24" s="1"/>
      <c r="AA24" s="1"/>
      <c r="AB24" s="1"/>
      <c r="AC24" s="1"/>
      <c r="AD24" s="3"/>
      <c r="AE24" s="3"/>
      <c r="AF24" s="5"/>
      <c r="AG24" s="5"/>
      <c r="AH24" s="5"/>
      <c r="AI24" s="5"/>
      <c r="AJ24" s="6"/>
      <c r="AK24" s="6"/>
      <c r="AL24" s="12"/>
      <c r="AM24" s="12"/>
      <c r="AN24" s="12"/>
      <c r="AO24" s="12"/>
      <c r="AP24" s="12"/>
    </row>
    <row r="25" spans="1:42" ht="15" x14ac:dyDescent="0.25">
      <c r="A25" s="82" t="str">
        <f>TDCTRIBE!I34</f>
        <v>Alaska</v>
      </c>
      <c r="B25" s="82" t="str">
        <f>TDCTRIBE!B34</f>
        <v>AK</v>
      </c>
      <c r="C25" s="82" t="str">
        <f>TDCTRIBE!F34</f>
        <v>Atqasuk (Atkasook)</v>
      </c>
      <c r="D25" s="83">
        <f>TDCTRIBE!Y34</f>
        <v>573912.50187599997</v>
      </c>
      <c r="E25" s="83">
        <f>TDCTRIBE!Z34</f>
        <v>633906.89508719998</v>
      </c>
      <c r="F25" s="83">
        <f>TDCTRIBE!AA34</f>
        <v>715983.34034640016</v>
      </c>
      <c r="G25" s="83">
        <f>TDCTRIBE!AB34</f>
        <v>775980.51116880018</v>
      </c>
      <c r="H25" s="83">
        <f>TDCTRIBE!AC34</f>
        <v>837476.24333520012</v>
      </c>
      <c r="O25" s="9"/>
      <c r="P25" s="1"/>
      <c r="Q25" s="1"/>
      <c r="R25" s="1"/>
      <c r="S25" s="1"/>
      <c r="T25" s="1"/>
      <c r="U25" s="1"/>
      <c r="V25" s="9"/>
      <c r="W25" s="3"/>
      <c r="X25" s="4"/>
      <c r="Y25" s="1"/>
      <c r="Z25" s="1"/>
      <c r="AA25" s="1"/>
      <c r="AB25" s="1"/>
      <c r="AC25" s="1"/>
      <c r="AD25" s="3"/>
      <c r="AE25" s="3"/>
      <c r="AF25" s="5"/>
      <c r="AG25" s="5"/>
      <c r="AH25" s="5"/>
      <c r="AI25" s="5"/>
      <c r="AJ25" s="6"/>
      <c r="AK25" s="6"/>
      <c r="AL25" s="12"/>
      <c r="AM25" s="12"/>
      <c r="AN25" s="12"/>
      <c r="AO25" s="12"/>
      <c r="AP25" s="12"/>
    </row>
    <row r="26" spans="1:42" ht="15" x14ac:dyDescent="0.25">
      <c r="A26" s="82" t="str">
        <f>TDCTRIBE!I35</f>
        <v>Alaska</v>
      </c>
      <c r="B26" s="82" t="str">
        <f>TDCTRIBE!B35</f>
        <v>AK</v>
      </c>
      <c r="C26" s="82" t="str">
        <f>TDCTRIBE!F35</f>
        <v>Barrow</v>
      </c>
      <c r="D26" s="83">
        <f>TDCTRIBE!Y35</f>
        <v>573912.50187599997</v>
      </c>
      <c r="E26" s="83">
        <f>TDCTRIBE!Z35</f>
        <v>633906.89508719998</v>
      </c>
      <c r="F26" s="83">
        <f>TDCTRIBE!AA35</f>
        <v>715983.34034640016</v>
      </c>
      <c r="G26" s="83">
        <f>TDCTRIBE!AB35</f>
        <v>775980.51116880018</v>
      </c>
      <c r="H26" s="83">
        <f>TDCTRIBE!AC35</f>
        <v>837476.24333520012</v>
      </c>
      <c r="O26" s="9"/>
      <c r="P26" s="1"/>
      <c r="Q26" s="1"/>
      <c r="R26" s="1"/>
      <c r="S26" s="1"/>
      <c r="T26" s="1"/>
      <c r="U26" s="1"/>
      <c r="V26" s="9"/>
      <c r="W26" s="3"/>
      <c r="X26" s="4"/>
      <c r="Y26" s="1"/>
      <c r="Z26" s="1"/>
      <c r="AA26" s="1"/>
      <c r="AB26" s="1"/>
      <c r="AC26" s="1"/>
      <c r="AD26" s="3"/>
      <c r="AE26" s="3"/>
      <c r="AF26" s="5"/>
      <c r="AG26" s="5"/>
      <c r="AH26" s="5"/>
      <c r="AI26" s="5"/>
      <c r="AJ26" s="6"/>
      <c r="AK26" s="6"/>
      <c r="AL26" s="12"/>
      <c r="AM26" s="12"/>
      <c r="AN26" s="12"/>
      <c r="AO26" s="12"/>
      <c r="AP26" s="12"/>
    </row>
    <row r="27" spans="1:42" ht="15" x14ac:dyDescent="0.25">
      <c r="A27" s="82" t="str">
        <f>TDCTRIBE!I36</f>
        <v>Alaska</v>
      </c>
      <c r="B27" s="82" t="str">
        <f>TDCTRIBE!B36</f>
        <v>AK</v>
      </c>
      <c r="C27" s="82" t="str">
        <f>TDCTRIBE!F36</f>
        <v>Beaver</v>
      </c>
      <c r="D27" s="83">
        <f>TDCTRIBE!Y36</f>
        <v>537627.23286300001</v>
      </c>
      <c r="E27" s="83">
        <f>TDCTRIBE!Z36</f>
        <v>593892.8539060998</v>
      </c>
      <c r="F27" s="83">
        <f>TDCTRIBE!AA36</f>
        <v>670883.01826070005</v>
      </c>
      <c r="G27" s="83">
        <f>TDCTRIBE!AB36</f>
        <v>727154.03193440009</v>
      </c>
      <c r="H27" s="83">
        <f>TDCTRIBE!AC36</f>
        <v>784795.42359260004</v>
      </c>
      <c r="O27" s="9"/>
      <c r="P27" s="1"/>
      <c r="Q27" s="1"/>
      <c r="R27" s="1"/>
      <c r="S27" s="1"/>
      <c r="T27" s="1"/>
      <c r="U27" s="1"/>
      <c r="V27" s="9"/>
      <c r="W27" s="3"/>
      <c r="X27" s="4"/>
      <c r="Y27" s="1"/>
      <c r="Z27" s="1"/>
      <c r="AA27" s="1"/>
      <c r="AB27" s="1"/>
      <c r="AC27" s="1"/>
      <c r="AD27" s="3"/>
      <c r="AE27" s="3"/>
      <c r="AF27" s="5"/>
      <c r="AG27" s="5"/>
      <c r="AH27" s="5"/>
      <c r="AI27" s="5"/>
      <c r="AJ27" s="6"/>
      <c r="AK27" s="6"/>
      <c r="AL27" s="12"/>
      <c r="AM27" s="12"/>
      <c r="AN27" s="12"/>
      <c r="AO27" s="12"/>
      <c r="AP27" s="12"/>
    </row>
    <row r="28" spans="1:42" ht="15" x14ac:dyDescent="0.25">
      <c r="A28" s="82" t="str">
        <f>TDCTRIBE!I37</f>
        <v>Alaska</v>
      </c>
      <c r="B28" s="82" t="str">
        <f>TDCTRIBE!B37</f>
        <v>AK</v>
      </c>
      <c r="C28" s="82" t="str">
        <f>TDCTRIBE!F37</f>
        <v>Belkofski</v>
      </c>
      <c r="D28" s="83">
        <f>TDCTRIBE!Y37</f>
        <v>537627.23286300001</v>
      </c>
      <c r="E28" s="83">
        <f>TDCTRIBE!Z37</f>
        <v>593892.8539060998</v>
      </c>
      <c r="F28" s="83">
        <f>TDCTRIBE!AA37</f>
        <v>670883.01826070005</v>
      </c>
      <c r="G28" s="83">
        <f>TDCTRIBE!AB37</f>
        <v>727154.03193440009</v>
      </c>
      <c r="H28" s="83">
        <f>TDCTRIBE!AC37</f>
        <v>784795.42359260004</v>
      </c>
      <c r="O28" s="9"/>
      <c r="P28" s="1"/>
      <c r="Q28" s="1"/>
      <c r="R28" s="1"/>
      <c r="S28" s="1"/>
      <c r="T28" s="1"/>
      <c r="U28" s="1"/>
      <c r="V28" s="9"/>
      <c r="W28" s="3"/>
      <c r="X28" s="4"/>
      <c r="Y28" s="1"/>
      <c r="Z28" s="1"/>
      <c r="AA28" s="1"/>
      <c r="AB28" s="1"/>
      <c r="AC28" s="1"/>
      <c r="AD28" s="3"/>
      <c r="AE28" s="3"/>
      <c r="AF28" s="5"/>
      <c r="AG28" s="5"/>
      <c r="AH28" s="5"/>
      <c r="AI28" s="5"/>
      <c r="AJ28" s="6"/>
      <c r="AK28" s="6"/>
      <c r="AL28" s="12"/>
      <c r="AM28" s="12"/>
      <c r="AN28" s="12"/>
      <c r="AO28" s="12"/>
      <c r="AP28" s="12"/>
    </row>
    <row r="29" spans="1:42" ht="15" x14ac:dyDescent="0.25">
      <c r="A29" s="82" t="str">
        <f>TDCTRIBE!I38</f>
        <v>Alaska</v>
      </c>
      <c r="B29" s="82" t="str">
        <f>TDCTRIBE!B38</f>
        <v>AK</v>
      </c>
      <c r="C29" s="82" t="str">
        <f>TDCTRIBE!F38</f>
        <v>Bering Straits Regional Corp. (BSRHA)</v>
      </c>
      <c r="D29" s="83">
        <f>TDCTRIBE!Y38</f>
        <v>537627.23286300001</v>
      </c>
      <c r="E29" s="83">
        <f>TDCTRIBE!Z38</f>
        <v>593892.8539060998</v>
      </c>
      <c r="F29" s="83">
        <f>TDCTRIBE!AA38</f>
        <v>670883.01826070005</v>
      </c>
      <c r="G29" s="83">
        <f>TDCTRIBE!AB38</f>
        <v>727154.03193440009</v>
      </c>
      <c r="H29" s="83">
        <f>TDCTRIBE!AC38</f>
        <v>784795.42359260004</v>
      </c>
      <c r="O29" s="9"/>
      <c r="P29" s="1"/>
      <c r="Q29" s="1"/>
      <c r="R29" s="1"/>
      <c r="S29" s="1"/>
      <c r="T29" s="1"/>
      <c r="U29" s="1"/>
      <c r="V29" s="9"/>
      <c r="W29" s="3"/>
      <c r="X29" s="4"/>
      <c r="Y29" s="1"/>
      <c r="Z29" s="1"/>
      <c r="AA29" s="1"/>
      <c r="AB29" s="1"/>
      <c r="AC29" s="1"/>
      <c r="AD29" s="3"/>
      <c r="AE29" s="3"/>
      <c r="AF29" s="5"/>
      <c r="AG29" s="5"/>
      <c r="AH29" s="5"/>
      <c r="AI29" s="5"/>
      <c r="AJ29" s="6"/>
      <c r="AK29" s="6"/>
      <c r="AL29" s="12"/>
      <c r="AM29" s="12"/>
      <c r="AN29" s="12"/>
      <c r="AO29" s="12"/>
      <c r="AP29" s="12"/>
    </row>
    <row r="30" spans="1:42" ht="15" x14ac:dyDescent="0.25">
      <c r="A30" s="82" t="str">
        <f>TDCTRIBE!I39</f>
        <v>Alaska</v>
      </c>
      <c r="B30" s="82" t="str">
        <f>TDCTRIBE!B39</f>
        <v>AK</v>
      </c>
      <c r="C30" s="82" t="str">
        <f>TDCTRIBE!F39</f>
        <v>Bill Moore's Slough</v>
      </c>
      <c r="D30" s="83">
        <f>TDCTRIBE!Y39</f>
        <v>537627.23286300001</v>
      </c>
      <c r="E30" s="83">
        <f>TDCTRIBE!Z39</f>
        <v>593892.8539060998</v>
      </c>
      <c r="F30" s="83">
        <f>TDCTRIBE!AA39</f>
        <v>670883.01826070005</v>
      </c>
      <c r="G30" s="83">
        <f>TDCTRIBE!AB39</f>
        <v>727154.03193440009</v>
      </c>
      <c r="H30" s="83">
        <f>TDCTRIBE!AC39</f>
        <v>784795.42359260004</v>
      </c>
      <c r="O30" s="9"/>
      <c r="P30" s="1"/>
      <c r="Q30" s="1"/>
      <c r="R30" s="1"/>
      <c r="S30" s="1"/>
      <c r="T30" s="1"/>
      <c r="U30" s="1"/>
      <c r="V30" s="9"/>
      <c r="W30" s="3"/>
      <c r="X30" s="4"/>
      <c r="Y30" s="1"/>
      <c r="Z30" s="1"/>
      <c r="AA30" s="1"/>
      <c r="AB30" s="1"/>
      <c r="AC30" s="1"/>
      <c r="AD30" s="3"/>
      <c r="AE30" s="3"/>
      <c r="AF30" s="5"/>
      <c r="AG30" s="5"/>
      <c r="AH30" s="5"/>
      <c r="AI30" s="5"/>
      <c r="AJ30" s="6"/>
      <c r="AK30" s="6"/>
      <c r="AL30" s="12"/>
      <c r="AM30" s="12"/>
      <c r="AN30" s="12"/>
      <c r="AO30" s="12"/>
      <c r="AP30" s="12"/>
    </row>
    <row r="31" spans="1:42" ht="15" x14ac:dyDescent="0.25">
      <c r="A31" s="82" t="str">
        <f>TDCTRIBE!I40</f>
        <v>Alaska</v>
      </c>
      <c r="B31" s="82" t="str">
        <f>TDCTRIBE!B40</f>
        <v>AK</v>
      </c>
      <c r="C31" s="82" t="str">
        <f>TDCTRIBE!F40</f>
        <v>Birch Creek</v>
      </c>
      <c r="D31" s="83">
        <f>TDCTRIBE!Y40</f>
        <v>537627.23286300001</v>
      </c>
      <c r="E31" s="83">
        <f>TDCTRIBE!Z40</f>
        <v>593892.8539060998</v>
      </c>
      <c r="F31" s="83">
        <f>TDCTRIBE!AA40</f>
        <v>670883.01826070005</v>
      </c>
      <c r="G31" s="83">
        <f>TDCTRIBE!AB40</f>
        <v>727154.03193440009</v>
      </c>
      <c r="H31" s="83">
        <f>TDCTRIBE!AC40</f>
        <v>784795.42359260004</v>
      </c>
      <c r="O31" s="9"/>
      <c r="P31" s="1"/>
      <c r="Q31" s="1"/>
      <c r="R31" s="1"/>
      <c r="S31" s="1"/>
      <c r="T31" s="1"/>
      <c r="U31" s="1"/>
      <c r="V31" s="9"/>
      <c r="W31" s="3"/>
      <c r="X31" s="4"/>
      <c r="Y31" s="1"/>
      <c r="Z31" s="1"/>
      <c r="AA31" s="1"/>
      <c r="AB31" s="1"/>
      <c r="AC31" s="1"/>
      <c r="AD31" s="3"/>
      <c r="AE31" s="3"/>
      <c r="AF31" s="5"/>
      <c r="AG31" s="5"/>
      <c r="AH31" s="5"/>
      <c r="AI31" s="5"/>
      <c r="AJ31" s="6"/>
      <c r="AK31" s="6"/>
      <c r="AL31" s="12"/>
      <c r="AM31" s="12"/>
      <c r="AN31" s="12"/>
      <c r="AO31" s="12"/>
      <c r="AP31" s="12"/>
    </row>
    <row r="32" spans="1:42" ht="15" x14ac:dyDescent="0.25">
      <c r="A32" s="82" t="str">
        <f>TDCTRIBE!I41</f>
        <v>Alaska</v>
      </c>
      <c r="B32" s="82" t="str">
        <f>TDCTRIBE!B41</f>
        <v>AK</v>
      </c>
      <c r="C32" s="82" t="str">
        <f>TDCTRIBE!F41</f>
        <v>Brevig Mission</v>
      </c>
      <c r="D32" s="83">
        <f>TDCTRIBE!Y41</f>
        <v>537627.23286300001</v>
      </c>
      <c r="E32" s="83">
        <f>TDCTRIBE!Z41</f>
        <v>593892.8539060998</v>
      </c>
      <c r="F32" s="83">
        <f>TDCTRIBE!AA41</f>
        <v>670883.01826070005</v>
      </c>
      <c r="G32" s="83">
        <f>TDCTRIBE!AB41</f>
        <v>727154.03193440009</v>
      </c>
      <c r="H32" s="83">
        <f>TDCTRIBE!AC41</f>
        <v>784795.42359260004</v>
      </c>
      <c r="O32" s="9"/>
      <c r="P32" s="1"/>
      <c r="Q32" s="1"/>
      <c r="R32" s="1"/>
      <c r="S32" s="1"/>
      <c r="T32" s="1"/>
      <c r="U32" s="1"/>
      <c r="V32" s="9"/>
      <c r="W32" s="3"/>
      <c r="X32" s="4"/>
      <c r="Y32" s="1"/>
      <c r="Z32" s="1"/>
      <c r="AA32" s="1"/>
      <c r="AB32" s="1"/>
      <c r="AC32" s="1"/>
      <c r="AD32" s="3"/>
      <c r="AE32" s="3"/>
      <c r="AF32" s="5"/>
      <c r="AG32" s="5"/>
      <c r="AH32" s="5"/>
      <c r="AI32" s="5"/>
      <c r="AJ32" s="6"/>
      <c r="AK32" s="6"/>
      <c r="AL32" s="12"/>
      <c r="AM32" s="12"/>
      <c r="AN32" s="12"/>
      <c r="AO32" s="12"/>
      <c r="AP32" s="12"/>
    </row>
    <row r="33" spans="1:42" ht="15" x14ac:dyDescent="0.25">
      <c r="A33" s="82" t="str">
        <f>TDCTRIBE!I42</f>
        <v>Alaska</v>
      </c>
      <c r="B33" s="82" t="str">
        <f>TDCTRIBE!B42</f>
        <v>AK</v>
      </c>
      <c r="C33" s="82" t="str">
        <f>TDCTRIBE!F42</f>
        <v>Bristol Bay Native Regional Corp.</v>
      </c>
      <c r="D33" s="83">
        <f>TDCTRIBE!Y42</f>
        <v>537627.23286300001</v>
      </c>
      <c r="E33" s="83">
        <f>TDCTRIBE!Z42</f>
        <v>593892.8539060998</v>
      </c>
      <c r="F33" s="83">
        <f>TDCTRIBE!AA42</f>
        <v>670883.01826070005</v>
      </c>
      <c r="G33" s="83">
        <f>TDCTRIBE!AB42</f>
        <v>727154.03193440009</v>
      </c>
      <c r="H33" s="83">
        <f>TDCTRIBE!AC42</f>
        <v>784795.42359260004</v>
      </c>
      <c r="O33" s="9"/>
      <c r="P33" s="1"/>
      <c r="Q33" s="1"/>
      <c r="R33" s="1"/>
      <c r="S33" s="1"/>
      <c r="T33" s="1"/>
      <c r="U33" s="1"/>
      <c r="V33" s="9"/>
      <c r="W33" s="3"/>
      <c r="X33" s="4"/>
      <c r="Y33" s="1"/>
      <c r="Z33" s="1"/>
      <c r="AA33" s="1"/>
      <c r="AB33" s="1"/>
      <c r="AC33" s="1"/>
      <c r="AD33" s="3"/>
      <c r="AE33" s="3"/>
      <c r="AF33" s="5"/>
      <c r="AG33" s="5"/>
      <c r="AH33" s="5"/>
      <c r="AI33" s="5"/>
      <c r="AJ33" s="6"/>
      <c r="AK33" s="6"/>
      <c r="AL33" s="12"/>
      <c r="AM33" s="12"/>
      <c r="AN33" s="12"/>
      <c r="AO33" s="12"/>
      <c r="AP33" s="12"/>
    </row>
    <row r="34" spans="1:42" ht="15" x14ac:dyDescent="0.25">
      <c r="A34" s="82" t="str">
        <f>TDCTRIBE!I43</f>
        <v>Alaska</v>
      </c>
      <c r="B34" s="82" t="str">
        <f>TDCTRIBE!B43</f>
        <v>AK</v>
      </c>
      <c r="C34" s="82" t="str">
        <f>TDCTRIBE!F43</f>
        <v>Buckland</v>
      </c>
      <c r="D34" s="83">
        <f>TDCTRIBE!Y43</f>
        <v>537627.23286300001</v>
      </c>
      <c r="E34" s="83">
        <f>TDCTRIBE!Z43</f>
        <v>593892.8539060998</v>
      </c>
      <c r="F34" s="83">
        <f>TDCTRIBE!AA43</f>
        <v>670883.01826070005</v>
      </c>
      <c r="G34" s="83">
        <f>TDCTRIBE!AB43</f>
        <v>727154.03193440009</v>
      </c>
      <c r="H34" s="83">
        <f>TDCTRIBE!AC43</f>
        <v>784795.42359260004</v>
      </c>
      <c r="O34" s="9"/>
      <c r="P34" s="1"/>
      <c r="Q34" s="1"/>
      <c r="R34" s="1"/>
      <c r="S34" s="1"/>
      <c r="T34" s="1"/>
      <c r="U34" s="1"/>
      <c r="V34" s="9"/>
      <c r="W34" s="3"/>
      <c r="X34" s="4"/>
      <c r="Y34" s="1"/>
      <c r="Z34" s="1"/>
      <c r="AA34" s="1"/>
      <c r="AB34" s="1"/>
      <c r="AC34" s="1"/>
      <c r="AD34" s="3"/>
      <c r="AE34" s="3"/>
      <c r="AF34" s="5"/>
      <c r="AG34" s="5"/>
      <c r="AH34" s="5"/>
      <c r="AI34" s="5"/>
      <c r="AJ34" s="6"/>
      <c r="AK34" s="6"/>
      <c r="AL34" s="12"/>
      <c r="AM34" s="12"/>
      <c r="AN34" s="12"/>
      <c r="AO34" s="12"/>
      <c r="AP34" s="12"/>
    </row>
    <row r="35" spans="1:42" ht="14.25" customHeight="1" x14ac:dyDescent="0.25">
      <c r="A35" s="82" t="str">
        <f>TDCTRIBE!I44</f>
        <v>Alaska</v>
      </c>
      <c r="B35" s="82" t="str">
        <f>TDCTRIBE!B44</f>
        <v>AK</v>
      </c>
      <c r="C35" s="82" t="str">
        <f>TDCTRIBE!F44</f>
        <v>Calista Native Regional Corporation</v>
      </c>
      <c r="D35" s="83">
        <f>TDCTRIBE!Y44</f>
        <v>537627.23286300001</v>
      </c>
      <c r="E35" s="83">
        <f>TDCTRIBE!Z44</f>
        <v>593892.8539060998</v>
      </c>
      <c r="F35" s="83">
        <f>TDCTRIBE!AA44</f>
        <v>670883.01826070005</v>
      </c>
      <c r="G35" s="83">
        <f>TDCTRIBE!AB44</f>
        <v>727154.03193440009</v>
      </c>
      <c r="H35" s="83">
        <f>TDCTRIBE!AC44</f>
        <v>784795.42359260004</v>
      </c>
      <c r="O35" s="9"/>
      <c r="P35" s="1"/>
      <c r="Q35" s="1"/>
      <c r="R35" s="1"/>
      <c r="S35" s="1"/>
      <c r="T35" s="1"/>
      <c r="U35" s="1"/>
      <c r="V35" s="9"/>
      <c r="W35" s="3"/>
      <c r="X35" s="4"/>
      <c r="Y35" s="1"/>
      <c r="Z35" s="1"/>
      <c r="AA35" s="1"/>
      <c r="AB35" s="1"/>
      <c r="AC35" s="1"/>
      <c r="AD35" s="3"/>
      <c r="AE35" s="3"/>
      <c r="AF35" s="5"/>
      <c r="AG35" s="5"/>
      <c r="AH35" s="5"/>
      <c r="AI35" s="5"/>
      <c r="AJ35" s="6"/>
      <c r="AK35" s="6"/>
      <c r="AL35" s="12"/>
      <c r="AM35" s="12"/>
      <c r="AN35" s="12"/>
      <c r="AO35" s="12"/>
      <c r="AP35" s="12"/>
    </row>
    <row r="36" spans="1:42" ht="15" x14ac:dyDescent="0.25">
      <c r="A36" s="82" t="str">
        <f>TDCTRIBE!I45</f>
        <v>Alaska</v>
      </c>
      <c r="B36" s="82" t="str">
        <f>TDCTRIBE!B45</f>
        <v>AK</v>
      </c>
      <c r="C36" s="82" t="str">
        <f>TDCTRIBE!F45</f>
        <v>Cantwell</v>
      </c>
      <c r="D36" s="83">
        <f>TDCTRIBE!Y45</f>
        <v>465666.31849500001</v>
      </c>
      <c r="E36" s="83">
        <f>TDCTRIBE!Z45</f>
        <v>514428.62433899997</v>
      </c>
      <c r="F36" s="83">
        <f>TDCTRIBE!AA45</f>
        <v>581158.19019300013</v>
      </c>
      <c r="G36" s="83">
        <f>TDCTRIBE!AB45</f>
        <v>629926.37213100016</v>
      </c>
      <c r="H36" s="83">
        <f>TDCTRIBE!AC45</f>
        <v>679867.06659900001</v>
      </c>
      <c r="O36" s="9"/>
      <c r="P36" s="1"/>
      <c r="Q36" s="1"/>
      <c r="R36" s="1"/>
      <c r="S36" s="1"/>
      <c r="T36" s="1"/>
      <c r="U36" s="1"/>
      <c r="V36" s="9"/>
      <c r="W36" s="3"/>
      <c r="X36" s="4"/>
      <c r="Y36" s="1"/>
      <c r="Z36" s="1"/>
      <c r="AA36" s="1"/>
      <c r="AB36" s="1"/>
      <c r="AC36" s="1"/>
      <c r="AD36" s="3"/>
      <c r="AE36" s="3"/>
      <c r="AF36" s="5"/>
      <c r="AG36" s="5"/>
      <c r="AH36" s="5"/>
      <c r="AI36" s="5"/>
      <c r="AJ36" s="6"/>
      <c r="AK36" s="6"/>
      <c r="AL36" s="12"/>
      <c r="AM36" s="12"/>
      <c r="AN36" s="12"/>
      <c r="AO36" s="12"/>
      <c r="AP36" s="12"/>
    </row>
    <row r="37" spans="1:42" ht="15" x14ac:dyDescent="0.25">
      <c r="A37" s="82" t="str">
        <f>TDCTRIBE!I46</f>
        <v>Alaska</v>
      </c>
      <c r="B37" s="82" t="str">
        <f>TDCTRIBE!B46</f>
        <v>AK</v>
      </c>
      <c r="C37" s="82" t="str">
        <f>TDCTRIBE!F46</f>
        <v>Chalkyitsik</v>
      </c>
      <c r="D37" s="83">
        <f>TDCTRIBE!Y46</f>
        <v>537627.23286300001</v>
      </c>
      <c r="E37" s="83">
        <f>TDCTRIBE!Z46</f>
        <v>593892.8539060998</v>
      </c>
      <c r="F37" s="83">
        <f>TDCTRIBE!AA46</f>
        <v>670883.01826070005</v>
      </c>
      <c r="G37" s="83">
        <f>TDCTRIBE!AB46</f>
        <v>727154.03193440009</v>
      </c>
      <c r="H37" s="83">
        <f>TDCTRIBE!AC46</f>
        <v>784795.42359260004</v>
      </c>
      <c r="O37" s="9"/>
      <c r="P37" s="1"/>
      <c r="Q37" s="1"/>
      <c r="R37" s="1"/>
      <c r="S37" s="1"/>
      <c r="T37" s="1"/>
      <c r="U37" s="1"/>
      <c r="V37" s="9"/>
      <c r="W37" s="3"/>
      <c r="X37" s="4"/>
      <c r="Y37" s="1"/>
      <c r="Z37" s="1"/>
      <c r="AA37" s="1"/>
      <c r="AB37" s="1"/>
      <c r="AC37" s="1"/>
      <c r="AD37" s="3"/>
      <c r="AE37" s="3"/>
      <c r="AF37" s="5"/>
      <c r="AG37" s="5"/>
      <c r="AH37" s="5"/>
      <c r="AI37" s="5"/>
      <c r="AJ37" s="6"/>
      <c r="AK37" s="6"/>
      <c r="AL37" s="12"/>
      <c r="AM37" s="12"/>
      <c r="AN37" s="12"/>
      <c r="AO37" s="12"/>
      <c r="AP37" s="12"/>
    </row>
    <row r="38" spans="1:42" ht="15" x14ac:dyDescent="0.25">
      <c r="A38" s="82" t="str">
        <f>TDCTRIBE!I47</f>
        <v>Alaska</v>
      </c>
      <c r="B38" s="82" t="str">
        <f>TDCTRIBE!B47</f>
        <v>AK</v>
      </c>
      <c r="C38" s="82" t="str">
        <f>TDCTRIBE!F47</f>
        <v>Chanega</v>
      </c>
      <c r="D38" s="83">
        <f>TDCTRIBE!Y47</f>
        <v>465666.31849500001</v>
      </c>
      <c r="E38" s="83">
        <f>TDCTRIBE!Z47</f>
        <v>514428.62433899997</v>
      </c>
      <c r="F38" s="83">
        <f>TDCTRIBE!AA47</f>
        <v>581158.19019300013</v>
      </c>
      <c r="G38" s="83">
        <f>TDCTRIBE!AB47</f>
        <v>629926.37213100016</v>
      </c>
      <c r="H38" s="83">
        <f>TDCTRIBE!AC47</f>
        <v>679867.06659900001</v>
      </c>
      <c r="O38" s="9"/>
      <c r="P38" s="1"/>
      <c r="Q38" s="1"/>
      <c r="R38" s="1"/>
      <c r="S38" s="1"/>
      <c r="T38" s="1"/>
      <c r="U38" s="1"/>
      <c r="V38" s="9"/>
      <c r="W38" s="3"/>
      <c r="X38" s="4"/>
      <c r="Y38" s="1"/>
      <c r="Z38" s="1"/>
      <c r="AA38" s="1"/>
      <c r="AB38" s="1"/>
      <c r="AC38" s="1"/>
      <c r="AD38" s="3"/>
      <c r="AE38" s="3"/>
      <c r="AF38" s="5"/>
      <c r="AG38" s="5"/>
      <c r="AH38" s="5"/>
      <c r="AI38" s="5"/>
      <c r="AJ38" s="6"/>
      <c r="AK38" s="6"/>
      <c r="AL38" s="12"/>
      <c r="AM38" s="12"/>
      <c r="AN38" s="12"/>
      <c r="AO38" s="12"/>
      <c r="AP38" s="12"/>
    </row>
    <row r="39" spans="1:42" ht="15" x14ac:dyDescent="0.25">
      <c r="A39" s="82" t="str">
        <f>TDCTRIBE!I48</f>
        <v>Alaska</v>
      </c>
      <c r="B39" s="82" t="str">
        <f>TDCTRIBE!B48</f>
        <v>AK</v>
      </c>
      <c r="C39" s="82" t="str">
        <f>TDCTRIBE!F48</f>
        <v>Chefornak</v>
      </c>
      <c r="D39" s="83">
        <f>TDCTRIBE!Y48</f>
        <v>537627.23286300001</v>
      </c>
      <c r="E39" s="83">
        <f>TDCTRIBE!Z48</f>
        <v>593892.8539060998</v>
      </c>
      <c r="F39" s="83">
        <f>TDCTRIBE!AA48</f>
        <v>670883.01826070005</v>
      </c>
      <c r="G39" s="83">
        <f>TDCTRIBE!AB48</f>
        <v>727154.03193440009</v>
      </c>
      <c r="H39" s="83">
        <f>TDCTRIBE!AC48</f>
        <v>784795.42359260004</v>
      </c>
      <c r="O39" s="9"/>
      <c r="P39" s="1"/>
      <c r="Q39" s="1"/>
      <c r="R39" s="1"/>
      <c r="S39" s="1"/>
      <c r="T39" s="1"/>
      <c r="U39" s="1"/>
      <c r="V39" s="9"/>
      <c r="W39" s="3"/>
      <c r="X39" s="4"/>
      <c r="Y39" s="1"/>
      <c r="Z39" s="1"/>
      <c r="AA39" s="1"/>
      <c r="AB39" s="1"/>
      <c r="AC39" s="1"/>
      <c r="AD39" s="3"/>
      <c r="AE39" s="3"/>
      <c r="AF39" s="5"/>
      <c r="AG39" s="5"/>
      <c r="AH39" s="5"/>
      <c r="AI39" s="5"/>
      <c r="AJ39" s="6"/>
      <c r="AK39" s="6"/>
      <c r="AL39" s="12"/>
      <c r="AM39" s="12"/>
      <c r="AN39" s="12"/>
      <c r="AO39" s="12"/>
      <c r="AP39" s="12"/>
    </row>
    <row r="40" spans="1:42" ht="15" x14ac:dyDescent="0.25">
      <c r="A40" s="82" t="str">
        <f>TDCTRIBE!I49</f>
        <v>Alaska</v>
      </c>
      <c r="B40" s="82" t="str">
        <f>TDCTRIBE!B49</f>
        <v>AK</v>
      </c>
      <c r="C40" s="82" t="str">
        <f>TDCTRIBE!F49</f>
        <v>Chevak</v>
      </c>
      <c r="D40" s="83">
        <f>TDCTRIBE!Y49</f>
        <v>537627.23286300001</v>
      </c>
      <c r="E40" s="83">
        <f>TDCTRIBE!Z49</f>
        <v>593892.8539060998</v>
      </c>
      <c r="F40" s="83">
        <f>TDCTRIBE!AA49</f>
        <v>670883.01826070005</v>
      </c>
      <c r="G40" s="83">
        <f>TDCTRIBE!AB49</f>
        <v>727154.03193440009</v>
      </c>
      <c r="H40" s="83">
        <f>TDCTRIBE!AC49</f>
        <v>784795.42359260004</v>
      </c>
      <c r="O40" s="9"/>
      <c r="P40" s="1"/>
      <c r="Q40" s="1"/>
      <c r="R40" s="1"/>
      <c r="S40" s="1"/>
      <c r="T40" s="1"/>
      <c r="U40" s="1"/>
      <c r="V40" s="9"/>
      <c r="W40" s="3"/>
      <c r="X40" s="4"/>
      <c r="Y40" s="1"/>
      <c r="Z40" s="1"/>
      <c r="AA40" s="1"/>
      <c r="AB40" s="1"/>
      <c r="AC40" s="1"/>
      <c r="AD40" s="3"/>
      <c r="AE40" s="3"/>
      <c r="AF40" s="5"/>
      <c r="AG40" s="5"/>
      <c r="AH40" s="5"/>
      <c r="AI40" s="5"/>
      <c r="AJ40" s="6"/>
      <c r="AK40" s="6"/>
      <c r="AL40" s="12"/>
      <c r="AM40" s="12"/>
      <c r="AN40" s="12"/>
      <c r="AO40" s="12"/>
      <c r="AP40" s="12"/>
    </row>
    <row r="41" spans="1:42" ht="15" x14ac:dyDescent="0.25">
      <c r="A41" s="82" t="str">
        <f>TDCTRIBE!I50</f>
        <v>Alaska</v>
      </c>
      <c r="B41" s="82" t="str">
        <f>TDCTRIBE!B50</f>
        <v>AK</v>
      </c>
      <c r="C41" s="82" t="str">
        <f>TDCTRIBE!F50</f>
        <v>Chickaloon</v>
      </c>
      <c r="D41" s="83">
        <f>TDCTRIBE!Y50</f>
        <v>465666.31849500001</v>
      </c>
      <c r="E41" s="83">
        <f>TDCTRIBE!Z50</f>
        <v>514428.62433899997</v>
      </c>
      <c r="F41" s="83">
        <f>TDCTRIBE!AA50</f>
        <v>581158.19019300013</v>
      </c>
      <c r="G41" s="83">
        <f>TDCTRIBE!AB50</f>
        <v>629926.37213100016</v>
      </c>
      <c r="H41" s="83">
        <f>TDCTRIBE!AC50</f>
        <v>679867.06659900001</v>
      </c>
      <c r="O41" s="9"/>
      <c r="P41" s="1"/>
      <c r="Q41" s="1"/>
      <c r="R41" s="1"/>
      <c r="S41" s="1"/>
      <c r="T41" s="1"/>
      <c r="U41" s="1"/>
      <c r="V41" s="9"/>
      <c r="W41" s="3"/>
      <c r="X41" s="4"/>
      <c r="Y41" s="1"/>
      <c r="Z41" s="1"/>
      <c r="AA41" s="1"/>
      <c r="AB41" s="1"/>
      <c r="AC41" s="1"/>
      <c r="AD41" s="3"/>
      <c r="AE41" s="3"/>
      <c r="AF41" s="5"/>
      <c r="AG41" s="5"/>
      <c r="AH41" s="5"/>
      <c r="AI41" s="5"/>
      <c r="AJ41" s="6"/>
      <c r="AK41" s="6"/>
      <c r="AL41" s="12"/>
      <c r="AM41" s="12"/>
      <c r="AN41" s="12"/>
      <c r="AO41" s="12"/>
      <c r="AP41" s="12"/>
    </row>
    <row r="42" spans="1:42" ht="15" x14ac:dyDescent="0.25">
      <c r="A42" s="82" t="str">
        <f>TDCTRIBE!I51</f>
        <v>Alaska</v>
      </c>
      <c r="B42" s="82" t="str">
        <f>TDCTRIBE!B51</f>
        <v>AK</v>
      </c>
      <c r="C42" s="82" t="str">
        <f>TDCTRIBE!F51</f>
        <v>Chignik</v>
      </c>
      <c r="D42" s="83">
        <f>TDCTRIBE!Y51</f>
        <v>537627.23286300001</v>
      </c>
      <c r="E42" s="83">
        <f>TDCTRIBE!Z51</f>
        <v>593892.8539060998</v>
      </c>
      <c r="F42" s="83">
        <f>TDCTRIBE!AA51</f>
        <v>670883.01826070005</v>
      </c>
      <c r="G42" s="83">
        <f>TDCTRIBE!AB51</f>
        <v>727154.03193440009</v>
      </c>
      <c r="H42" s="83">
        <f>TDCTRIBE!AC51</f>
        <v>784795.42359260004</v>
      </c>
      <c r="O42" s="9"/>
      <c r="P42" s="1"/>
      <c r="Q42" s="1"/>
      <c r="R42" s="1"/>
      <c r="S42" s="1"/>
      <c r="T42" s="1"/>
      <c r="U42" s="1"/>
      <c r="V42" s="9"/>
      <c r="W42" s="3"/>
      <c r="X42" s="4"/>
      <c r="Y42" s="1"/>
      <c r="Z42" s="1"/>
      <c r="AA42" s="1"/>
      <c r="AB42" s="1"/>
      <c r="AC42" s="1"/>
      <c r="AD42" s="3"/>
      <c r="AE42" s="3"/>
      <c r="AF42" s="5"/>
      <c r="AG42" s="5"/>
      <c r="AH42" s="5"/>
      <c r="AI42" s="5"/>
      <c r="AJ42" s="6"/>
      <c r="AK42" s="6"/>
      <c r="AL42" s="12"/>
      <c r="AM42" s="12"/>
      <c r="AN42" s="12"/>
      <c r="AO42" s="12"/>
      <c r="AP42" s="12"/>
    </row>
    <row r="43" spans="1:42" ht="15" x14ac:dyDescent="0.25">
      <c r="A43" s="82" t="str">
        <f>TDCTRIBE!I52</f>
        <v>Alaska</v>
      </c>
      <c r="B43" s="82" t="str">
        <f>TDCTRIBE!B52</f>
        <v>AK</v>
      </c>
      <c r="C43" s="82" t="str">
        <f>TDCTRIBE!F52</f>
        <v>Chignik Lagoon</v>
      </c>
      <c r="D43" s="83">
        <f>TDCTRIBE!Y52</f>
        <v>537627.23286300001</v>
      </c>
      <c r="E43" s="83">
        <f>TDCTRIBE!Z52</f>
        <v>593892.8539060998</v>
      </c>
      <c r="F43" s="83">
        <f>TDCTRIBE!AA52</f>
        <v>670883.01826070005</v>
      </c>
      <c r="G43" s="83">
        <f>TDCTRIBE!AB52</f>
        <v>727154.03193440009</v>
      </c>
      <c r="H43" s="83">
        <f>TDCTRIBE!AC52</f>
        <v>784795.42359260004</v>
      </c>
      <c r="O43" s="9"/>
      <c r="P43" s="1"/>
      <c r="Q43" s="1"/>
      <c r="R43" s="1"/>
      <c r="S43" s="1"/>
      <c r="T43" s="1"/>
      <c r="U43" s="1"/>
      <c r="V43" s="9"/>
      <c r="W43" s="3"/>
      <c r="X43" s="4"/>
      <c r="Y43" s="1"/>
      <c r="Z43" s="1"/>
      <c r="AA43" s="1"/>
      <c r="AB43" s="1"/>
      <c r="AC43" s="1"/>
      <c r="AD43" s="3"/>
      <c r="AE43" s="3"/>
      <c r="AF43" s="5"/>
      <c r="AG43" s="5"/>
      <c r="AH43" s="5"/>
      <c r="AI43" s="5"/>
      <c r="AJ43" s="6"/>
      <c r="AK43" s="6"/>
      <c r="AL43" s="12"/>
      <c r="AM43" s="12"/>
      <c r="AN43" s="12"/>
      <c r="AO43" s="12"/>
      <c r="AP43" s="12"/>
    </row>
    <row r="44" spans="1:42" ht="15" x14ac:dyDescent="0.25">
      <c r="A44" s="82" t="str">
        <f>TDCTRIBE!I53</f>
        <v>Alaska</v>
      </c>
      <c r="B44" s="82" t="str">
        <f>TDCTRIBE!B53</f>
        <v>AK</v>
      </c>
      <c r="C44" s="82" t="str">
        <f>TDCTRIBE!F53</f>
        <v>Chignik Lake</v>
      </c>
      <c r="D44" s="83">
        <f>TDCTRIBE!Y53</f>
        <v>537627.23286300001</v>
      </c>
      <c r="E44" s="83">
        <f>TDCTRIBE!Z53</f>
        <v>593892.8539060998</v>
      </c>
      <c r="F44" s="83">
        <f>TDCTRIBE!AA53</f>
        <v>670883.01826070005</v>
      </c>
      <c r="G44" s="83">
        <f>TDCTRIBE!AB53</f>
        <v>727154.03193440009</v>
      </c>
      <c r="H44" s="83">
        <f>TDCTRIBE!AC53</f>
        <v>784795.42359260004</v>
      </c>
      <c r="O44" s="9"/>
      <c r="P44" s="1"/>
      <c r="Q44" s="1"/>
      <c r="R44" s="1"/>
      <c r="S44" s="1"/>
      <c r="T44" s="1"/>
      <c r="U44" s="1"/>
      <c r="V44" s="9"/>
      <c r="W44" s="3"/>
      <c r="X44" s="4"/>
      <c r="Y44" s="1"/>
      <c r="Z44" s="1"/>
      <c r="AA44" s="1"/>
      <c r="AB44" s="1"/>
      <c r="AC44" s="1"/>
      <c r="AD44" s="3"/>
      <c r="AE44" s="3"/>
      <c r="AF44" s="5"/>
      <c r="AG44" s="5"/>
      <c r="AH44" s="5"/>
      <c r="AI44" s="5"/>
      <c r="AJ44" s="6"/>
      <c r="AK44" s="6"/>
      <c r="AL44" s="12"/>
      <c r="AM44" s="12"/>
      <c r="AN44" s="12"/>
      <c r="AO44" s="12"/>
      <c r="AP44" s="12"/>
    </row>
    <row r="45" spans="1:42" ht="15" x14ac:dyDescent="0.25">
      <c r="A45" s="82" t="str">
        <f>TDCTRIBE!I54</f>
        <v>Alaska</v>
      </c>
      <c r="B45" s="82" t="str">
        <f>TDCTRIBE!B54</f>
        <v>AK</v>
      </c>
      <c r="C45" s="82" t="str">
        <f>TDCTRIBE!F54</f>
        <v>Chilkat</v>
      </c>
      <c r="D45" s="83">
        <f>TDCTRIBE!Y54</f>
        <v>465666.31849500001</v>
      </c>
      <c r="E45" s="83">
        <f>TDCTRIBE!Z54</f>
        <v>514428.62433899997</v>
      </c>
      <c r="F45" s="83">
        <f>TDCTRIBE!AA54</f>
        <v>581158.19019300013</v>
      </c>
      <c r="G45" s="83">
        <f>TDCTRIBE!AB54</f>
        <v>629926.37213100016</v>
      </c>
      <c r="H45" s="83">
        <f>TDCTRIBE!AC54</f>
        <v>679867.06659900001</v>
      </c>
      <c r="O45" s="9"/>
      <c r="P45" s="1"/>
      <c r="Q45" s="1"/>
      <c r="R45" s="1"/>
      <c r="S45" s="1"/>
      <c r="T45" s="1"/>
      <c r="U45" s="1"/>
      <c r="V45" s="9"/>
      <c r="W45" s="3"/>
      <c r="X45" s="4"/>
      <c r="Y45" s="1"/>
      <c r="Z45" s="1"/>
      <c r="AA45" s="1"/>
      <c r="AB45" s="1"/>
      <c r="AC45" s="1"/>
      <c r="AD45" s="3"/>
      <c r="AE45" s="3"/>
      <c r="AF45" s="5"/>
      <c r="AG45" s="5"/>
      <c r="AH45" s="5"/>
      <c r="AI45" s="5"/>
      <c r="AJ45" s="6"/>
      <c r="AK45" s="6"/>
      <c r="AL45" s="12"/>
      <c r="AM45" s="12"/>
      <c r="AN45" s="12"/>
      <c r="AO45" s="12"/>
      <c r="AP45" s="12"/>
    </row>
    <row r="46" spans="1:42" ht="15" x14ac:dyDescent="0.25">
      <c r="A46" s="82" t="str">
        <f>TDCTRIBE!I55</f>
        <v>Alaska</v>
      </c>
      <c r="B46" s="82" t="str">
        <f>TDCTRIBE!B55</f>
        <v>AK</v>
      </c>
      <c r="C46" s="82" t="str">
        <f>TDCTRIBE!F55</f>
        <v>Chilkoot</v>
      </c>
      <c r="D46" s="83">
        <f>TDCTRIBE!Y55</f>
        <v>465666.31849500001</v>
      </c>
      <c r="E46" s="83">
        <f>TDCTRIBE!Z55</f>
        <v>514428.62433899997</v>
      </c>
      <c r="F46" s="83">
        <f>TDCTRIBE!AA55</f>
        <v>581158.19019300013</v>
      </c>
      <c r="G46" s="83">
        <f>TDCTRIBE!AB55</f>
        <v>629926.37213100016</v>
      </c>
      <c r="H46" s="83">
        <f>TDCTRIBE!AC55</f>
        <v>679867.06659900001</v>
      </c>
      <c r="O46" s="9"/>
      <c r="P46" s="1"/>
      <c r="Q46" s="1"/>
      <c r="R46" s="1"/>
      <c r="S46" s="1"/>
      <c r="T46" s="1"/>
      <c r="U46" s="1"/>
      <c r="V46" s="9"/>
      <c r="W46" s="3"/>
      <c r="X46" s="4"/>
      <c r="Y46" s="1"/>
      <c r="Z46" s="1"/>
      <c r="AA46" s="1"/>
      <c r="AB46" s="1"/>
      <c r="AC46" s="1"/>
      <c r="AD46" s="3"/>
      <c r="AE46" s="3"/>
      <c r="AF46" s="5"/>
      <c r="AG46" s="5"/>
      <c r="AH46" s="5"/>
      <c r="AI46" s="5"/>
      <c r="AJ46" s="6"/>
      <c r="AK46" s="6"/>
      <c r="AL46" s="12"/>
      <c r="AM46" s="12"/>
      <c r="AN46" s="12"/>
      <c r="AO46" s="12"/>
      <c r="AP46" s="12"/>
    </row>
    <row r="47" spans="1:42" ht="15" x14ac:dyDescent="0.25">
      <c r="A47" s="82" t="str">
        <f>TDCTRIBE!I56</f>
        <v>Alaska</v>
      </c>
      <c r="B47" s="82" t="str">
        <f>TDCTRIBE!B56</f>
        <v>AK</v>
      </c>
      <c r="C47" s="82" t="str">
        <f>TDCTRIBE!F56</f>
        <v>Chistochina</v>
      </c>
      <c r="D47" s="83">
        <f>TDCTRIBE!Y56</f>
        <v>537627.23286300001</v>
      </c>
      <c r="E47" s="83">
        <f>TDCTRIBE!Z56</f>
        <v>593892.8539060998</v>
      </c>
      <c r="F47" s="83">
        <f>TDCTRIBE!AA56</f>
        <v>670883.01826070005</v>
      </c>
      <c r="G47" s="83">
        <f>TDCTRIBE!AB56</f>
        <v>727154.03193440009</v>
      </c>
      <c r="H47" s="83">
        <f>TDCTRIBE!AC56</f>
        <v>784795.42359260004</v>
      </c>
      <c r="O47" s="9"/>
      <c r="P47" s="1"/>
      <c r="Q47" s="1"/>
      <c r="R47" s="1"/>
      <c r="S47" s="1"/>
      <c r="T47" s="1"/>
      <c r="U47" s="1"/>
      <c r="V47" s="9"/>
      <c r="W47" s="3"/>
      <c r="X47" s="4"/>
      <c r="Y47" s="1"/>
      <c r="Z47" s="1"/>
      <c r="AA47" s="1"/>
      <c r="AB47" s="1"/>
      <c r="AC47" s="1"/>
      <c r="AD47" s="3"/>
      <c r="AE47" s="3"/>
      <c r="AF47" s="5"/>
      <c r="AG47" s="5"/>
      <c r="AH47" s="5"/>
      <c r="AI47" s="5"/>
      <c r="AJ47" s="6"/>
      <c r="AK47" s="6"/>
      <c r="AL47" s="12"/>
      <c r="AM47" s="12"/>
      <c r="AN47" s="12"/>
      <c r="AO47" s="12"/>
      <c r="AP47" s="12"/>
    </row>
    <row r="48" spans="1:42" ht="15" x14ac:dyDescent="0.25">
      <c r="A48" s="82" t="str">
        <f>TDCTRIBE!I57</f>
        <v>Alaska</v>
      </c>
      <c r="B48" s="82" t="str">
        <f>TDCTRIBE!B57</f>
        <v>AK</v>
      </c>
      <c r="C48" s="82" t="str">
        <f>TDCTRIBE!F57</f>
        <v>Chitina</v>
      </c>
      <c r="D48" s="83">
        <f>TDCTRIBE!Y57</f>
        <v>537627.23286300001</v>
      </c>
      <c r="E48" s="83">
        <f>TDCTRIBE!Z57</f>
        <v>593892.8539060998</v>
      </c>
      <c r="F48" s="83">
        <f>TDCTRIBE!AA57</f>
        <v>670883.01826070005</v>
      </c>
      <c r="G48" s="83">
        <f>TDCTRIBE!AB57</f>
        <v>727154.03193440009</v>
      </c>
      <c r="H48" s="83">
        <f>TDCTRIBE!AC57</f>
        <v>784795.42359260004</v>
      </c>
      <c r="O48" s="9"/>
      <c r="P48" s="1"/>
      <c r="Q48" s="1"/>
      <c r="R48" s="1"/>
      <c r="S48" s="1"/>
      <c r="T48" s="1"/>
      <c r="U48" s="1"/>
      <c r="V48" s="9"/>
      <c r="W48" s="3"/>
      <c r="X48" s="4"/>
      <c r="Y48" s="1"/>
      <c r="Z48" s="1"/>
      <c r="AA48" s="1"/>
      <c r="AB48" s="1"/>
      <c r="AC48" s="1"/>
      <c r="AD48" s="3"/>
      <c r="AE48" s="3"/>
      <c r="AF48" s="5"/>
      <c r="AG48" s="5"/>
      <c r="AH48" s="5"/>
      <c r="AI48" s="5"/>
      <c r="AJ48" s="6"/>
      <c r="AK48" s="6"/>
      <c r="AL48" s="12"/>
      <c r="AM48" s="12"/>
      <c r="AN48" s="12"/>
      <c r="AO48" s="12"/>
      <c r="AP48" s="12"/>
    </row>
    <row r="49" spans="1:42" ht="15" x14ac:dyDescent="0.25">
      <c r="A49" s="82" t="str">
        <f>TDCTRIBE!I58</f>
        <v>Alaska</v>
      </c>
      <c r="B49" s="82" t="str">
        <f>TDCTRIBE!B58</f>
        <v>AK</v>
      </c>
      <c r="C49" s="82" t="str">
        <f>TDCTRIBE!F58</f>
        <v>Chuathbaluk</v>
      </c>
      <c r="D49" s="83">
        <f>TDCTRIBE!Y58</f>
        <v>537627.23286300001</v>
      </c>
      <c r="E49" s="83">
        <f>TDCTRIBE!Z58</f>
        <v>593892.8539060998</v>
      </c>
      <c r="F49" s="83">
        <f>TDCTRIBE!AA58</f>
        <v>670883.01826070005</v>
      </c>
      <c r="G49" s="83">
        <f>TDCTRIBE!AB58</f>
        <v>727154.03193440009</v>
      </c>
      <c r="H49" s="83">
        <f>TDCTRIBE!AC58</f>
        <v>784795.42359260004</v>
      </c>
      <c r="O49" s="9"/>
      <c r="P49" s="1"/>
      <c r="Q49" s="1"/>
      <c r="R49" s="1"/>
      <c r="S49" s="1"/>
      <c r="T49" s="1"/>
      <c r="U49" s="1"/>
      <c r="V49" s="9"/>
      <c r="W49" s="3"/>
      <c r="X49" s="4"/>
      <c r="Y49" s="1"/>
      <c r="Z49" s="1"/>
      <c r="AA49" s="1"/>
      <c r="AB49" s="1"/>
      <c r="AC49" s="1"/>
      <c r="AD49" s="3"/>
      <c r="AE49" s="3"/>
      <c r="AF49" s="5"/>
      <c r="AG49" s="5"/>
      <c r="AH49" s="5"/>
      <c r="AI49" s="5"/>
      <c r="AJ49" s="6"/>
      <c r="AK49" s="6"/>
      <c r="AL49" s="12"/>
      <c r="AM49" s="12"/>
      <c r="AN49" s="12"/>
      <c r="AO49" s="12"/>
      <c r="AP49" s="12"/>
    </row>
    <row r="50" spans="1:42" ht="15" x14ac:dyDescent="0.25">
      <c r="A50" s="82" t="str">
        <f>TDCTRIBE!I59</f>
        <v>Alaska</v>
      </c>
      <c r="B50" s="82" t="str">
        <f>TDCTRIBE!B59</f>
        <v>AK</v>
      </c>
      <c r="C50" s="82" t="str">
        <f>TDCTRIBE!F59</f>
        <v>Chugach Native Regional Corporation</v>
      </c>
      <c r="D50" s="83">
        <f>TDCTRIBE!Y59</f>
        <v>465666.31849500001</v>
      </c>
      <c r="E50" s="83">
        <f>TDCTRIBE!Z59</f>
        <v>514428.62433899997</v>
      </c>
      <c r="F50" s="83">
        <f>TDCTRIBE!AA59</f>
        <v>581158.19019300013</v>
      </c>
      <c r="G50" s="83">
        <f>TDCTRIBE!AB59</f>
        <v>629926.37213100016</v>
      </c>
      <c r="H50" s="83">
        <f>TDCTRIBE!AC59</f>
        <v>679867.06659900001</v>
      </c>
      <c r="O50" s="9"/>
      <c r="P50" s="1"/>
      <c r="Q50" s="1"/>
      <c r="R50" s="1"/>
      <c r="S50" s="1"/>
      <c r="T50" s="1"/>
      <c r="U50" s="1"/>
      <c r="V50" s="9"/>
      <c r="W50" s="3"/>
      <c r="X50" s="4"/>
      <c r="Y50" s="1"/>
      <c r="Z50" s="1"/>
      <c r="AA50" s="1"/>
      <c r="AB50" s="1"/>
      <c r="AC50" s="1"/>
      <c r="AD50" s="3"/>
      <c r="AE50" s="3"/>
      <c r="AF50" s="5"/>
      <c r="AG50" s="5"/>
      <c r="AH50" s="5"/>
      <c r="AI50" s="5"/>
      <c r="AJ50" s="6"/>
      <c r="AK50" s="6"/>
      <c r="AL50" s="12"/>
      <c r="AM50" s="12"/>
      <c r="AN50" s="12"/>
      <c r="AO50" s="12"/>
      <c r="AP50" s="12"/>
    </row>
    <row r="51" spans="1:42" ht="15" x14ac:dyDescent="0.25">
      <c r="A51" s="82" t="str">
        <f>TDCTRIBE!I60</f>
        <v>Alaska</v>
      </c>
      <c r="B51" s="82" t="str">
        <f>TDCTRIBE!B60</f>
        <v>AK</v>
      </c>
      <c r="C51" s="82" t="str">
        <f>TDCTRIBE!F60</f>
        <v>Chuloonawick</v>
      </c>
      <c r="D51" s="83">
        <f>TDCTRIBE!Y60</f>
        <v>537627.23286300001</v>
      </c>
      <c r="E51" s="83">
        <f>TDCTRIBE!Z60</f>
        <v>593892.8539060998</v>
      </c>
      <c r="F51" s="83">
        <f>TDCTRIBE!AA60</f>
        <v>670883.01826070005</v>
      </c>
      <c r="G51" s="83">
        <f>TDCTRIBE!AB60</f>
        <v>727154.03193440009</v>
      </c>
      <c r="H51" s="83">
        <f>TDCTRIBE!AC60</f>
        <v>784795.42359260004</v>
      </c>
      <c r="O51" s="9"/>
      <c r="P51" s="1"/>
      <c r="Q51" s="1"/>
      <c r="R51" s="1"/>
      <c r="S51" s="1"/>
      <c r="T51" s="1"/>
      <c r="U51" s="1"/>
      <c r="V51" s="9"/>
      <c r="W51" s="3"/>
      <c r="X51" s="4"/>
      <c r="Y51" s="1"/>
      <c r="Z51" s="1"/>
      <c r="AA51" s="1"/>
      <c r="AB51" s="1"/>
      <c r="AC51" s="1"/>
      <c r="AD51" s="3"/>
      <c r="AE51" s="3"/>
      <c r="AF51" s="5"/>
      <c r="AG51" s="5"/>
      <c r="AH51" s="5"/>
      <c r="AI51" s="5"/>
      <c r="AJ51" s="6"/>
      <c r="AK51" s="6"/>
      <c r="AL51" s="12"/>
      <c r="AM51" s="12"/>
      <c r="AN51" s="12"/>
      <c r="AO51" s="12"/>
      <c r="AP51" s="12"/>
    </row>
    <row r="52" spans="1:42" ht="15" x14ac:dyDescent="0.25">
      <c r="A52" s="82" t="str">
        <f>TDCTRIBE!I61</f>
        <v>Alaska</v>
      </c>
      <c r="B52" s="82" t="str">
        <f>TDCTRIBE!B61</f>
        <v>AK</v>
      </c>
      <c r="C52" s="82" t="str">
        <f>TDCTRIBE!F61</f>
        <v>Circle</v>
      </c>
      <c r="D52" s="83">
        <f>TDCTRIBE!Y61</f>
        <v>537627.23286300001</v>
      </c>
      <c r="E52" s="83">
        <f>TDCTRIBE!Z61</f>
        <v>593892.8539060998</v>
      </c>
      <c r="F52" s="83">
        <f>TDCTRIBE!AA61</f>
        <v>670883.01826070005</v>
      </c>
      <c r="G52" s="83">
        <f>TDCTRIBE!AB61</f>
        <v>727154.03193440009</v>
      </c>
      <c r="H52" s="83">
        <f>TDCTRIBE!AC61</f>
        <v>784795.42359260004</v>
      </c>
      <c r="O52" s="9"/>
      <c r="P52" s="1"/>
      <c r="Q52" s="1"/>
      <c r="R52" s="1"/>
      <c r="S52" s="1"/>
      <c r="T52" s="1"/>
      <c r="U52" s="1"/>
      <c r="V52" s="9"/>
      <c r="W52" s="3"/>
      <c r="X52" s="4"/>
      <c r="Y52" s="1"/>
      <c r="Z52" s="1"/>
      <c r="AA52" s="1"/>
      <c r="AB52" s="1"/>
      <c r="AC52" s="1"/>
      <c r="AD52" s="3"/>
      <c r="AE52" s="3"/>
      <c r="AF52" s="5"/>
      <c r="AG52" s="5"/>
      <c r="AH52" s="5"/>
      <c r="AI52" s="5"/>
      <c r="AJ52" s="6"/>
      <c r="AK52" s="6"/>
      <c r="AL52" s="12"/>
      <c r="AM52" s="12"/>
      <c r="AN52" s="12"/>
      <c r="AO52" s="12"/>
      <c r="AP52" s="12"/>
    </row>
    <row r="53" spans="1:42" ht="15" x14ac:dyDescent="0.25">
      <c r="A53" s="82" t="str">
        <f>TDCTRIBE!I62</f>
        <v>Alaska</v>
      </c>
      <c r="B53" s="82" t="str">
        <f>TDCTRIBE!B62</f>
        <v>AK</v>
      </c>
      <c r="C53" s="82" t="str">
        <f>TDCTRIBE!F62</f>
        <v>Clark's Point</v>
      </c>
      <c r="D53" s="83">
        <f>TDCTRIBE!Y62</f>
        <v>537627.23286300001</v>
      </c>
      <c r="E53" s="83">
        <f>TDCTRIBE!Z62</f>
        <v>593892.8539060998</v>
      </c>
      <c r="F53" s="83">
        <f>TDCTRIBE!AA62</f>
        <v>670883.01826070005</v>
      </c>
      <c r="G53" s="83">
        <f>TDCTRIBE!AB62</f>
        <v>727154.03193440009</v>
      </c>
      <c r="H53" s="83">
        <f>TDCTRIBE!AC62</f>
        <v>784795.42359260004</v>
      </c>
      <c r="O53" s="9"/>
      <c r="P53" s="1"/>
      <c r="Q53" s="1"/>
      <c r="R53" s="1"/>
      <c r="S53" s="1"/>
      <c r="T53" s="1"/>
      <c r="U53" s="1"/>
      <c r="V53" s="9"/>
      <c r="W53" s="3"/>
      <c r="X53" s="4"/>
      <c r="Y53" s="1"/>
      <c r="Z53" s="1"/>
      <c r="AA53" s="1"/>
      <c r="AB53" s="1"/>
      <c r="AC53" s="1"/>
      <c r="AD53" s="3"/>
      <c r="AE53" s="3"/>
      <c r="AF53" s="5"/>
      <c r="AG53" s="5"/>
      <c r="AH53" s="5"/>
      <c r="AI53" s="5"/>
      <c r="AJ53" s="6"/>
      <c r="AK53" s="6"/>
      <c r="AL53" s="12"/>
      <c r="AM53" s="12"/>
      <c r="AN53" s="12"/>
      <c r="AO53" s="12"/>
      <c r="AP53" s="12"/>
    </row>
    <row r="54" spans="1:42" ht="15" x14ac:dyDescent="0.25">
      <c r="A54" s="82" t="str">
        <f>TDCTRIBE!I63</f>
        <v>Alaska</v>
      </c>
      <c r="B54" s="82" t="str">
        <f>TDCTRIBE!B63</f>
        <v>AK</v>
      </c>
      <c r="C54" s="82" t="str">
        <f>TDCTRIBE!F63</f>
        <v>Cook Inlet Native Regional Corporation</v>
      </c>
      <c r="D54" s="83">
        <f>TDCTRIBE!Y63</f>
        <v>465666.31849500001</v>
      </c>
      <c r="E54" s="83">
        <f>TDCTRIBE!Z63</f>
        <v>514428.62433899997</v>
      </c>
      <c r="F54" s="83">
        <f>TDCTRIBE!AA63</f>
        <v>581158.19019300013</v>
      </c>
      <c r="G54" s="83">
        <f>TDCTRIBE!AB63</f>
        <v>629926.37213100016</v>
      </c>
      <c r="H54" s="83">
        <f>TDCTRIBE!AC63</f>
        <v>679867.06659900001</v>
      </c>
      <c r="O54" s="9"/>
      <c r="P54" s="1"/>
      <c r="Q54" s="1"/>
      <c r="R54" s="1"/>
      <c r="S54" s="1"/>
      <c r="T54" s="1"/>
      <c r="U54" s="1"/>
      <c r="V54" s="9"/>
      <c r="W54" s="3"/>
      <c r="X54" s="4"/>
      <c r="Y54" s="1"/>
      <c r="Z54" s="1"/>
      <c r="AA54" s="1"/>
      <c r="AB54" s="1"/>
      <c r="AC54" s="1"/>
      <c r="AD54" s="3"/>
      <c r="AE54" s="3"/>
      <c r="AF54" s="5"/>
      <c r="AG54" s="5"/>
      <c r="AH54" s="5"/>
      <c r="AI54" s="5"/>
      <c r="AJ54" s="6"/>
      <c r="AK54" s="6"/>
      <c r="AL54" s="12"/>
      <c r="AM54" s="12"/>
      <c r="AN54" s="12"/>
      <c r="AO54" s="12"/>
      <c r="AP54" s="12"/>
    </row>
    <row r="55" spans="1:42" ht="15" x14ac:dyDescent="0.25">
      <c r="A55" s="82" t="str">
        <f>TDCTRIBE!I64</f>
        <v>Alaska</v>
      </c>
      <c r="B55" s="82" t="str">
        <f>TDCTRIBE!B64</f>
        <v>AK</v>
      </c>
      <c r="C55" s="82" t="str">
        <f>TDCTRIBE!F64</f>
        <v>Council</v>
      </c>
      <c r="D55" s="83">
        <f>TDCTRIBE!Y64</f>
        <v>537627.23286300001</v>
      </c>
      <c r="E55" s="83">
        <f>TDCTRIBE!Z64</f>
        <v>593892.8539060998</v>
      </c>
      <c r="F55" s="83">
        <f>TDCTRIBE!AA64</f>
        <v>670883.01826070005</v>
      </c>
      <c r="G55" s="83">
        <f>TDCTRIBE!AB64</f>
        <v>727154.03193440009</v>
      </c>
      <c r="H55" s="83">
        <f>TDCTRIBE!AC64</f>
        <v>784795.42359260004</v>
      </c>
      <c r="O55" s="9"/>
      <c r="P55" s="1"/>
      <c r="Q55" s="1"/>
      <c r="R55" s="1"/>
      <c r="S55" s="1"/>
      <c r="T55" s="1"/>
      <c r="U55" s="1"/>
      <c r="V55" s="9"/>
      <c r="W55" s="3"/>
      <c r="X55" s="4"/>
      <c r="Y55" s="1"/>
      <c r="Z55" s="1"/>
      <c r="AA55" s="1"/>
      <c r="AB55" s="1"/>
      <c r="AC55" s="1"/>
      <c r="AD55" s="3"/>
      <c r="AE55" s="3"/>
      <c r="AF55" s="5"/>
      <c r="AG55" s="5"/>
      <c r="AH55" s="5"/>
      <c r="AI55" s="5"/>
      <c r="AJ55" s="6"/>
      <c r="AK55" s="6"/>
      <c r="AL55" s="12"/>
      <c r="AM55" s="12"/>
      <c r="AN55" s="12"/>
      <c r="AO55" s="12"/>
      <c r="AP55" s="12"/>
    </row>
    <row r="56" spans="1:42" ht="15" x14ac:dyDescent="0.25">
      <c r="A56" s="82" t="str">
        <f>TDCTRIBE!I65</f>
        <v>Alaska</v>
      </c>
      <c r="B56" s="82" t="str">
        <f>TDCTRIBE!B65</f>
        <v>AK</v>
      </c>
      <c r="C56" s="82" t="str">
        <f>TDCTRIBE!F65</f>
        <v>Craig</v>
      </c>
      <c r="D56" s="83">
        <f>TDCTRIBE!Y65</f>
        <v>465666.31849500001</v>
      </c>
      <c r="E56" s="83">
        <f>TDCTRIBE!Z65</f>
        <v>514428.62433899997</v>
      </c>
      <c r="F56" s="83">
        <f>TDCTRIBE!AA65</f>
        <v>581158.19019300013</v>
      </c>
      <c r="G56" s="83">
        <f>TDCTRIBE!AB65</f>
        <v>629926.37213100016</v>
      </c>
      <c r="H56" s="83">
        <f>TDCTRIBE!AC65</f>
        <v>679867.06659900001</v>
      </c>
      <c r="O56" s="9"/>
      <c r="P56" s="1"/>
      <c r="Q56" s="1"/>
      <c r="R56" s="1"/>
      <c r="S56" s="1"/>
      <c r="T56" s="1"/>
      <c r="U56" s="1"/>
      <c r="V56" s="9"/>
      <c r="W56" s="3"/>
      <c r="X56" s="4"/>
      <c r="Y56" s="1"/>
      <c r="Z56" s="1"/>
      <c r="AA56" s="1"/>
      <c r="AB56" s="1"/>
      <c r="AC56" s="1"/>
      <c r="AD56" s="3"/>
      <c r="AE56" s="3"/>
      <c r="AF56" s="5"/>
      <c r="AG56" s="5"/>
      <c r="AH56" s="5"/>
      <c r="AI56" s="5"/>
      <c r="AJ56" s="6"/>
      <c r="AK56" s="6"/>
      <c r="AL56" s="12"/>
      <c r="AM56" s="12"/>
      <c r="AN56" s="12"/>
      <c r="AO56" s="12"/>
      <c r="AP56" s="12"/>
    </row>
    <row r="57" spans="1:42" ht="15" x14ac:dyDescent="0.25">
      <c r="A57" s="82" t="str">
        <f>TDCTRIBE!I66</f>
        <v>Alaska</v>
      </c>
      <c r="B57" s="82" t="str">
        <f>TDCTRIBE!B66</f>
        <v>AK</v>
      </c>
      <c r="C57" s="82" t="str">
        <f>TDCTRIBE!F66</f>
        <v>Crooked Creek</v>
      </c>
      <c r="D57" s="83">
        <f>TDCTRIBE!Y66</f>
        <v>537627.23286300001</v>
      </c>
      <c r="E57" s="83">
        <f>TDCTRIBE!Z66</f>
        <v>593892.8539060998</v>
      </c>
      <c r="F57" s="83">
        <f>TDCTRIBE!AA66</f>
        <v>670883.01826070005</v>
      </c>
      <c r="G57" s="83">
        <f>TDCTRIBE!AB66</f>
        <v>727154.03193440009</v>
      </c>
      <c r="H57" s="83">
        <f>TDCTRIBE!AC66</f>
        <v>784795.42359260004</v>
      </c>
      <c r="O57" s="9"/>
      <c r="P57" s="1"/>
      <c r="Q57" s="1"/>
      <c r="R57" s="1"/>
      <c r="S57" s="1"/>
      <c r="T57" s="1"/>
      <c r="U57" s="1"/>
      <c r="V57" s="9"/>
      <c r="W57" s="3"/>
      <c r="X57" s="4"/>
      <c r="Y57" s="1"/>
      <c r="Z57" s="1"/>
      <c r="AA57" s="1"/>
      <c r="AB57" s="1"/>
      <c r="AC57" s="1"/>
      <c r="AD57" s="3"/>
      <c r="AE57" s="3"/>
      <c r="AF57" s="5"/>
      <c r="AG57" s="5"/>
      <c r="AH57" s="5"/>
      <c r="AI57" s="5"/>
      <c r="AJ57" s="6"/>
      <c r="AK57" s="6"/>
      <c r="AL57" s="12"/>
      <c r="AM57" s="12"/>
      <c r="AN57" s="12"/>
      <c r="AO57" s="12"/>
      <c r="AP57" s="12"/>
    </row>
    <row r="58" spans="1:42" ht="15" x14ac:dyDescent="0.25">
      <c r="A58" s="82" t="str">
        <f>TDCTRIBE!I67</f>
        <v>Alaska</v>
      </c>
      <c r="B58" s="82" t="str">
        <f>TDCTRIBE!B67</f>
        <v>AK</v>
      </c>
      <c r="C58" s="82" t="str">
        <f>TDCTRIBE!F67</f>
        <v>Curyung (aka Dillingham)</v>
      </c>
      <c r="D58" s="83">
        <f>TDCTRIBE!Y67</f>
        <v>537627.23286300001</v>
      </c>
      <c r="E58" s="83">
        <f>TDCTRIBE!Z67</f>
        <v>593892.8539060998</v>
      </c>
      <c r="F58" s="83">
        <f>TDCTRIBE!AA67</f>
        <v>670883.01826070005</v>
      </c>
      <c r="G58" s="83">
        <f>TDCTRIBE!AB67</f>
        <v>727154.03193440009</v>
      </c>
      <c r="H58" s="83">
        <f>TDCTRIBE!AC67</f>
        <v>784795.42359260004</v>
      </c>
      <c r="O58" s="9"/>
      <c r="P58" s="1"/>
      <c r="Q58" s="1"/>
      <c r="R58" s="1"/>
      <c r="S58" s="1"/>
      <c r="T58" s="1"/>
      <c r="U58" s="1"/>
      <c r="V58" s="9"/>
      <c r="W58" s="3"/>
      <c r="X58" s="4"/>
      <c r="Y58" s="1"/>
      <c r="Z58" s="1"/>
      <c r="AA58" s="1"/>
      <c r="AB58" s="1"/>
      <c r="AC58" s="1"/>
      <c r="AD58" s="3"/>
      <c r="AE58" s="3"/>
      <c r="AF58" s="5"/>
      <c r="AG58" s="5"/>
      <c r="AH58" s="5"/>
      <c r="AI58" s="5"/>
      <c r="AJ58" s="6"/>
      <c r="AK58" s="6"/>
      <c r="AL58" s="12"/>
      <c r="AM58" s="12"/>
      <c r="AN58" s="12"/>
      <c r="AO58" s="12"/>
      <c r="AP58" s="12"/>
    </row>
    <row r="59" spans="1:42" ht="15" x14ac:dyDescent="0.25">
      <c r="A59" s="82" t="str">
        <f>TDCTRIBE!I68</f>
        <v>Alaska</v>
      </c>
      <c r="B59" s="82" t="str">
        <f>TDCTRIBE!B68</f>
        <v>AK</v>
      </c>
      <c r="C59" s="82" t="str">
        <f>TDCTRIBE!F68</f>
        <v>Deering</v>
      </c>
      <c r="D59" s="83">
        <f>TDCTRIBE!Y68</f>
        <v>537627.23286300001</v>
      </c>
      <c r="E59" s="83">
        <f>TDCTRIBE!Z68</f>
        <v>593892.8539060998</v>
      </c>
      <c r="F59" s="83">
        <f>TDCTRIBE!AA68</f>
        <v>670883.01826070005</v>
      </c>
      <c r="G59" s="83">
        <f>TDCTRIBE!AB68</f>
        <v>727154.03193440009</v>
      </c>
      <c r="H59" s="83">
        <f>TDCTRIBE!AC68</f>
        <v>784795.42359260004</v>
      </c>
      <c r="O59" s="9"/>
      <c r="P59" s="1"/>
      <c r="Q59" s="1"/>
      <c r="R59" s="1"/>
      <c r="S59" s="1"/>
      <c r="T59" s="1"/>
      <c r="U59" s="1"/>
      <c r="V59" s="9"/>
      <c r="W59" s="3"/>
      <c r="X59" s="4"/>
      <c r="Y59" s="1"/>
      <c r="Z59" s="1"/>
      <c r="AA59" s="1"/>
      <c r="AB59" s="1"/>
      <c r="AC59" s="1"/>
      <c r="AD59" s="3"/>
      <c r="AE59" s="3"/>
      <c r="AF59" s="5"/>
      <c r="AG59" s="5"/>
      <c r="AH59" s="5"/>
      <c r="AI59" s="5"/>
      <c r="AJ59" s="6"/>
      <c r="AK59" s="6"/>
      <c r="AL59" s="12"/>
      <c r="AM59" s="12"/>
      <c r="AN59" s="12"/>
      <c r="AO59" s="12"/>
      <c r="AP59" s="12"/>
    </row>
    <row r="60" spans="1:42" ht="15" x14ac:dyDescent="0.25">
      <c r="A60" s="82" t="str">
        <f>TDCTRIBE!I69</f>
        <v>Alaska</v>
      </c>
      <c r="B60" s="82" t="str">
        <f>TDCTRIBE!B69</f>
        <v>AK</v>
      </c>
      <c r="C60" s="82" t="str">
        <f>TDCTRIBE!F69</f>
        <v>Dot Lake</v>
      </c>
      <c r="D60" s="83">
        <f>TDCTRIBE!Y69</f>
        <v>537627.23286300001</v>
      </c>
      <c r="E60" s="83">
        <f>TDCTRIBE!Z69</f>
        <v>593892.8539060998</v>
      </c>
      <c r="F60" s="83">
        <f>TDCTRIBE!AA69</f>
        <v>670883.01826070005</v>
      </c>
      <c r="G60" s="83">
        <f>TDCTRIBE!AB69</f>
        <v>727154.03193440009</v>
      </c>
      <c r="H60" s="83">
        <f>TDCTRIBE!AC69</f>
        <v>784795.42359260004</v>
      </c>
      <c r="O60" s="9"/>
      <c r="P60" s="1"/>
      <c r="Q60" s="1"/>
      <c r="R60" s="1"/>
      <c r="S60" s="1"/>
      <c r="T60" s="1"/>
      <c r="U60" s="1"/>
      <c r="V60" s="9"/>
      <c r="W60" s="3"/>
      <c r="X60" s="4"/>
      <c r="Y60" s="1"/>
      <c r="Z60" s="1"/>
      <c r="AA60" s="1"/>
      <c r="AB60" s="1"/>
      <c r="AC60" s="1"/>
      <c r="AD60" s="3"/>
      <c r="AE60" s="3"/>
      <c r="AF60" s="5"/>
      <c r="AG60" s="5"/>
      <c r="AH60" s="5"/>
      <c r="AI60" s="5"/>
      <c r="AJ60" s="6"/>
      <c r="AK60" s="6"/>
      <c r="AL60" s="12"/>
      <c r="AM60" s="12"/>
      <c r="AN60" s="12"/>
      <c r="AO60" s="12"/>
      <c r="AP60" s="12"/>
    </row>
    <row r="61" spans="1:42" ht="15" x14ac:dyDescent="0.25">
      <c r="A61" s="82" t="str">
        <f>TDCTRIBE!I70</f>
        <v>Alaska</v>
      </c>
      <c r="B61" s="82" t="str">
        <f>TDCTRIBE!B70</f>
        <v>AK</v>
      </c>
      <c r="C61" s="82" t="str">
        <f>TDCTRIBE!F70</f>
        <v>Douglas</v>
      </c>
      <c r="D61" s="83">
        <f>TDCTRIBE!Y70</f>
        <v>465666.31849500001</v>
      </c>
      <c r="E61" s="83">
        <f>TDCTRIBE!Z70</f>
        <v>514428.62433899997</v>
      </c>
      <c r="F61" s="83">
        <f>TDCTRIBE!AA70</f>
        <v>581158.19019300013</v>
      </c>
      <c r="G61" s="83">
        <f>TDCTRIBE!AB70</f>
        <v>629926.37213100016</v>
      </c>
      <c r="H61" s="83">
        <f>TDCTRIBE!AC70</f>
        <v>679867.06659900001</v>
      </c>
      <c r="O61" s="9"/>
      <c r="P61" s="1"/>
      <c r="Q61" s="1"/>
      <c r="R61" s="1"/>
      <c r="S61" s="1"/>
      <c r="T61" s="1"/>
      <c r="U61" s="1"/>
      <c r="V61" s="9"/>
      <c r="W61" s="3"/>
      <c r="X61" s="4"/>
      <c r="Y61" s="1"/>
      <c r="Z61" s="1"/>
      <c r="AA61" s="1"/>
      <c r="AB61" s="1"/>
      <c r="AC61" s="1"/>
      <c r="AD61" s="3"/>
      <c r="AE61" s="3"/>
      <c r="AF61" s="5"/>
      <c r="AG61" s="5"/>
      <c r="AH61" s="5"/>
      <c r="AI61" s="5"/>
      <c r="AJ61" s="6"/>
      <c r="AK61" s="6"/>
      <c r="AL61" s="12"/>
      <c r="AM61" s="12"/>
      <c r="AN61" s="12"/>
      <c r="AO61" s="12"/>
      <c r="AP61" s="12"/>
    </row>
    <row r="62" spans="1:42" ht="15" x14ac:dyDescent="0.25">
      <c r="A62" s="82" t="str">
        <f>TDCTRIBE!I71</f>
        <v>Alaska</v>
      </c>
      <c r="B62" s="82" t="str">
        <f>TDCTRIBE!B71</f>
        <v>AK</v>
      </c>
      <c r="C62" s="82" t="str">
        <f>TDCTRIBE!F71</f>
        <v>Doyon Native Regional Corporation</v>
      </c>
      <c r="D62" s="83">
        <f>TDCTRIBE!Y71</f>
        <v>537627.23286300001</v>
      </c>
      <c r="E62" s="83">
        <f>TDCTRIBE!Z71</f>
        <v>593892.8539060998</v>
      </c>
      <c r="F62" s="83">
        <f>TDCTRIBE!AA71</f>
        <v>670883.01826070005</v>
      </c>
      <c r="G62" s="83">
        <f>TDCTRIBE!AB71</f>
        <v>727154.03193440009</v>
      </c>
      <c r="H62" s="83">
        <f>TDCTRIBE!AC71</f>
        <v>784795.42359260004</v>
      </c>
      <c r="O62" s="9"/>
      <c r="P62" s="1"/>
      <c r="Q62" s="1"/>
      <c r="R62" s="1"/>
      <c r="S62" s="1"/>
      <c r="T62" s="1"/>
      <c r="U62" s="1"/>
      <c r="V62" s="9"/>
      <c r="W62" s="3"/>
      <c r="X62" s="4"/>
      <c r="Y62" s="1"/>
      <c r="Z62" s="1"/>
      <c r="AA62" s="1"/>
      <c r="AB62" s="1"/>
      <c r="AC62" s="1"/>
      <c r="AD62" s="3"/>
      <c r="AE62" s="3"/>
      <c r="AF62" s="5"/>
      <c r="AG62" s="5"/>
      <c r="AH62" s="5"/>
      <c r="AI62" s="5"/>
      <c r="AJ62" s="6"/>
      <c r="AK62" s="6"/>
      <c r="AL62" s="12"/>
      <c r="AM62" s="12"/>
      <c r="AN62" s="12"/>
      <c r="AO62" s="12"/>
      <c r="AP62" s="12"/>
    </row>
    <row r="63" spans="1:42" ht="15" x14ac:dyDescent="0.25">
      <c r="A63" s="82" t="str">
        <f>TDCTRIBE!I72</f>
        <v>Alaska</v>
      </c>
      <c r="B63" s="82" t="str">
        <f>TDCTRIBE!B72</f>
        <v>AK</v>
      </c>
      <c r="C63" s="82" t="str">
        <f>TDCTRIBE!F72</f>
        <v>Eagle</v>
      </c>
      <c r="D63" s="83">
        <f>TDCTRIBE!Y72</f>
        <v>537627.23286300001</v>
      </c>
      <c r="E63" s="83">
        <f>TDCTRIBE!Z72</f>
        <v>593892.8539060998</v>
      </c>
      <c r="F63" s="83">
        <f>TDCTRIBE!AA72</f>
        <v>670883.01826070005</v>
      </c>
      <c r="G63" s="83">
        <f>TDCTRIBE!AB72</f>
        <v>727154.03193440009</v>
      </c>
      <c r="H63" s="83">
        <f>TDCTRIBE!AC72</f>
        <v>784795.42359260004</v>
      </c>
      <c r="O63" s="9"/>
      <c r="P63" s="1"/>
      <c r="Q63" s="1"/>
      <c r="R63" s="1"/>
      <c r="S63" s="1"/>
      <c r="T63" s="1"/>
      <c r="U63" s="1"/>
      <c r="V63" s="9"/>
      <c r="W63" s="3"/>
      <c r="X63" s="4"/>
      <c r="Y63" s="1"/>
      <c r="Z63" s="1"/>
      <c r="AA63" s="1"/>
      <c r="AB63" s="1"/>
      <c r="AC63" s="1"/>
      <c r="AD63" s="3"/>
      <c r="AE63" s="3"/>
      <c r="AF63" s="5"/>
      <c r="AG63" s="5"/>
      <c r="AH63" s="5"/>
      <c r="AI63" s="5"/>
      <c r="AJ63" s="6"/>
      <c r="AK63" s="6"/>
      <c r="AL63" s="12"/>
      <c r="AM63" s="12"/>
      <c r="AN63" s="12"/>
      <c r="AO63" s="12"/>
      <c r="AP63" s="12"/>
    </row>
    <row r="64" spans="1:42" ht="15" x14ac:dyDescent="0.25">
      <c r="A64" s="82" t="str">
        <f>TDCTRIBE!I73</f>
        <v>Alaska</v>
      </c>
      <c r="B64" s="82" t="str">
        <f>TDCTRIBE!B73</f>
        <v>AK</v>
      </c>
      <c r="C64" s="82" t="str">
        <f>TDCTRIBE!F73</f>
        <v>Eek</v>
      </c>
      <c r="D64" s="83">
        <f>TDCTRIBE!Y73</f>
        <v>537627.23286300001</v>
      </c>
      <c r="E64" s="83">
        <f>TDCTRIBE!Z73</f>
        <v>593892.8539060998</v>
      </c>
      <c r="F64" s="83">
        <f>TDCTRIBE!AA73</f>
        <v>670883.01826070005</v>
      </c>
      <c r="G64" s="83">
        <f>TDCTRIBE!AB73</f>
        <v>727154.03193440009</v>
      </c>
      <c r="H64" s="83">
        <f>TDCTRIBE!AC73</f>
        <v>784795.42359260004</v>
      </c>
      <c r="O64" s="9"/>
      <c r="P64" s="1"/>
      <c r="Q64" s="1"/>
      <c r="R64" s="1"/>
      <c r="S64" s="1"/>
      <c r="T64" s="1"/>
      <c r="U64" s="1"/>
      <c r="V64" s="9"/>
      <c r="W64" s="3"/>
      <c r="X64" s="4"/>
      <c r="Y64" s="1"/>
      <c r="Z64" s="1"/>
      <c r="AA64" s="1"/>
      <c r="AB64" s="1"/>
      <c r="AC64" s="1"/>
      <c r="AD64" s="3"/>
      <c r="AE64" s="3"/>
      <c r="AF64" s="5"/>
      <c r="AG64" s="5"/>
      <c r="AH64" s="5"/>
      <c r="AI64" s="5"/>
      <c r="AJ64" s="6"/>
      <c r="AK64" s="6"/>
      <c r="AL64" s="12"/>
      <c r="AM64" s="12"/>
      <c r="AN64" s="12"/>
      <c r="AO64" s="12"/>
      <c r="AP64" s="12"/>
    </row>
    <row r="65" spans="1:42" ht="15" x14ac:dyDescent="0.25">
      <c r="A65" s="82" t="str">
        <f>TDCTRIBE!I74</f>
        <v>Alaska</v>
      </c>
      <c r="B65" s="82" t="str">
        <f>TDCTRIBE!B74</f>
        <v>AK</v>
      </c>
      <c r="C65" s="82" t="str">
        <f>TDCTRIBE!F74</f>
        <v>Egegik</v>
      </c>
      <c r="D65" s="83">
        <f>TDCTRIBE!Y74</f>
        <v>537627.23286300001</v>
      </c>
      <c r="E65" s="83">
        <f>TDCTRIBE!Z74</f>
        <v>593892.8539060998</v>
      </c>
      <c r="F65" s="83">
        <f>TDCTRIBE!AA74</f>
        <v>670883.01826070005</v>
      </c>
      <c r="G65" s="83">
        <f>TDCTRIBE!AB74</f>
        <v>727154.03193440009</v>
      </c>
      <c r="H65" s="83">
        <f>TDCTRIBE!AC74</f>
        <v>784795.42359260004</v>
      </c>
      <c r="O65" s="9"/>
      <c r="P65" s="1"/>
      <c r="Q65" s="1"/>
      <c r="R65" s="1"/>
      <c r="S65" s="1"/>
      <c r="T65" s="1"/>
      <c r="U65" s="1"/>
      <c r="V65" s="9"/>
      <c r="W65" s="3"/>
      <c r="X65" s="4"/>
      <c r="Y65" s="1"/>
      <c r="Z65" s="1"/>
      <c r="AA65" s="1"/>
      <c r="AB65" s="1"/>
      <c r="AC65" s="1"/>
      <c r="AD65" s="3"/>
      <c r="AE65" s="3"/>
      <c r="AF65" s="5"/>
      <c r="AG65" s="5"/>
      <c r="AH65" s="5"/>
      <c r="AI65" s="5"/>
      <c r="AJ65" s="6"/>
      <c r="AK65" s="6"/>
      <c r="AL65" s="12"/>
      <c r="AM65" s="12"/>
      <c r="AN65" s="12"/>
      <c r="AO65" s="12"/>
      <c r="AP65" s="12"/>
    </row>
    <row r="66" spans="1:42" ht="15" x14ac:dyDescent="0.25">
      <c r="A66" s="82" t="str">
        <f>TDCTRIBE!I75</f>
        <v>Alaska</v>
      </c>
      <c r="B66" s="82" t="str">
        <f>TDCTRIBE!B75</f>
        <v>AK</v>
      </c>
      <c r="C66" s="82" t="str">
        <f>TDCTRIBE!F75</f>
        <v>Eklutna</v>
      </c>
      <c r="D66" s="83">
        <f>TDCTRIBE!Y75</f>
        <v>465666.31849500001</v>
      </c>
      <c r="E66" s="83">
        <f>TDCTRIBE!Z75</f>
        <v>514428.62433899997</v>
      </c>
      <c r="F66" s="83">
        <f>TDCTRIBE!AA75</f>
        <v>581158.19019300013</v>
      </c>
      <c r="G66" s="83">
        <f>TDCTRIBE!AB75</f>
        <v>629926.37213100016</v>
      </c>
      <c r="H66" s="83">
        <f>TDCTRIBE!AC75</f>
        <v>679867.06659900001</v>
      </c>
      <c r="O66" s="9"/>
      <c r="P66" s="1"/>
      <c r="Q66" s="1"/>
      <c r="R66" s="1"/>
      <c r="S66" s="1"/>
      <c r="T66" s="1"/>
      <c r="U66" s="1"/>
      <c r="V66" s="9"/>
      <c r="W66" s="3"/>
      <c r="X66" s="4"/>
      <c r="Y66" s="1"/>
      <c r="Z66" s="1"/>
      <c r="AA66" s="1"/>
      <c r="AB66" s="1"/>
      <c r="AC66" s="1"/>
      <c r="AD66" s="3"/>
      <c r="AE66" s="3"/>
      <c r="AF66" s="5"/>
      <c r="AG66" s="5"/>
      <c r="AH66" s="5"/>
      <c r="AI66" s="5"/>
      <c r="AJ66" s="6"/>
      <c r="AK66" s="6"/>
      <c r="AL66" s="12"/>
      <c r="AM66" s="12"/>
      <c r="AN66" s="12"/>
      <c r="AO66" s="12"/>
      <c r="AP66" s="12"/>
    </row>
    <row r="67" spans="1:42" ht="15" x14ac:dyDescent="0.25">
      <c r="A67" s="82" t="str">
        <f>TDCTRIBE!I76</f>
        <v>Alaska</v>
      </c>
      <c r="B67" s="82" t="str">
        <f>TDCTRIBE!B76</f>
        <v>AK</v>
      </c>
      <c r="C67" s="82" t="str">
        <f>TDCTRIBE!F76</f>
        <v>Ekuk</v>
      </c>
      <c r="D67" s="83">
        <f>TDCTRIBE!Y76</f>
        <v>537627.23286300001</v>
      </c>
      <c r="E67" s="83">
        <f>TDCTRIBE!Z76</f>
        <v>593892.8539060998</v>
      </c>
      <c r="F67" s="83">
        <f>TDCTRIBE!AA76</f>
        <v>670883.01826070005</v>
      </c>
      <c r="G67" s="83">
        <f>TDCTRIBE!AB76</f>
        <v>727154.03193440009</v>
      </c>
      <c r="H67" s="83">
        <f>TDCTRIBE!AC76</f>
        <v>784795.42359260004</v>
      </c>
      <c r="O67" s="9"/>
      <c r="P67" s="1"/>
      <c r="Q67" s="1"/>
      <c r="R67" s="1"/>
      <c r="S67" s="1"/>
      <c r="T67" s="1"/>
      <c r="U67" s="1"/>
      <c r="V67" s="9"/>
      <c r="W67" s="3"/>
      <c r="X67" s="4"/>
      <c r="Y67" s="1"/>
      <c r="Z67" s="1"/>
      <c r="AA67" s="1"/>
      <c r="AB67" s="1"/>
      <c r="AC67" s="1"/>
      <c r="AD67" s="3"/>
      <c r="AE67" s="3"/>
      <c r="AF67" s="5"/>
      <c r="AG67" s="5"/>
      <c r="AH67" s="5"/>
      <c r="AI67" s="5"/>
      <c r="AJ67" s="6"/>
      <c r="AK67" s="6"/>
      <c r="AL67" s="12"/>
      <c r="AM67" s="12"/>
      <c r="AN67" s="12"/>
      <c r="AO67" s="12"/>
      <c r="AP67" s="12"/>
    </row>
    <row r="68" spans="1:42" ht="15" x14ac:dyDescent="0.25">
      <c r="A68" s="82" t="str">
        <f>TDCTRIBE!I77</f>
        <v>Alaska</v>
      </c>
      <c r="B68" s="82" t="str">
        <f>TDCTRIBE!B77</f>
        <v>AK</v>
      </c>
      <c r="C68" s="82" t="str">
        <f>TDCTRIBE!F77</f>
        <v>Ekwok</v>
      </c>
      <c r="D68" s="83">
        <f>TDCTRIBE!Y77</f>
        <v>537627.23286300001</v>
      </c>
      <c r="E68" s="83">
        <f>TDCTRIBE!Z77</f>
        <v>593892.8539060998</v>
      </c>
      <c r="F68" s="83">
        <f>TDCTRIBE!AA77</f>
        <v>670883.01826070005</v>
      </c>
      <c r="G68" s="83">
        <f>TDCTRIBE!AB77</f>
        <v>727154.03193440009</v>
      </c>
      <c r="H68" s="83">
        <f>TDCTRIBE!AC77</f>
        <v>784795.42359260004</v>
      </c>
      <c r="O68" s="9"/>
      <c r="P68" s="1"/>
      <c r="Q68" s="1"/>
      <c r="R68" s="1"/>
      <c r="S68" s="1"/>
      <c r="T68" s="1"/>
      <c r="U68" s="1"/>
      <c r="V68" s="9"/>
      <c r="W68" s="3"/>
      <c r="X68" s="4"/>
      <c r="Y68" s="1"/>
      <c r="Z68" s="1"/>
      <c r="AA68" s="1"/>
      <c r="AB68" s="1"/>
      <c r="AC68" s="1"/>
      <c r="AD68" s="3"/>
      <c r="AE68" s="3"/>
      <c r="AF68" s="5"/>
      <c r="AG68" s="5"/>
      <c r="AH68" s="5"/>
      <c r="AI68" s="5"/>
      <c r="AJ68" s="6"/>
      <c r="AK68" s="6"/>
      <c r="AL68" s="12"/>
      <c r="AM68" s="12"/>
      <c r="AN68" s="12"/>
      <c r="AO68" s="12"/>
      <c r="AP68" s="12"/>
    </row>
    <row r="69" spans="1:42" ht="15" x14ac:dyDescent="0.25">
      <c r="A69" s="82" t="str">
        <f>TDCTRIBE!I78</f>
        <v>Alaska</v>
      </c>
      <c r="B69" s="82" t="str">
        <f>TDCTRIBE!B78</f>
        <v>AK</v>
      </c>
      <c r="C69" s="82" t="str">
        <f>TDCTRIBE!F78</f>
        <v>Elim</v>
      </c>
      <c r="D69" s="83">
        <f>TDCTRIBE!Y78</f>
        <v>537627.23286300001</v>
      </c>
      <c r="E69" s="83">
        <f>TDCTRIBE!Z78</f>
        <v>593892.8539060998</v>
      </c>
      <c r="F69" s="83">
        <f>TDCTRIBE!AA78</f>
        <v>670883.01826070005</v>
      </c>
      <c r="G69" s="83">
        <f>TDCTRIBE!AB78</f>
        <v>727154.03193440009</v>
      </c>
      <c r="H69" s="83">
        <f>TDCTRIBE!AC78</f>
        <v>784795.42359260004</v>
      </c>
      <c r="O69" s="9"/>
      <c r="P69" s="1"/>
      <c r="Q69" s="1"/>
      <c r="R69" s="1"/>
      <c r="S69" s="1"/>
      <c r="T69" s="1"/>
      <c r="U69" s="1"/>
      <c r="V69" s="9"/>
      <c r="W69" s="3"/>
      <c r="X69" s="4"/>
      <c r="Y69" s="1"/>
      <c r="Z69" s="1"/>
      <c r="AA69" s="1"/>
      <c r="AB69" s="1"/>
      <c r="AC69" s="1"/>
      <c r="AD69" s="3"/>
      <c r="AE69" s="3"/>
      <c r="AF69" s="5"/>
      <c r="AG69" s="5"/>
      <c r="AH69" s="5"/>
      <c r="AI69" s="5"/>
      <c r="AJ69" s="6"/>
      <c r="AK69" s="6"/>
      <c r="AL69" s="12"/>
      <c r="AM69" s="12"/>
      <c r="AN69" s="12"/>
      <c r="AO69" s="12"/>
      <c r="AP69" s="12"/>
    </row>
    <row r="70" spans="1:42" ht="15" x14ac:dyDescent="0.25">
      <c r="A70" s="82" t="str">
        <f>TDCTRIBE!I79</f>
        <v>Alaska</v>
      </c>
      <c r="B70" s="82" t="str">
        <f>TDCTRIBE!B79</f>
        <v>AK</v>
      </c>
      <c r="C70" s="82" t="str">
        <f>TDCTRIBE!F79</f>
        <v>Emmonak</v>
      </c>
      <c r="D70" s="83">
        <f>TDCTRIBE!Y79</f>
        <v>537627.23286300001</v>
      </c>
      <c r="E70" s="83">
        <f>TDCTRIBE!Z79</f>
        <v>593892.8539060998</v>
      </c>
      <c r="F70" s="83">
        <f>TDCTRIBE!AA79</f>
        <v>670883.01826070005</v>
      </c>
      <c r="G70" s="83">
        <f>TDCTRIBE!AB79</f>
        <v>727154.03193440009</v>
      </c>
      <c r="H70" s="83">
        <f>TDCTRIBE!AC79</f>
        <v>784795.42359260004</v>
      </c>
      <c r="O70" s="9"/>
      <c r="P70" s="1"/>
      <c r="Q70" s="1"/>
      <c r="R70" s="1"/>
      <c r="S70" s="1"/>
      <c r="T70" s="1"/>
      <c r="U70" s="1"/>
      <c r="V70" s="9"/>
      <c r="W70" s="3"/>
      <c r="X70" s="4"/>
      <c r="Y70" s="1"/>
      <c r="Z70" s="1"/>
      <c r="AA70" s="1"/>
      <c r="AB70" s="1"/>
      <c r="AC70" s="1"/>
      <c r="AD70" s="3"/>
      <c r="AE70" s="3"/>
      <c r="AF70" s="5"/>
      <c r="AG70" s="5"/>
      <c r="AH70" s="5"/>
      <c r="AI70" s="5"/>
      <c r="AJ70" s="6"/>
      <c r="AK70" s="6"/>
      <c r="AL70" s="12"/>
      <c r="AM70" s="12"/>
      <c r="AN70" s="12"/>
      <c r="AO70" s="12"/>
      <c r="AP70" s="12"/>
    </row>
    <row r="71" spans="1:42" ht="15" x14ac:dyDescent="0.25">
      <c r="A71" s="82" t="str">
        <f>TDCTRIBE!I80</f>
        <v>Alaska</v>
      </c>
      <c r="B71" s="82" t="str">
        <f>TDCTRIBE!B80</f>
        <v>AK</v>
      </c>
      <c r="C71" s="82" t="str">
        <f>TDCTRIBE!F80</f>
        <v>Evansville (Bettles Field)</v>
      </c>
      <c r="D71" s="83">
        <f>TDCTRIBE!Y80</f>
        <v>537627.23286300001</v>
      </c>
      <c r="E71" s="83">
        <f>TDCTRIBE!Z80</f>
        <v>593892.8539060998</v>
      </c>
      <c r="F71" s="83">
        <f>TDCTRIBE!AA80</f>
        <v>670883.01826070005</v>
      </c>
      <c r="G71" s="83">
        <f>TDCTRIBE!AB80</f>
        <v>727154.03193440009</v>
      </c>
      <c r="H71" s="83">
        <f>TDCTRIBE!AC80</f>
        <v>784795.42359260004</v>
      </c>
      <c r="O71" s="9"/>
      <c r="P71" s="1"/>
      <c r="Q71" s="1"/>
      <c r="R71" s="1"/>
      <c r="S71" s="1"/>
      <c r="T71" s="1"/>
      <c r="U71" s="1"/>
      <c r="V71" s="9"/>
      <c r="W71" s="3"/>
      <c r="X71" s="4"/>
      <c r="Y71" s="1"/>
      <c r="Z71" s="1"/>
      <c r="AA71" s="1"/>
      <c r="AB71" s="1"/>
      <c r="AC71" s="1"/>
      <c r="AD71" s="3"/>
      <c r="AE71" s="3"/>
      <c r="AF71" s="5"/>
      <c r="AG71" s="5"/>
      <c r="AH71" s="5"/>
      <c r="AI71" s="5"/>
      <c r="AJ71" s="6"/>
      <c r="AK71" s="6"/>
      <c r="AL71" s="12"/>
      <c r="AM71" s="12"/>
      <c r="AN71" s="12"/>
      <c r="AO71" s="12"/>
      <c r="AP71" s="12"/>
    </row>
    <row r="72" spans="1:42" ht="15" x14ac:dyDescent="0.25">
      <c r="A72" s="82" t="str">
        <f>TDCTRIBE!I81</f>
        <v>Alaska</v>
      </c>
      <c r="B72" s="82" t="str">
        <f>TDCTRIBE!B81</f>
        <v>AK</v>
      </c>
      <c r="C72" s="82" t="str">
        <f>TDCTRIBE!F81</f>
        <v>Eyak</v>
      </c>
      <c r="D72" s="83">
        <f>TDCTRIBE!Y81</f>
        <v>465666.31849500001</v>
      </c>
      <c r="E72" s="83">
        <f>TDCTRIBE!Z81</f>
        <v>514428.62433899997</v>
      </c>
      <c r="F72" s="83">
        <f>TDCTRIBE!AA81</f>
        <v>581158.19019300013</v>
      </c>
      <c r="G72" s="83">
        <f>TDCTRIBE!AB81</f>
        <v>629926.37213100016</v>
      </c>
      <c r="H72" s="83">
        <f>TDCTRIBE!AC81</f>
        <v>679867.06659900001</v>
      </c>
      <c r="O72" s="9"/>
      <c r="P72" s="1"/>
      <c r="Q72" s="1"/>
      <c r="R72" s="1"/>
      <c r="S72" s="1"/>
      <c r="T72" s="1"/>
      <c r="U72" s="1"/>
      <c r="V72" s="9"/>
      <c r="W72" s="3"/>
      <c r="X72" s="4"/>
      <c r="Y72" s="1"/>
      <c r="Z72" s="1"/>
      <c r="AA72" s="1"/>
      <c r="AB72" s="1"/>
      <c r="AC72" s="1"/>
      <c r="AD72" s="3"/>
      <c r="AE72" s="3"/>
      <c r="AF72" s="5"/>
      <c r="AG72" s="5"/>
      <c r="AH72" s="5"/>
      <c r="AI72" s="5"/>
      <c r="AJ72" s="6"/>
      <c r="AK72" s="6"/>
      <c r="AL72" s="12"/>
      <c r="AM72" s="12"/>
      <c r="AN72" s="12"/>
      <c r="AO72" s="12"/>
      <c r="AP72" s="12"/>
    </row>
    <row r="73" spans="1:42" ht="15" x14ac:dyDescent="0.25">
      <c r="A73" s="82" t="str">
        <f>TDCTRIBE!I82</f>
        <v>Alaska</v>
      </c>
      <c r="B73" s="82" t="str">
        <f>TDCTRIBE!B82</f>
        <v>AK</v>
      </c>
      <c r="C73" s="82" t="str">
        <f>TDCTRIBE!F82</f>
        <v>False Pass</v>
      </c>
      <c r="D73" s="83">
        <f>TDCTRIBE!Y82</f>
        <v>537627.23286300001</v>
      </c>
      <c r="E73" s="83">
        <f>TDCTRIBE!Z82</f>
        <v>593892.8539060998</v>
      </c>
      <c r="F73" s="83">
        <f>TDCTRIBE!AA82</f>
        <v>670883.01826070005</v>
      </c>
      <c r="G73" s="83">
        <f>TDCTRIBE!AB82</f>
        <v>727154.03193440009</v>
      </c>
      <c r="H73" s="83">
        <f>TDCTRIBE!AC82</f>
        <v>784795.42359260004</v>
      </c>
      <c r="O73" s="9"/>
      <c r="P73" s="1"/>
      <c r="Q73" s="1"/>
      <c r="R73" s="1"/>
      <c r="S73" s="1"/>
      <c r="T73" s="1"/>
      <c r="U73" s="1"/>
      <c r="V73" s="9"/>
      <c r="W73" s="3"/>
      <c r="X73" s="4"/>
      <c r="Y73" s="1"/>
      <c r="Z73" s="1"/>
      <c r="AA73" s="1"/>
      <c r="AB73" s="1"/>
      <c r="AC73" s="1"/>
      <c r="AD73" s="3"/>
      <c r="AE73" s="3"/>
      <c r="AF73" s="5"/>
      <c r="AG73" s="5"/>
      <c r="AH73" s="5"/>
      <c r="AI73" s="5"/>
      <c r="AJ73" s="6"/>
      <c r="AK73" s="6"/>
      <c r="AL73" s="12"/>
      <c r="AM73" s="12"/>
      <c r="AN73" s="12"/>
      <c r="AO73" s="12"/>
      <c r="AP73" s="12"/>
    </row>
    <row r="74" spans="1:42" ht="15" x14ac:dyDescent="0.25">
      <c r="A74" s="82" t="str">
        <f>TDCTRIBE!I83</f>
        <v>Alaska</v>
      </c>
      <c r="B74" s="82" t="str">
        <f>TDCTRIBE!B83</f>
        <v>AK</v>
      </c>
      <c r="C74" s="82" t="str">
        <f>TDCTRIBE!F83</f>
        <v>Fort Yukon</v>
      </c>
      <c r="D74" s="83">
        <f>TDCTRIBE!Y83</f>
        <v>537627.23286300001</v>
      </c>
      <c r="E74" s="83">
        <f>TDCTRIBE!Z83</f>
        <v>593892.8539060998</v>
      </c>
      <c r="F74" s="83">
        <f>TDCTRIBE!AA83</f>
        <v>670883.01826070005</v>
      </c>
      <c r="G74" s="83">
        <f>TDCTRIBE!AB83</f>
        <v>727154.03193440009</v>
      </c>
      <c r="H74" s="83">
        <f>TDCTRIBE!AC83</f>
        <v>784795.42359260004</v>
      </c>
      <c r="O74" s="9"/>
      <c r="P74" s="1"/>
      <c r="Q74" s="1"/>
      <c r="R74" s="1"/>
      <c r="S74" s="1"/>
      <c r="T74" s="1"/>
      <c r="U74" s="1"/>
      <c r="V74" s="9"/>
      <c r="W74" s="3"/>
      <c r="X74" s="4"/>
      <c r="Y74" s="1"/>
      <c r="Z74" s="1"/>
      <c r="AA74" s="1"/>
      <c r="AB74" s="1"/>
      <c r="AC74" s="1"/>
      <c r="AD74" s="3"/>
      <c r="AE74" s="3"/>
      <c r="AF74" s="5"/>
      <c r="AG74" s="5"/>
      <c r="AH74" s="5"/>
      <c r="AI74" s="5"/>
      <c r="AJ74" s="6"/>
      <c r="AK74" s="6"/>
      <c r="AL74" s="12"/>
      <c r="AM74" s="12"/>
      <c r="AN74" s="12"/>
      <c r="AO74" s="12"/>
      <c r="AP74" s="12"/>
    </row>
    <row r="75" spans="1:42" ht="15" x14ac:dyDescent="0.25">
      <c r="A75" s="82" t="str">
        <f>TDCTRIBE!I84</f>
        <v>Alaska</v>
      </c>
      <c r="B75" s="82" t="str">
        <f>TDCTRIBE!B84</f>
        <v>AK</v>
      </c>
      <c r="C75" s="82" t="str">
        <f>TDCTRIBE!F84</f>
        <v>Gakona</v>
      </c>
      <c r="D75" s="83">
        <f>TDCTRIBE!Y84</f>
        <v>465666.31849500001</v>
      </c>
      <c r="E75" s="83">
        <f>TDCTRIBE!Z84</f>
        <v>514428.62433899997</v>
      </c>
      <c r="F75" s="83">
        <f>TDCTRIBE!AA84</f>
        <v>581158.19019300013</v>
      </c>
      <c r="G75" s="83">
        <f>TDCTRIBE!AB84</f>
        <v>629926.37213100016</v>
      </c>
      <c r="H75" s="83">
        <f>TDCTRIBE!AC84</f>
        <v>679867.06659900001</v>
      </c>
      <c r="O75" s="9"/>
      <c r="P75" s="1"/>
      <c r="Q75" s="1"/>
      <c r="R75" s="1"/>
      <c r="S75" s="1"/>
      <c r="T75" s="1"/>
      <c r="U75" s="1"/>
      <c r="V75" s="9"/>
      <c r="W75" s="3"/>
      <c r="X75" s="4"/>
      <c r="Y75" s="1"/>
      <c r="Z75" s="1"/>
      <c r="AA75" s="1"/>
      <c r="AB75" s="1"/>
      <c r="AC75" s="1"/>
      <c r="AD75" s="3"/>
      <c r="AE75" s="3"/>
      <c r="AF75" s="5"/>
      <c r="AG75" s="5"/>
      <c r="AH75" s="5"/>
      <c r="AI75" s="5"/>
      <c r="AJ75" s="6"/>
      <c r="AK75" s="6"/>
      <c r="AL75" s="12"/>
      <c r="AM75" s="12"/>
      <c r="AN75" s="12"/>
      <c r="AO75" s="12"/>
      <c r="AP75" s="12"/>
    </row>
    <row r="76" spans="1:42" ht="15" x14ac:dyDescent="0.25">
      <c r="A76" s="82" t="str">
        <f>TDCTRIBE!I85</f>
        <v>Alaska</v>
      </c>
      <c r="B76" s="82" t="str">
        <f>TDCTRIBE!B85</f>
        <v>AK</v>
      </c>
      <c r="C76" s="82" t="str">
        <f>TDCTRIBE!F85</f>
        <v>Galena</v>
      </c>
      <c r="D76" s="83">
        <f>TDCTRIBE!Y85</f>
        <v>537627.23286300001</v>
      </c>
      <c r="E76" s="83">
        <f>TDCTRIBE!Z85</f>
        <v>593892.8539060998</v>
      </c>
      <c r="F76" s="83">
        <f>TDCTRIBE!AA85</f>
        <v>670883.01826070005</v>
      </c>
      <c r="G76" s="83">
        <f>TDCTRIBE!AB85</f>
        <v>727154.03193440009</v>
      </c>
      <c r="H76" s="83">
        <f>TDCTRIBE!AC85</f>
        <v>784795.42359260004</v>
      </c>
      <c r="O76" s="9"/>
      <c r="P76" s="1"/>
      <c r="Q76" s="1"/>
      <c r="R76" s="1"/>
      <c r="S76" s="1"/>
      <c r="T76" s="1"/>
      <c r="U76" s="1"/>
      <c r="V76" s="9"/>
      <c r="W76" s="3"/>
      <c r="X76" s="4"/>
      <c r="Y76" s="1"/>
      <c r="Z76" s="1"/>
      <c r="AA76" s="1"/>
      <c r="AB76" s="1"/>
      <c r="AC76" s="1"/>
      <c r="AD76" s="3"/>
      <c r="AE76" s="3"/>
      <c r="AF76" s="5"/>
      <c r="AG76" s="5"/>
      <c r="AH76" s="5"/>
      <c r="AI76" s="5"/>
      <c r="AJ76" s="6"/>
      <c r="AK76" s="6"/>
      <c r="AL76" s="12"/>
      <c r="AM76" s="12"/>
      <c r="AN76" s="12"/>
      <c r="AO76" s="12"/>
      <c r="AP76" s="12"/>
    </row>
    <row r="77" spans="1:42" ht="15" x14ac:dyDescent="0.25">
      <c r="A77" s="82" t="str">
        <f>TDCTRIBE!I86</f>
        <v>Alaska</v>
      </c>
      <c r="B77" s="82" t="str">
        <f>TDCTRIBE!B86</f>
        <v>AK</v>
      </c>
      <c r="C77" s="82" t="str">
        <f>TDCTRIBE!F86</f>
        <v>Gambell</v>
      </c>
      <c r="D77" s="83">
        <f>TDCTRIBE!Y86</f>
        <v>573912.50187599997</v>
      </c>
      <c r="E77" s="83">
        <f>TDCTRIBE!Z86</f>
        <v>633906.89508719998</v>
      </c>
      <c r="F77" s="83">
        <f>TDCTRIBE!AA86</f>
        <v>715983.34034640016</v>
      </c>
      <c r="G77" s="83">
        <f>TDCTRIBE!AB86</f>
        <v>775980.51116880018</v>
      </c>
      <c r="H77" s="83">
        <f>TDCTRIBE!AC86</f>
        <v>837476.24333520012</v>
      </c>
      <c r="O77" s="9"/>
      <c r="P77" s="1"/>
      <c r="Q77" s="1"/>
      <c r="R77" s="1"/>
      <c r="S77" s="1"/>
      <c r="T77" s="1"/>
      <c r="U77" s="1"/>
      <c r="V77" s="9"/>
      <c r="W77" s="3"/>
      <c r="X77" s="4"/>
      <c r="Y77" s="1"/>
      <c r="Z77" s="1"/>
      <c r="AA77" s="1"/>
      <c r="AB77" s="1"/>
      <c r="AC77" s="1"/>
      <c r="AD77" s="3"/>
      <c r="AE77" s="3"/>
      <c r="AF77" s="5"/>
      <c r="AG77" s="5"/>
      <c r="AH77" s="5"/>
      <c r="AI77" s="5"/>
      <c r="AJ77" s="6"/>
      <c r="AK77" s="6"/>
      <c r="AL77" s="12"/>
      <c r="AM77" s="12"/>
      <c r="AN77" s="12"/>
      <c r="AO77" s="12"/>
      <c r="AP77" s="12"/>
    </row>
    <row r="78" spans="1:42" ht="15" x14ac:dyDescent="0.25">
      <c r="A78" s="82" t="str">
        <f>TDCTRIBE!I87</f>
        <v>Alaska</v>
      </c>
      <c r="B78" s="82" t="str">
        <f>TDCTRIBE!B87</f>
        <v>AK</v>
      </c>
      <c r="C78" s="82" t="str">
        <f>TDCTRIBE!F87</f>
        <v>Georgetown</v>
      </c>
      <c r="D78" s="83">
        <f>TDCTRIBE!Y87</f>
        <v>537627.23286300001</v>
      </c>
      <c r="E78" s="83">
        <f>TDCTRIBE!Z87</f>
        <v>593892.8539060998</v>
      </c>
      <c r="F78" s="83">
        <f>TDCTRIBE!AA87</f>
        <v>670883.01826070005</v>
      </c>
      <c r="G78" s="83">
        <f>TDCTRIBE!AB87</f>
        <v>727154.03193440009</v>
      </c>
      <c r="H78" s="83">
        <f>TDCTRIBE!AC87</f>
        <v>784795.42359260004</v>
      </c>
      <c r="O78" s="9"/>
      <c r="P78" s="1"/>
      <c r="Q78" s="1"/>
      <c r="R78" s="1"/>
      <c r="S78" s="1"/>
      <c r="T78" s="1"/>
      <c r="U78" s="1"/>
      <c r="V78" s="9"/>
      <c r="W78" s="3"/>
      <c r="X78" s="4"/>
      <c r="Y78" s="1"/>
      <c r="Z78" s="1"/>
      <c r="AA78" s="1"/>
      <c r="AB78" s="1"/>
      <c r="AC78" s="1"/>
      <c r="AD78" s="3"/>
      <c r="AE78" s="3"/>
      <c r="AF78" s="5"/>
      <c r="AG78" s="5"/>
      <c r="AH78" s="5"/>
      <c r="AI78" s="5"/>
      <c r="AJ78" s="6"/>
      <c r="AK78" s="6"/>
      <c r="AL78" s="12"/>
      <c r="AM78" s="12"/>
      <c r="AN78" s="12"/>
      <c r="AO78" s="12"/>
      <c r="AP78" s="12"/>
    </row>
    <row r="79" spans="1:42" ht="15" x14ac:dyDescent="0.25">
      <c r="A79" s="82" t="str">
        <f>TDCTRIBE!I88</f>
        <v>Alaska</v>
      </c>
      <c r="B79" s="82" t="str">
        <f>TDCTRIBE!B88</f>
        <v>AK</v>
      </c>
      <c r="C79" s="82" t="str">
        <f>TDCTRIBE!F88</f>
        <v>Golovin (Chinik)</v>
      </c>
      <c r="D79" s="83">
        <f>TDCTRIBE!Y88</f>
        <v>537627.23286300001</v>
      </c>
      <c r="E79" s="83">
        <f>TDCTRIBE!Z88</f>
        <v>593892.8539060998</v>
      </c>
      <c r="F79" s="83">
        <f>TDCTRIBE!AA88</f>
        <v>670883.01826070005</v>
      </c>
      <c r="G79" s="83">
        <f>TDCTRIBE!AB88</f>
        <v>727154.03193440009</v>
      </c>
      <c r="H79" s="83">
        <f>TDCTRIBE!AC88</f>
        <v>784795.42359260004</v>
      </c>
      <c r="O79" s="9"/>
      <c r="P79" s="1"/>
      <c r="Q79" s="1"/>
      <c r="R79" s="1"/>
      <c r="S79" s="1"/>
      <c r="T79" s="1"/>
      <c r="U79" s="1"/>
      <c r="V79" s="9"/>
      <c r="W79" s="3"/>
      <c r="X79" s="4"/>
      <c r="Y79" s="1"/>
      <c r="Z79" s="1"/>
      <c r="AA79" s="1"/>
      <c r="AB79" s="1"/>
      <c r="AC79" s="1"/>
      <c r="AD79" s="3"/>
      <c r="AE79" s="3"/>
      <c r="AF79" s="5"/>
      <c r="AG79" s="5"/>
      <c r="AH79" s="5"/>
      <c r="AI79" s="5"/>
      <c r="AJ79" s="6"/>
      <c r="AK79" s="6"/>
      <c r="AL79" s="12"/>
      <c r="AM79" s="12"/>
      <c r="AN79" s="12"/>
      <c r="AO79" s="12"/>
      <c r="AP79" s="12"/>
    </row>
    <row r="80" spans="1:42" ht="15" x14ac:dyDescent="0.25">
      <c r="A80" s="82" t="str">
        <f>TDCTRIBE!I89</f>
        <v>Alaska</v>
      </c>
      <c r="B80" s="82" t="str">
        <f>TDCTRIBE!B89</f>
        <v>AK</v>
      </c>
      <c r="C80" s="82" t="str">
        <f>TDCTRIBE!F89</f>
        <v>Goodnews Bay</v>
      </c>
      <c r="D80" s="83">
        <f>TDCTRIBE!Y89</f>
        <v>537627.23286300001</v>
      </c>
      <c r="E80" s="83">
        <f>TDCTRIBE!Z89</f>
        <v>593892.8539060998</v>
      </c>
      <c r="F80" s="83">
        <f>TDCTRIBE!AA89</f>
        <v>670883.01826070005</v>
      </c>
      <c r="G80" s="83">
        <f>TDCTRIBE!AB89</f>
        <v>727154.03193440009</v>
      </c>
      <c r="H80" s="83">
        <f>TDCTRIBE!AC89</f>
        <v>784795.42359260004</v>
      </c>
      <c r="O80" s="9"/>
      <c r="P80" s="1"/>
      <c r="Q80" s="1"/>
      <c r="R80" s="1"/>
      <c r="S80" s="1"/>
      <c r="T80" s="1"/>
      <c r="U80" s="1"/>
      <c r="V80" s="9"/>
      <c r="W80" s="3"/>
      <c r="X80" s="4"/>
      <c r="Y80" s="1"/>
      <c r="Z80" s="1"/>
      <c r="AA80" s="1"/>
      <c r="AB80" s="1"/>
      <c r="AC80" s="1"/>
      <c r="AD80" s="3"/>
      <c r="AE80" s="3"/>
      <c r="AF80" s="5"/>
      <c r="AG80" s="5"/>
      <c r="AH80" s="5"/>
      <c r="AI80" s="5"/>
      <c r="AJ80" s="6"/>
      <c r="AK80" s="6"/>
      <c r="AL80" s="12"/>
      <c r="AM80" s="12"/>
      <c r="AN80" s="12"/>
      <c r="AO80" s="12"/>
      <c r="AP80" s="12"/>
    </row>
    <row r="81" spans="1:42" ht="15" x14ac:dyDescent="0.25">
      <c r="A81" s="82" t="str">
        <f>TDCTRIBE!I90</f>
        <v>Alaska</v>
      </c>
      <c r="B81" s="82" t="str">
        <f>TDCTRIBE!B90</f>
        <v>AK</v>
      </c>
      <c r="C81" s="82" t="str">
        <f>TDCTRIBE!F90</f>
        <v>Grayling</v>
      </c>
      <c r="D81" s="83">
        <f>TDCTRIBE!Y90</f>
        <v>537627.23286300001</v>
      </c>
      <c r="E81" s="83">
        <f>TDCTRIBE!Z90</f>
        <v>593892.8539060998</v>
      </c>
      <c r="F81" s="83">
        <f>TDCTRIBE!AA90</f>
        <v>670883.01826070005</v>
      </c>
      <c r="G81" s="83">
        <f>TDCTRIBE!AB90</f>
        <v>727154.03193440009</v>
      </c>
      <c r="H81" s="83">
        <f>TDCTRIBE!AC90</f>
        <v>784795.42359260004</v>
      </c>
      <c r="O81" s="9"/>
      <c r="P81" s="1"/>
      <c r="Q81" s="1"/>
      <c r="R81" s="1"/>
      <c r="S81" s="1"/>
      <c r="T81" s="1"/>
      <c r="U81" s="1"/>
      <c r="V81" s="9"/>
      <c r="W81" s="3"/>
      <c r="X81" s="4"/>
      <c r="Y81" s="1"/>
      <c r="Z81" s="1"/>
      <c r="AA81" s="1"/>
      <c r="AB81" s="1"/>
      <c r="AC81" s="1"/>
      <c r="AD81" s="3"/>
      <c r="AE81" s="3"/>
      <c r="AF81" s="5"/>
      <c r="AG81" s="5"/>
      <c r="AH81" s="5"/>
      <c r="AI81" s="5"/>
      <c r="AJ81" s="6"/>
      <c r="AK81" s="6"/>
      <c r="AL81" s="12"/>
      <c r="AM81" s="12"/>
      <c r="AN81" s="12"/>
      <c r="AO81" s="12"/>
      <c r="AP81" s="12"/>
    </row>
    <row r="82" spans="1:42" ht="15" x14ac:dyDescent="0.25">
      <c r="A82" s="82" t="str">
        <f>TDCTRIBE!I91</f>
        <v>Alaska</v>
      </c>
      <c r="B82" s="82" t="str">
        <f>TDCTRIBE!B91</f>
        <v>AK</v>
      </c>
      <c r="C82" s="82" t="str">
        <f>TDCTRIBE!F91</f>
        <v>Gulkana</v>
      </c>
      <c r="D82" s="83">
        <f>TDCTRIBE!Y91</f>
        <v>465666.31849500001</v>
      </c>
      <c r="E82" s="83">
        <f>TDCTRIBE!Z91</f>
        <v>514428.62433899997</v>
      </c>
      <c r="F82" s="83">
        <f>TDCTRIBE!AA91</f>
        <v>581158.19019300013</v>
      </c>
      <c r="G82" s="83">
        <f>TDCTRIBE!AB91</f>
        <v>629926.37213100016</v>
      </c>
      <c r="H82" s="83">
        <f>TDCTRIBE!AC91</f>
        <v>679867.06659900001</v>
      </c>
      <c r="O82" s="9"/>
      <c r="P82" s="1"/>
      <c r="Q82" s="1"/>
      <c r="R82" s="1"/>
      <c r="S82" s="1"/>
      <c r="T82" s="1"/>
      <c r="U82" s="1"/>
      <c r="V82" s="9"/>
      <c r="W82" s="3"/>
      <c r="X82" s="4"/>
      <c r="Y82" s="1"/>
      <c r="Z82" s="1"/>
      <c r="AA82" s="1"/>
      <c r="AB82" s="1"/>
      <c r="AC82" s="1"/>
      <c r="AD82" s="3"/>
      <c r="AE82" s="3"/>
      <c r="AF82" s="5"/>
      <c r="AG82" s="5"/>
      <c r="AH82" s="5"/>
      <c r="AI82" s="5"/>
      <c r="AJ82" s="6"/>
      <c r="AK82" s="6"/>
      <c r="AL82" s="12"/>
      <c r="AM82" s="12"/>
      <c r="AN82" s="12"/>
      <c r="AO82" s="12"/>
      <c r="AP82" s="12"/>
    </row>
    <row r="83" spans="1:42" ht="15" x14ac:dyDescent="0.25">
      <c r="A83" s="82" t="str">
        <f>TDCTRIBE!I92</f>
        <v>Alaska</v>
      </c>
      <c r="B83" s="82" t="str">
        <f>TDCTRIBE!B92</f>
        <v>AK</v>
      </c>
      <c r="C83" s="82" t="str">
        <f>TDCTRIBE!F92</f>
        <v>Hamilton</v>
      </c>
      <c r="D83" s="83">
        <f>TDCTRIBE!Y92</f>
        <v>537627.23286300001</v>
      </c>
      <c r="E83" s="83">
        <f>TDCTRIBE!Z92</f>
        <v>593892.8539060998</v>
      </c>
      <c r="F83" s="83">
        <f>TDCTRIBE!AA92</f>
        <v>670883.01826070005</v>
      </c>
      <c r="G83" s="83">
        <f>TDCTRIBE!AB92</f>
        <v>727154.03193440009</v>
      </c>
      <c r="H83" s="83">
        <f>TDCTRIBE!AC92</f>
        <v>784795.42359260004</v>
      </c>
      <c r="O83" s="9"/>
      <c r="P83" s="1"/>
      <c r="Q83" s="1"/>
      <c r="R83" s="1"/>
      <c r="S83" s="1"/>
      <c r="T83" s="1"/>
      <c r="U83" s="1"/>
      <c r="V83" s="9"/>
      <c r="W83" s="3"/>
      <c r="X83" s="4"/>
      <c r="Y83" s="1"/>
      <c r="Z83" s="1"/>
      <c r="AA83" s="1"/>
      <c r="AB83" s="1"/>
      <c r="AC83" s="1"/>
      <c r="AD83" s="3"/>
      <c r="AE83" s="3"/>
      <c r="AF83" s="5"/>
      <c r="AG83" s="5"/>
      <c r="AH83" s="5"/>
      <c r="AI83" s="5"/>
      <c r="AJ83" s="6"/>
      <c r="AK83" s="6"/>
      <c r="AL83" s="12"/>
      <c r="AM83" s="12"/>
      <c r="AN83" s="12"/>
      <c r="AO83" s="12"/>
      <c r="AP83" s="12"/>
    </row>
    <row r="84" spans="1:42" ht="15" x14ac:dyDescent="0.25">
      <c r="A84" s="82" t="str">
        <f>TDCTRIBE!I93</f>
        <v>Alaska</v>
      </c>
      <c r="B84" s="82" t="str">
        <f>TDCTRIBE!B93</f>
        <v>AK</v>
      </c>
      <c r="C84" s="82" t="str">
        <f>TDCTRIBE!F93</f>
        <v>Healy Lake</v>
      </c>
      <c r="D84" s="83">
        <f>TDCTRIBE!Y93</f>
        <v>537627.23286300001</v>
      </c>
      <c r="E84" s="83">
        <f>TDCTRIBE!Z93</f>
        <v>593892.8539060998</v>
      </c>
      <c r="F84" s="83">
        <f>TDCTRIBE!AA93</f>
        <v>670883.01826070005</v>
      </c>
      <c r="G84" s="83">
        <f>TDCTRIBE!AB93</f>
        <v>727154.03193440009</v>
      </c>
      <c r="H84" s="83">
        <f>TDCTRIBE!AC93</f>
        <v>784795.42359260004</v>
      </c>
      <c r="O84" s="9"/>
      <c r="P84" s="1"/>
      <c r="Q84" s="1"/>
      <c r="R84" s="1"/>
      <c r="S84" s="1"/>
      <c r="T84" s="1"/>
      <c r="U84" s="1"/>
      <c r="V84" s="9"/>
      <c r="W84" s="3"/>
      <c r="X84" s="4"/>
      <c r="Y84" s="1"/>
      <c r="Z84" s="1"/>
      <c r="AA84" s="1"/>
      <c r="AB84" s="1"/>
      <c r="AC84" s="1"/>
      <c r="AD84" s="3"/>
      <c r="AE84" s="3"/>
      <c r="AF84" s="5"/>
      <c r="AG84" s="5"/>
      <c r="AH84" s="5"/>
      <c r="AI84" s="5"/>
      <c r="AJ84" s="6"/>
      <c r="AK84" s="6"/>
      <c r="AL84" s="12"/>
      <c r="AM84" s="12"/>
      <c r="AN84" s="12"/>
      <c r="AO84" s="12"/>
      <c r="AP84" s="12"/>
    </row>
    <row r="85" spans="1:42" ht="15" x14ac:dyDescent="0.25">
      <c r="A85" s="82" t="str">
        <f>TDCTRIBE!I94</f>
        <v>Alaska</v>
      </c>
      <c r="B85" s="82" t="str">
        <f>TDCTRIBE!B94</f>
        <v>AK</v>
      </c>
      <c r="C85" s="82" t="str">
        <f>TDCTRIBE!F94</f>
        <v>Holy Cross</v>
      </c>
      <c r="D85" s="83">
        <f>TDCTRIBE!Y94</f>
        <v>537627.23286300001</v>
      </c>
      <c r="E85" s="83">
        <f>TDCTRIBE!Z94</f>
        <v>593892.8539060998</v>
      </c>
      <c r="F85" s="83">
        <f>TDCTRIBE!AA94</f>
        <v>670883.01826070005</v>
      </c>
      <c r="G85" s="83">
        <f>TDCTRIBE!AB94</f>
        <v>727154.03193440009</v>
      </c>
      <c r="H85" s="83">
        <f>TDCTRIBE!AC94</f>
        <v>784795.42359260004</v>
      </c>
      <c r="O85" s="9"/>
      <c r="P85" s="1"/>
      <c r="Q85" s="1"/>
      <c r="R85" s="1"/>
      <c r="S85" s="1"/>
      <c r="T85" s="1"/>
      <c r="U85" s="1"/>
      <c r="V85" s="9"/>
      <c r="W85" s="3"/>
      <c r="X85" s="4"/>
      <c r="Y85" s="1"/>
      <c r="Z85" s="1"/>
      <c r="AA85" s="1"/>
      <c r="AB85" s="1"/>
      <c r="AC85" s="1"/>
      <c r="AD85" s="3"/>
      <c r="AE85" s="3"/>
      <c r="AF85" s="5"/>
      <c r="AG85" s="5"/>
      <c r="AH85" s="5"/>
      <c r="AI85" s="5"/>
      <c r="AJ85" s="6"/>
      <c r="AK85" s="6"/>
      <c r="AL85" s="12"/>
      <c r="AM85" s="12"/>
      <c r="AN85" s="12"/>
      <c r="AO85" s="12"/>
      <c r="AP85" s="12"/>
    </row>
    <row r="86" spans="1:42" ht="15" x14ac:dyDescent="0.25">
      <c r="A86" s="82" t="str">
        <f>TDCTRIBE!I95</f>
        <v>Alaska</v>
      </c>
      <c r="B86" s="82" t="str">
        <f>TDCTRIBE!B95</f>
        <v>AK</v>
      </c>
      <c r="C86" s="82" t="str">
        <f>TDCTRIBE!F95</f>
        <v>Hoonah</v>
      </c>
      <c r="D86" s="83">
        <f>TDCTRIBE!Y95</f>
        <v>465666.31849500001</v>
      </c>
      <c r="E86" s="83">
        <f>TDCTRIBE!Z95</f>
        <v>514428.62433899997</v>
      </c>
      <c r="F86" s="83">
        <f>TDCTRIBE!AA95</f>
        <v>581158.19019300013</v>
      </c>
      <c r="G86" s="83">
        <f>TDCTRIBE!AB95</f>
        <v>629926.37213100016</v>
      </c>
      <c r="H86" s="83">
        <f>TDCTRIBE!AC95</f>
        <v>679867.06659900001</v>
      </c>
      <c r="O86" s="9"/>
      <c r="P86" s="1"/>
      <c r="Q86" s="1"/>
      <c r="R86" s="1"/>
      <c r="S86" s="1"/>
      <c r="T86" s="1"/>
      <c r="U86" s="1"/>
      <c r="V86" s="9"/>
      <c r="W86" s="3"/>
      <c r="X86" s="4"/>
      <c r="Y86" s="1"/>
      <c r="Z86" s="1"/>
      <c r="AA86" s="1"/>
      <c r="AB86" s="1"/>
      <c r="AC86" s="1"/>
      <c r="AD86" s="3"/>
      <c r="AE86" s="3"/>
      <c r="AF86" s="5"/>
      <c r="AG86" s="5"/>
      <c r="AH86" s="5"/>
      <c r="AI86" s="5"/>
      <c r="AJ86" s="6"/>
      <c r="AK86" s="6"/>
      <c r="AL86" s="12"/>
      <c r="AM86" s="12"/>
      <c r="AN86" s="12"/>
      <c r="AO86" s="12"/>
      <c r="AP86" s="12"/>
    </row>
    <row r="87" spans="1:42" ht="15" x14ac:dyDescent="0.25">
      <c r="A87" s="82" t="str">
        <f>TDCTRIBE!I96</f>
        <v>Alaska</v>
      </c>
      <c r="B87" s="82" t="str">
        <f>TDCTRIBE!B96</f>
        <v>AK</v>
      </c>
      <c r="C87" s="82" t="str">
        <f>TDCTRIBE!F96</f>
        <v>Hooper Bay</v>
      </c>
      <c r="D87" s="83">
        <f>TDCTRIBE!Y96</f>
        <v>537627.23286300001</v>
      </c>
      <c r="E87" s="83">
        <f>TDCTRIBE!Z96</f>
        <v>593892.8539060998</v>
      </c>
      <c r="F87" s="83">
        <f>TDCTRIBE!AA96</f>
        <v>670883.01826070005</v>
      </c>
      <c r="G87" s="83">
        <f>TDCTRIBE!AB96</f>
        <v>727154.03193440009</v>
      </c>
      <c r="H87" s="83">
        <f>TDCTRIBE!AC96</f>
        <v>784795.42359260004</v>
      </c>
      <c r="O87" s="9"/>
      <c r="P87" s="1"/>
      <c r="Q87" s="1"/>
      <c r="R87" s="1"/>
      <c r="S87" s="1"/>
      <c r="T87" s="1"/>
      <c r="U87" s="1"/>
      <c r="V87" s="9"/>
      <c r="W87" s="3"/>
      <c r="X87" s="4"/>
      <c r="Y87" s="1"/>
      <c r="Z87" s="1"/>
      <c r="AA87" s="1"/>
      <c r="AB87" s="1"/>
      <c r="AC87" s="1"/>
      <c r="AD87" s="3"/>
      <c r="AE87" s="3"/>
      <c r="AF87" s="5"/>
      <c r="AG87" s="5"/>
      <c r="AH87" s="5"/>
      <c r="AI87" s="5"/>
      <c r="AJ87" s="6"/>
      <c r="AK87" s="6"/>
      <c r="AL87" s="12"/>
      <c r="AM87" s="12"/>
      <c r="AN87" s="12"/>
      <c r="AO87" s="12"/>
      <c r="AP87" s="12"/>
    </row>
    <row r="88" spans="1:42" ht="15" x14ac:dyDescent="0.25">
      <c r="A88" s="82" t="str">
        <f>TDCTRIBE!I97</f>
        <v>Alaska</v>
      </c>
      <c r="B88" s="82" t="str">
        <f>TDCTRIBE!B97</f>
        <v>AK</v>
      </c>
      <c r="C88" s="82" t="str">
        <f>TDCTRIBE!F97</f>
        <v>Hughes</v>
      </c>
      <c r="D88" s="83">
        <f>TDCTRIBE!Y97</f>
        <v>573912.50187599997</v>
      </c>
      <c r="E88" s="83">
        <f>TDCTRIBE!Z97</f>
        <v>633906.89508719998</v>
      </c>
      <c r="F88" s="83">
        <f>TDCTRIBE!AA97</f>
        <v>715983.34034640016</v>
      </c>
      <c r="G88" s="83">
        <f>TDCTRIBE!AB97</f>
        <v>775980.51116880018</v>
      </c>
      <c r="H88" s="83">
        <f>TDCTRIBE!AC97</f>
        <v>837476.24333520012</v>
      </c>
      <c r="O88" s="9"/>
      <c r="P88" s="1"/>
      <c r="Q88" s="1"/>
      <c r="R88" s="1"/>
      <c r="S88" s="1"/>
      <c r="T88" s="1"/>
      <c r="U88" s="1"/>
      <c r="V88" s="9"/>
      <c r="W88" s="3"/>
      <c r="X88" s="4"/>
      <c r="Y88" s="1"/>
      <c r="Z88" s="1"/>
      <c r="AA88" s="1"/>
      <c r="AB88" s="1"/>
      <c r="AC88" s="1"/>
      <c r="AD88" s="3"/>
      <c r="AE88" s="3"/>
      <c r="AF88" s="5"/>
      <c r="AG88" s="5"/>
      <c r="AH88" s="5"/>
      <c r="AI88" s="5"/>
      <c r="AJ88" s="6"/>
      <c r="AK88" s="6"/>
      <c r="AL88" s="12"/>
      <c r="AM88" s="12"/>
      <c r="AN88" s="12"/>
      <c r="AO88" s="12"/>
      <c r="AP88" s="12"/>
    </row>
    <row r="89" spans="1:42" ht="15" x14ac:dyDescent="0.25">
      <c r="A89" s="82" t="str">
        <f>TDCTRIBE!I98</f>
        <v>Alaska</v>
      </c>
      <c r="B89" s="82" t="str">
        <f>TDCTRIBE!B98</f>
        <v>AK</v>
      </c>
      <c r="C89" s="82" t="str">
        <f>TDCTRIBE!F98</f>
        <v>Huslia</v>
      </c>
      <c r="D89" s="83">
        <f>TDCTRIBE!Y98</f>
        <v>573912.50187599997</v>
      </c>
      <c r="E89" s="83">
        <f>TDCTRIBE!Z98</f>
        <v>633906.89508719998</v>
      </c>
      <c r="F89" s="83">
        <f>TDCTRIBE!AA98</f>
        <v>715983.34034640016</v>
      </c>
      <c r="G89" s="83">
        <f>TDCTRIBE!AB98</f>
        <v>775980.51116880018</v>
      </c>
      <c r="H89" s="83">
        <f>TDCTRIBE!AC98</f>
        <v>837476.24333520012</v>
      </c>
      <c r="O89" s="9"/>
      <c r="P89" s="1"/>
      <c r="Q89" s="1"/>
      <c r="R89" s="1"/>
      <c r="S89" s="1"/>
      <c r="T89" s="1"/>
      <c r="U89" s="1"/>
      <c r="V89" s="9"/>
      <c r="W89" s="3"/>
      <c r="X89" s="4"/>
      <c r="Y89" s="1"/>
      <c r="Z89" s="1"/>
      <c r="AA89" s="1"/>
      <c r="AB89" s="1"/>
      <c r="AC89" s="1"/>
      <c r="AD89" s="3"/>
      <c r="AE89" s="3"/>
      <c r="AF89" s="5"/>
      <c r="AG89" s="5"/>
      <c r="AH89" s="5"/>
      <c r="AI89" s="5"/>
      <c r="AJ89" s="6"/>
      <c r="AK89" s="6"/>
      <c r="AL89" s="12"/>
      <c r="AM89" s="12"/>
      <c r="AN89" s="12"/>
      <c r="AO89" s="12"/>
      <c r="AP89" s="12"/>
    </row>
    <row r="90" spans="1:42" ht="15" x14ac:dyDescent="0.25">
      <c r="A90" s="82" t="str">
        <f>TDCTRIBE!I99</f>
        <v>Alaska</v>
      </c>
      <c r="B90" s="82" t="str">
        <f>TDCTRIBE!B99</f>
        <v>AK</v>
      </c>
      <c r="C90" s="82" t="str">
        <f>TDCTRIBE!F99</f>
        <v>Hydaburg</v>
      </c>
      <c r="D90" s="83">
        <f>TDCTRIBE!Y99</f>
        <v>465666.31849500001</v>
      </c>
      <c r="E90" s="83">
        <f>TDCTRIBE!Z99</f>
        <v>514428.62433899997</v>
      </c>
      <c r="F90" s="83">
        <f>TDCTRIBE!AA99</f>
        <v>581158.19019300013</v>
      </c>
      <c r="G90" s="83">
        <f>TDCTRIBE!AB99</f>
        <v>629926.37213100016</v>
      </c>
      <c r="H90" s="83">
        <f>TDCTRIBE!AC99</f>
        <v>679867.06659900001</v>
      </c>
      <c r="O90" s="9"/>
      <c r="P90" s="1"/>
      <c r="Q90" s="1"/>
      <c r="R90" s="1"/>
      <c r="S90" s="1"/>
      <c r="T90" s="1"/>
      <c r="U90" s="1"/>
      <c r="V90" s="9"/>
      <c r="W90" s="3"/>
      <c r="X90" s="4"/>
      <c r="Y90" s="1"/>
      <c r="Z90" s="1"/>
      <c r="AA90" s="1"/>
      <c r="AB90" s="1"/>
      <c r="AC90" s="1"/>
      <c r="AD90" s="3"/>
      <c r="AE90" s="3"/>
      <c r="AF90" s="5"/>
      <c r="AG90" s="5"/>
      <c r="AH90" s="5"/>
      <c r="AI90" s="5"/>
      <c r="AJ90" s="6"/>
      <c r="AK90" s="6"/>
      <c r="AL90" s="12"/>
      <c r="AM90" s="12"/>
      <c r="AN90" s="12"/>
      <c r="AO90" s="12"/>
      <c r="AP90" s="12"/>
    </row>
    <row r="91" spans="1:42" ht="15" x14ac:dyDescent="0.25">
      <c r="A91" s="82" t="str">
        <f>TDCTRIBE!I100</f>
        <v>Alaska</v>
      </c>
      <c r="B91" s="82" t="str">
        <f>TDCTRIBE!B100</f>
        <v>AK</v>
      </c>
      <c r="C91" s="82" t="str">
        <f>TDCTRIBE!F100</f>
        <v>Igiugig</v>
      </c>
      <c r="D91" s="83">
        <f>TDCTRIBE!Y100</f>
        <v>537627.23286300001</v>
      </c>
      <c r="E91" s="83">
        <f>TDCTRIBE!Z100</f>
        <v>593892.8539060998</v>
      </c>
      <c r="F91" s="83">
        <f>TDCTRIBE!AA100</f>
        <v>670883.01826070005</v>
      </c>
      <c r="G91" s="83">
        <f>TDCTRIBE!AB100</f>
        <v>727154.03193440009</v>
      </c>
      <c r="H91" s="83">
        <f>TDCTRIBE!AC100</f>
        <v>784795.42359260004</v>
      </c>
      <c r="O91" s="9"/>
      <c r="P91" s="1"/>
      <c r="Q91" s="1"/>
      <c r="R91" s="1"/>
      <c r="S91" s="1"/>
      <c r="T91" s="1"/>
      <c r="U91" s="1"/>
      <c r="V91" s="9"/>
      <c r="W91" s="3"/>
      <c r="X91" s="4"/>
      <c r="Y91" s="1"/>
      <c r="Z91" s="1"/>
      <c r="AA91" s="1"/>
      <c r="AB91" s="1"/>
      <c r="AC91" s="1"/>
      <c r="AD91" s="3"/>
      <c r="AE91" s="3"/>
      <c r="AF91" s="5"/>
      <c r="AG91" s="5"/>
      <c r="AH91" s="5"/>
      <c r="AI91" s="5"/>
      <c r="AJ91" s="6"/>
      <c r="AK91" s="6"/>
      <c r="AL91" s="12"/>
      <c r="AM91" s="12"/>
      <c r="AN91" s="12"/>
      <c r="AO91" s="12"/>
      <c r="AP91" s="12"/>
    </row>
    <row r="92" spans="1:42" ht="15" x14ac:dyDescent="0.25">
      <c r="A92" s="82" t="str">
        <f>TDCTRIBE!I101</f>
        <v>Alaska</v>
      </c>
      <c r="B92" s="82" t="str">
        <f>TDCTRIBE!B101</f>
        <v>AK</v>
      </c>
      <c r="C92" s="82" t="str">
        <f>TDCTRIBE!F101</f>
        <v>Iliamna</v>
      </c>
      <c r="D92" s="83">
        <f>TDCTRIBE!Y101</f>
        <v>537627.23286300001</v>
      </c>
      <c r="E92" s="83">
        <f>TDCTRIBE!Z101</f>
        <v>593892.8539060998</v>
      </c>
      <c r="F92" s="83">
        <f>TDCTRIBE!AA101</f>
        <v>670883.01826070005</v>
      </c>
      <c r="G92" s="83">
        <f>TDCTRIBE!AB101</f>
        <v>727154.03193440009</v>
      </c>
      <c r="H92" s="83">
        <f>TDCTRIBE!AC101</f>
        <v>784795.42359260004</v>
      </c>
      <c r="O92" s="9"/>
      <c r="P92" s="1"/>
      <c r="Q92" s="1"/>
      <c r="R92" s="1"/>
      <c r="S92" s="1"/>
      <c r="T92" s="1"/>
      <c r="U92" s="1"/>
      <c r="V92" s="9"/>
      <c r="W92" s="3"/>
      <c r="X92" s="4"/>
      <c r="Y92" s="1"/>
      <c r="Z92" s="1"/>
      <c r="AA92" s="1"/>
      <c r="AB92" s="1"/>
      <c r="AC92" s="1"/>
      <c r="AD92" s="3"/>
      <c r="AE92" s="3"/>
      <c r="AF92" s="5"/>
      <c r="AG92" s="5"/>
      <c r="AH92" s="5"/>
      <c r="AI92" s="5"/>
      <c r="AJ92" s="6"/>
      <c r="AK92" s="6"/>
      <c r="AL92" s="12"/>
      <c r="AM92" s="12"/>
      <c r="AN92" s="12"/>
      <c r="AO92" s="12"/>
      <c r="AP92" s="12"/>
    </row>
    <row r="93" spans="1:42" ht="15" x14ac:dyDescent="0.25">
      <c r="A93" s="82" t="str">
        <f>TDCTRIBE!I102</f>
        <v>Alaska</v>
      </c>
      <c r="B93" s="82" t="str">
        <f>TDCTRIBE!B102</f>
        <v>AK</v>
      </c>
      <c r="C93" s="82" t="str">
        <f>TDCTRIBE!F102</f>
        <v>Inalik (Diomede)</v>
      </c>
      <c r="D93" s="83">
        <f>TDCTRIBE!Y102</f>
        <v>573912.50187599997</v>
      </c>
      <c r="E93" s="83">
        <f>TDCTRIBE!Z102</f>
        <v>633906.89508719998</v>
      </c>
      <c r="F93" s="83">
        <f>TDCTRIBE!AA102</f>
        <v>715983.34034640016</v>
      </c>
      <c r="G93" s="83">
        <f>TDCTRIBE!AB102</f>
        <v>775980.51116880018</v>
      </c>
      <c r="H93" s="83">
        <f>TDCTRIBE!AC102</f>
        <v>837476.24333520012</v>
      </c>
      <c r="O93" s="9"/>
      <c r="P93" s="1"/>
      <c r="Q93" s="1"/>
      <c r="R93" s="1"/>
      <c r="S93" s="1"/>
      <c r="T93" s="1"/>
      <c r="U93" s="1"/>
      <c r="V93" s="9"/>
      <c r="W93" s="3"/>
      <c r="X93" s="4"/>
      <c r="Y93" s="1"/>
      <c r="Z93" s="1"/>
      <c r="AA93" s="1"/>
      <c r="AB93" s="1"/>
      <c r="AC93" s="1"/>
      <c r="AD93" s="3"/>
      <c r="AE93" s="3"/>
      <c r="AF93" s="5"/>
      <c r="AG93" s="5"/>
      <c r="AH93" s="5"/>
      <c r="AI93" s="5"/>
      <c r="AJ93" s="6"/>
      <c r="AK93" s="6"/>
      <c r="AL93" s="12"/>
      <c r="AM93" s="12"/>
      <c r="AN93" s="12"/>
      <c r="AO93" s="12"/>
      <c r="AP93" s="12"/>
    </row>
    <row r="94" spans="1:42" ht="15" x14ac:dyDescent="0.25">
      <c r="A94" s="82" t="str">
        <f>TDCTRIBE!I103</f>
        <v>Alaska</v>
      </c>
      <c r="B94" s="82" t="str">
        <f>TDCTRIBE!B103</f>
        <v>AK</v>
      </c>
      <c r="C94" s="82" t="str">
        <f>TDCTRIBE!F103</f>
        <v>Inupiat Community</v>
      </c>
      <c r="D94" s="83">
        <f>TDCTRIBE!Y103</f>
        <v>573912.50187599997</v>
      </c>
      <c r="E94" s="83">
        <f>TDCTRIBE!Z103</f>
        <v>633906.89508719998</v>
      </c>
      <c r="F94" s="83">
        <f>TDCTRIBE!AA103</f>
        <v>715983.34034640016</v>
      </c>
      <c r="G94" s="83">
        <f>TDCTRIBE!AB103</f>
        <v>775980.51116880018</v>
      </c>
      <c r="H94" s="83">
        <f>TDCTRIBE!AC103</f>
        <v>837476.24333520012</v>
      </c>
      <c r="O94" s="9"/>
      <c r="P94" s="1"/>
      <c r="Q94" s="1"/>
      <c r="R94" s="1"/>
      <c r="S94" s="1"/>
      <c r="T94" s="1"/>
      <c r="U94" s="1"/>
      <c r="V94" s="9"/>
      <c r="W94" s="3"/>
      <c r="X94" s="4"/>
      <c r="Y94" s="1"/>
      <c r="Z94" s="1"/>
      <c r="AA94" s="1"/>
      <c r="AB94" s="1"/>
      <c r="AC94" s="1"/>
      <c r="AD94" s="3"/>
      <c r="AE94" s="3"/>
      <c r="AF94" s="5"/>
      <c r="AG94" s="5"/>
      <c r="AH94" s="5"/>
      <c r="AI94" s="5"/>
      <c r="AJ94" s="6"/>
      <c r="AK94" s="6"/>
      <c r="AL94" s="12"/>
      <c r="AM94" s="12"/>
      <c r="AN94" s="12"/>
      <c r="AO94" s="12"/>
      <c r="AP94" s="12"/>
    </row>
    <row r="95" spans="1:42" ht="15" x14ac:dyDescent="0.25">
      <c r="A95" s="82" t="str">
        <f>TDCTRIBE!I104</f>
        <v>Alaska</v>
      </c>
      <c r="B95" s="82" t="str">
        <f>TDCTRIBE!B104</f>
        <v>AK</v>
      </c>
      <c r="C95" s="82" t="str">
        <f>TDCTRIBE!F104</f>
        <v>Ivanoff Bay</v>
      </c>
      <c r="D95" s="83">
        <f>TDCTRIBE!Y104</f>
        <v>537627.23286300001</v>
      </c>
      <c r="E95" s="83">
        <f>TDCTRIBE!Z104</f>
        <v>593892.8539060998</v>
      </c>
      <c r="F95" s="83">
        <f>TDCTRIBE!AA104</f>
        <v>670883.01826070005</v>
      </c>
      <c r="G95" s="83">
        <f>TDCTRIBE!AB104</f>
        <v>727154.03193440009</v>
      </c>
      <c r="H95" s="83">
        <f>TDCTRIBE!AC104</f>
        <v>784795.42359260004</v>
      </c>
      <c r="O95" s="9"/>
      <c r="P95" s="1"/>
      <c r="Q95" s="1"/>
      <c r="R95" s="1"/>
      <c r="S95" s="1"/>
      <c r="T95" s="1"/>
      <c r="U95" s="1"/>
      <c r="V95" s="9"/>
      <c r="W95" s="3"/>
      <c r="X95" s="4"/>
      <c r="Y95" s="1"/>
      <c r="Z95" s="1"/>
      <c r="AA95" s="1"/>
      <c r="AB95" s="1"/>
      <c r="AC95" s="1"/>
      <c r="AD95" s="3"/>
      <c r="AE95" s="3"/>
      <c r="AF95" s="5"/>
      <c r="AG95" s="5"/>
      <c r="AH95" s="5"/>
      <c r="AI95" s="5"/>
      <c r="AJ95" s="6"/>
      <c r="AK95" s="6"/>
      <c r="AL95" s="12"/>
      <c r="AM95" s="12"/>
      <c r="AN95" s="12"/>
      <c r="AO95" s="12"/>
      <c r="AP95" s="12"/>
    </row>
    <row r="96" spans="1:42" ht="15" x14ac:dyDescent="0.25">
      <c r="A96" s="82" t="str">
        <f>TDCTRIBE!I105</f>
        <v>Alaska</v>
      </c>
      <c r="B96" s="82" t="str">
        <f>TDCTRIBE!B105</f>
        <v>AK</v>
      </c>
      <c r="C96" s="82" t="str">
        <f>TDCTRIBE!F105</f>
        <v>Kaguyak</v>
      </c>
      <c r="D96" s="83">
        <f>TDCTRIBE!Y105</f>
        <v>537627.23286300001</v>
      </c>
      <c r="E96" s="83">
        <f>TDCTRIBE!Z105</f>
        <v>593892.8539060998</v>
      </c>
      <c r="F96" s="83">
        <f>TDCTRIBE!AA105</f>
        <v>670883.01826070005</v>
      </c>
      <c r="G96" s="83">
        <f>TDCTRIBE!AB105</f>
        <v>727154.03193440009</v>
      </c>
      <c r="H96" s="83">
        <f>TDCTRIBE!AC105</f>
        <v>784795.42359260004</v>
      </c>
      <c r="O96" s="9"/>
      <c r="P96" s="1"/>
      <c r="Q96" s="1"/>
      <c r="R96" s="1"/>
      <c r="S96" s="1"/>
      <c r="T96" s="1"/>
      <c r="U96" s="1"/>
      <c r="V96" s="9"/>
      <c r="W96" s="3"/>
      <c r="X96" s="4"/>
      <c r="Y96" s="1"/>
      <c r="Z96" s="1"/>
      <c r="AA96" s="1"/>
      <c r="AB96" s="1"/>
      <c r="AC96" s="1"/>
      <c r="AD96" s="3"/>
      <c r="AE96" s="3"/>
      <c r="AF96" s="5"/>
      <c r="AG96" s="5"/>
      <c r="AH96" s="5"/>
      <c r="AI96" s="5"/>
      <c r="AJ96" s="6"/>
      <c r="AK96" s="6"/>
      <c r="AL96" s="12"/>
      <c r="AM96" s="12"/>
      <c r="AN96" s="12"/>
      <c r="AO96" s="12"/>
      <c r="AP96" s="12"/>
    </row>
    <row r="97" spans="1:42" ht="15" x14ac:dyDescent="0.25">
      <c r="A97" s="82" t="str">
        <f>TDCTRIBE!I106</f>
        <v>Alaska</v>
      </c>
      <c r="B97" s="82" t="str">
        <f>TDCTRIBE!B106</f>
        <v>AK</v>
      </c>
      <c r="C97" s="82" t="str">
        <f>TDCTRIBE!F106</f>
        <v>Kake</v>
      </c>
      <c r="D97" s="83">
        <f>TDCTRIBE!Y106</f>
        <v>465666.31849500001</v>
      </c>
      <c r="E97" s="83">
        <f>TDCTRIBE!Z106</f>
        <v>514428.62433899997</v>
      </c>
      <c r="F97" s="83">
        <f>TDCTRIBE!AA106</f>
        <v>581158.19019300013</v>
      </c>
      <c r="G97" s="83">
        <f>TDCTRIBE!AB106</f>
        <v>629926.37213100016</v>
      </c>
      <c r="H97" s="83">
        <f>TDCTRIBE!AC106</f>
        <v>679867.06659900001</v>
      </c>
      <c r="O97" s="9"/>
      <c r="P97" s="1"/>
      <c r="Q97" s="1"/>
      <c r="R97" s="1"/>
      <c r="S97" s="1"/>
      <c r="T97" s="1"/>
      <c r="U97" s="1"/>
      <c r="V97" s="9"/>
      <c r="W97" s="3"/>
      <c r="X97" s="4"/>
      <c r="Y97" s="1"/>
      <c r="Z97" s="1"/>
      <c r="AA97" s="1"/>
      <c r="AB97" s="1"/>
      <c r="AC97" s="1"/>
      <c r="AD97" s="3"/>
      <c r="AE97" s="3"/>
      <c r="AF97" s="5"/>
      <c r="AG97" s="5"/>
      <c r="AH97" s="5"/>
      <c r="AI97" s="5"/>
      <c r="AJ97" s="6"/>
      <c r="AK97" s="6"/>
      <c r="AL97" s="12"/>
      <c r="AM97" s="12"/>
      <c r="AN97" s="12"/>
      <c r="AO97" s="12"/>
      <c r="AP97" s="12"/>
    </row>
    <row r="98" spans="1:42" ht="15" x14ac:dyDescent="0.25">
      <c r="A98" s="82" t="str">
        <f>TDCTRIBE!I107</f>
        <v>Alaska</v>
      </c>
      <c r="B98" s="82" t="str">
        <f>TDCTRIBE!B107</f>
        <v>AK</v>
      </c>
      <c r="C98" s="82" t="str">
        <f>TDCTRIBE!F107</f>
        <v>Kaktovik (Barter Island)</v>
      </c>
      <c r="D98" s="83">
        <f>TDCTRIBE!Y107</f>
        <v>573912.50187599997</v>
      </c>
      <c r="E98" s="83">
        <f>TDCTRIBE!Z107</f>
        <v>633906.89508719998</v>
      </c>
      <c r="F98" s="83">
        <f>TDCTRIBE!AA107</f>
        <v>715983.34034640016</v>
      </c>
      <c r="G98" s="83">
        <f>TDCTRIBE!AB107</f>
        <v>775980.51116880018</v>
      </c>
      <c r="H98" s="83">
        <f>TDCTRIBE!AC107</f>
        <v>837476.24333520012</v>
      </c>
      <c r="O98" s="9"/>
      <c r="P98" s="1"/>
      <c r="Q98" s="1"/>
      <c r="R98" s="1"/>
      <c r="S98" s="1"/>
      <c r="T98" s="1"/>
      <c r="U98" s="1"/>
      <c r="V98" s="9"/>
      <c r="W98" s="3"/>
      <c r="X98" s="4"/>
      <c r="Y98" s="1"/>
      <c r="Z98" s="1"/>
      <c r="AA98" s="1"/>
      <c r="AB98" s="1"/>
      <c r="AC98" s="1"/>
      <c r="AD98" s="3"/>
      <c r="AE98" s="3"/>
      <c r="AF98" s="5"/>
      <c r="AG98" s="5"/>
      <c r="AH98" s="5"/>
      <c r="AI98" s="5"/>
      <c r="AJ98" s="6"/>
      <c r="AK98" s="6"/>
      <c r="AL98" s="12"/>
      <c r="AM98" s="12"/>
      <c r="AN98" s="12"/>
      <c r="AO98" s="12"/>
      <c r="AP98" s="12"/>
    </row>
    <row r="99" spans="1:42" ht="15" x14ac:dyDescent="0.25">
      <c r="A99" s="82" t="str">
        <f>TDCTRIBE!I108</f>
        <v>Alaska</v>
      </c>
      <c r="B99" s="82" t="str">
        <f>TDCTRIBE!B108</f>
        <v>AK</v>
      </c>
      <c r="C99" s="82" t="str">
        <f>TDCTRIBE!F108</f>
        <v>Kalskag</v>
      </c>
      <c r="D99" s="83">
        <f>TDCTRIBE!Y108</f>
        <v>537627.23286300001</v>
      </c>
      <c r="E99" s="83">
        <f>TDCTRIBE!Z108</f>
        <v>593892.8539060998</v>
      </c>
      <c r="F99" s="83">
        <f>TDCTRIBE!AA108</f>
        <v>670883.01826070005</v>
      </c>
      <c r="G99" s="83">
        <f>TDCTRIBE!AB108</f>
        <v>727154.03193440009</v>
      </c>
      <c r="H99" s="83">
        <f>TDCTRIBE!AC108</f>
        <v>784795.42359260004</v>
      </c>
      <c r="O99" s="9"/>
      <c r="P99" s="1"/>
      <c r="Q99" s="1"/>
      <c r="R99" s="1"/>
      <c r="S99" s="1"/>
      <c r="T99" s="1"/>
      <c r="U99" s="1"/>
      <c r="V99" s="9"/>
      <c r="W99" s="3"/>
      <c r="X99" s="4"/>
      <c r="Y99" s="1"/>
      <c r="Z99" s="1"/>
      <c r="AA99" s="1"/>
      <c r="AB99" s="1"/>
      <c r="AC99" s="1"/>
      <c r="AD99" s="3"/>
      <c r="AE99" s="3"/>
      <c r="AF99" s="5"/>
      <c r="AG99" s="5"/>
      <c r="AH99" s="5"/>
      <c r="AI99" s="5"/>
      <c r="AJ99" s="6"/>
      <c r="AK99" s="6"/>
      <c r="AL99" s="12"/>
      <c r="AM99" s="12"/>
      <c r="AN99" s="12"/>
      <c r="AO99" s="12"/>
      <c r="AP99" s="12"/>
    </row>
    <row r="100" spans="1:42" ht="15" x14ac:dyDescent="0.25">
      <c r="A100" s="82" t="str">
        <f>TDCTRIBE!I109</f>
        <v>Alaska</v>
      </c>
      <c r="B100" s="82" t="str">
        <f>TDCTRIBE!B109</f>
        <v>AK</v>
      </c>
      <c r="C100" s="82" t="str">
        <f>TDCTRIBE!F109</f>
        <v>Kaltag</v>
      </c>
      <c r="D100" s="83">
        <f>TDCTRIBE!Y109</f>
        <v>537627.23286300001</v>
      </c>
      <c r="E100" s="83">
        <f>TDCTRIBE!Z109</f>
        <v>593892.8539060998</v>
      </c>
      <c r="F100" s="83">
        <f>TDCTRIBE!AA109</f>
        <v>670883.01826070005</v>
      </c>
      <c r="G100" s="83">
        <f>TDCTRIBE!AB109</f>
        <v>727154.03193440009</v>
      </c>
      <c r="H100" s="83">
        <f>TDCTRIBE!AC109</f>
        <v>784795.42359260004</v>
      </c>
      <c r="O100" s="9"/>
      <c r="P100" s="1"/>
      <c r="Q100" s="1"/>
      <c r="R100" s="1"/>
      <c r="S100" s="1"/>
      <c r="T100" s="1"/>
      <c r="U100" s="1"/>
      <c r="V100" s="9"/>
      <c r="W100" s="3"/>
      <c r="X100" s="4"/>
      <c r="Y100" s="1"/>
      <c r="Z100" s="1"/>
      <c r="AA100" s="1"/>
      <c r="AB100" s="1"/>
      <c r="AC100" s="1"/>
      <c r="AD100" s="3"/>
      <c r="AE100" s="3"/>
      <c r="AF100" s="5"/>
      <c r="AG100" s="5"/>
      <c r="AH100" s="5"/>
      <c r="AI100" s="5"/>
      <c r="AJ100" s="6"/>
      <c r="AK100" s="6"/>
      <c r="AL100" s="12"/>
      <c r="AM100" s="12"/>
      <c r="AN100" s="12"/>
      <c r="AO100" s="12"/>
      <c r="AP100" s="12"/>
    </row>
    <row r="101" spans="1:42" ht="15" x14ac:dyDescent="0.25">
      <c r="A101" s="82" t="str">
        <f>TDCTRIBE!I110</f>
        <v>Alaska</v>
      </c>
      <c r="B101" s="82" t="str">
        <f>TDCTRIBE!B110</f>
        <v>AK</v>
      </c>
      <c r="C101" s="82" t="str">
        <f>TDCTRIBE!F110</f>
        <v>Kanatak</v>
      </c>
      <c r="D101" s="83">
        <f>TDCTRIBE!Y110</f>
        <v>537627.23286300001</v>
      </c>
      <c r="E101" s="83">
        <f>TDCTRIBE!Z110</f>
        <v>593892.8539060998</v>
      </c>
      <c r="F101" s="83">
        <f>TDCTRIBE!AA110</f>
        <v>670883.01826070005</v>
      </c>
      <c r="G101" s="83">
        <f>TDCTRIBE!AB110</f>
        <v>727154.03193440009</v>
      </c>
      <c r="H101" s="83">
        <f>TDCTRIBE!AC110</f>
        <v>784795.42359260004</v>
      </c>
      <c r="O101" s="9"/>
      <c r="P101" s="1"/>
      <c r="Q101" s="1"/>
      <c r="R101" s="1"/>
      <c r="S101" s="1"/>
      <c r="T101" s="1"/>
      <c r="U101" s="1"/>
      <c r="V101" s="9"/>
      <c r="W101" s="3"/>
      <c r="X101" s="4"/>
      <c r="Y101" s="1"/>
      <c r="Z101" s="1"/>
      <c r="AA101" s="1"/>
      <c r="AB101" s="1"/>
      <c r="AC101" s="1"/>
      <c r="AD101" s="3"/>
      <c r="AE101" s="3"/>
      <c r="AF101" s="5"/>
      <c r="AG101" s="5"/>
      <c r="AH101" s="5"/>
      <c r="AI101" s="5"/>
      <c r="AJ101" s="6"/>
      <c r="AK101" s="6"/>
      <c r="AL101" s="12"/>
      <c r="AM101" s="12"/>
      <c r="AN101" s="12"/>
      <c r="AO101" s="12"/>
      <c r="AP101" s="12"/>
    </row>
    <row r="102" spans="1:42" ht="15" x14ac:dyDescent="0.25">
      <c r="A102" s="82" t="str">
        <f>TDCTRIBE!I111</f>
        <v>Alaska</v>
      </c>
      <c r="B102" s="82" t="str">
        <f>TDCTRIBE!B111</f>
        <v>AK</v>
      </c>
      <c r="C102" s="82" t="str">
        <f>TDCTRIBE!F111</f>
        <v>Karluk</v>
      </c>
      <c r="D102" s="83">
        <f>TDCTRIBE!Y111</f>
        <v>537627.23286300001</v>
      </c>
      <c r="E102" s="83">
        <f>TDCTRIBE!Z111</f>
        <v>593892.8539060998</v>
      </c>
      <c r="F102" s="83">
        <f>TDCTRIBE!AA111</f>
        <v>670883.01826070005</v>
      </c>
      <c r="G102" s="83">
        <f>TDCTRIBE!AB111</f>
        <v>727154.03193440009</v>
      </c>
      <c r="H102" s="83">
        <f>TDCTRIBE!AC111</f>
        <v>784795.42359260004</v>
      </c>
      <c r="O102" s="9"/>
      <c r="P102" s="1"/>
      <c r="Q102" s="1"/>
      <c r="R102" s="1"/>
      <c r="S102" s="1"/>
      <c r="T102" s="1"/>
      <c r="U102" s="1"/>
      <c r="V102" s="9"/>
      <c r="W102" s="3"/>
      <c r="X102" s="4"/>
      <c r="Y102" s="1"/>
      <c r="Z102" s="1"/>
      <c r="AA102" s="1"/>
      <c r="AB102" s="1"/>
      <c r="AC102" s="1"/>
      <c r="AD102" s="3"/>
      <c r="AE102" s="3"/>
      <c r="AF102" s="5"/>
      <c r="AG102" s="5"/>
      <c r="AH102" s="5"/>
      <c r="AI102" s="5"/>
      <c r="AJ102" s="6"/>
      <c r="AK102" s="6"/>
      <c r="AL102" s="12"/>
      <c r="AM102" s="12"/>
      <c r="AN102" s="12"/>
      <c r="AO102" s="12"/>
      <c r="AP102" s="12"/>
    </row>
    <row r="103" spans="1:42" ht="15" x14ac:dyDescent="0.25">
      <c r="A103" s="82" t="str">
        <f>TDCTRIBE!I112</f>
        <v>Alaska</v>
      </c>
      <c r="B103" s="82" t="str">
        <f>TDCTRIBE!B112</f>
        <v>AK</v>
      </c>
      <c r="C103" s="82" t="str">
        <f>TDCTRIBE!F112</f>
        <v>Kasaan</v>
      </c>
      <c r="D103" s="83">
        <f>TDCTRIBE!Y112</f>
        <v>465666.31849500001</v>
      </c>
      <c r="E103" s="83">
        <f>TDCTRIBE!Z112</f>
        <v>514428.62433899997</v>
      </c>
      <c r="F103" s="83">
        <f>TDCTRIBE!AA112</f>
        <v>581158.19019300013</v>
      </c>
      <c r="G103" s="83">
        <f>TDCTRIBE!AB112</f>
        <v>629926.37213100016</v>
      </c>
      <c r="H103" s="83">
        <f>TDCTRIBE!AC112</f>
        <v>679867.06659900001</v>
      </c>
      <c r="O103" s="9"/>
      <c r="P103" s="1"/>
      <c r="Q103" s="1"/>
      <c r="R103" s="1"/>
      <c r="S103" s="1"/>
      <c r="T103" s="1"/>
      <c r="U103" s="1"/>
      <c r="V103" s="9"/>
      <c r="W103" s="3"/>
      <c r="X103" s="4"/>
      <c r="Y103" s="1"/>
      <c r="Z103" s="1"/>
      <c r="AA103" s="1"/>
      <c r="AB103" s="1"/>
      <c r="AC103" s="1"/>
      <c r="AD103" s="3"/>
      <c r="AE103" s="3"/>
      <c r="AF103" s="5"/>
      <c r="AG103" s="5"/>
      <c r="AH103" s="5"/>
      <c r="AI103" s="5"/>
      <c r="AJ103" s="6"/>
      <c r="AK103" s="6"/>
      <c r="AL103" s="12"/>
      <c r="AM103" s="12"/>
      <c r="AN103" s="12"/>
      <c r="AO103" s="12"/>
      <c r="AP103" s="12"/>
    </row>
    <row r="104" spans="1:42" ht="15" x14ac:dyDescent="0.25">
      <c r="A104" s="82" t="str">
        <f>TDCTRIBE!I113</f>
        <v>Alaska</v>
      </c>
      <c r="B104" s="82" t="str">
        <f>TDCTRIBE!B113</f>
        <v>AK</v>
      </c>
      <c r="C104" s="82" t="str">
        <f>TDCTRIBE!F113</f>
        <v>Kasigluk</v>
      </c>
      <c r="D104" s="83">
        <f>TDCTRIBE!Y113</f>
        <v>537627.23286300001</v>
      </c>
      <c r="E104" s="83">
        <f>TDCTRIBE!Z113</f>
        <v>593892.8539060998</v>
      </c>
      <c r="F104" s="83">
        <f>TDCTRIBE!AA113</f>
        <v>670883.01826070005</v>
      </c>
      <c r="G104" s="83">
        <f>TDCTRIBE!AB113</f>
        <v>727154.03193440009</v>
      </c>
      <c r="H104" s="83">
        <f>TDCTRIBE!AC113</f>
        <v>784795.42359260004</v>
      </c>
      <c r="O104" s="9"/>
      <c r="P104" s="1"/>
      <c r="Q104" s="1"/>
      <c r="R104" s="1"/>
      <c r="S104" s="1"/>
      <c r="T104" s="1"/>
      <c r="U104" s="1"/>
      <c r="V104" s="9"/>
      <c r="W104" s="3"/>
      <c r="X104" s="4"/>
      <c r="Y104" s="1"/>
      <c r="Z104" s="1"/>
      <c r="AA104" s="1"/>
      <c r="AB104" s="1"/>
      <c r="AC104" s="1"/>
      <c r="AD104" s="3"/>
      <c r="AE104" s="3"/>
      <c r="AF104" s="5"/>
      <c r="AG104" s="5"/>
      <c r="AH104" s="5"/>
      <c r="AI104" s="5"/>
      <c r="AJ104" s="6"/>
      <c r="AK104" s="6"/>
      <c r="AL104" s="12"/>
      <c r="AM104" s="12"/>
      <c r="AN104" s="12"/>
      <c r="AO104" s="12"/>
      <c r="AP104" s="12"/>
    </row>
    <row r="105" spans="1:42" ht="15" x14ac:dyDescent="0.25">
      <c r="A105" s="82" t="str">
        <f>TDCTRIBE!I114</f>
        <v>Alaska</v>
      </c>
      <c r="B105" s="82" t="str">
        <f>TDCTRIBE!B114</f>
        <v>AK</v>
      </c>
      <c r="C105" s="82" t="str">
        <f>TDCTRIBE!F114</f>
        <v>Kenaitze</v>
      </c>
      <c r="D105" s="83">
        <f>TDCTRIBE!Y114</f>
        <v>465666.31849500001</v>
      </c>
      <c r="E105" s="83">
        <f>TDCTRIBE!Z114</f>
        <v>514428.62433899997</v>
      </c>
      <c r="F105" s="83">
        <f>TDCTRIBE!AA114</f>
        <v>581158.19019300013</v>
      </c>
      <c r="G105" s="83">
        <f>TDCTRIBE!AB114</f>
        <v>629926.37213100016</v>
      </c>
      <c r="H105" s="83">
        <f>TDCTRIBE!AC114</f>
        <v>679867.06659900001</v>
      </c>
      <c r="O105" s="9"/>
      <c r="P105" s="1"/>
      <c r="Q105" s="1"/>
      <c r="R105" s="1"/>
      <c r="S105" s="1"/>
      <c r="T105" s="1"/>
      <c r="U105" s="1"/>
      <c r="V105" s="9"/>
      <c r="W105" s="3"/>
      <c r="X105" s="4"/>
      <c r="Y105" s="1"/>
      <c r="Z105" s="1"/>
      <c r="AA105" s="1"/>
      <c r="AB105" s="1"/>
      <c r="AC105" s="1"/>
      <c r="AD105" s="3"/>
      <c r="AE105" s="3"/>
      <c r="AF105" s="5"/>
      <c r="AG105" s="5"/>
      <c r="AH105" s="5"/>
      <c r="AI105" s="5"/>
      <c r="AJ105" s="6"/>
      <c r="AK105" s="6"/>
      <c r="AL105" s="12"/>
      <c r="AM105" s="12"/>
      <c r="AN105" s="12"/>
      <c r="AO105" s="12"/>
      <c r="AP105" s="12"/>
    </row>
    <row r="106" spans="1:42" ht="15" x14ac:dyDescent="0.25">
      <c r="A106" s="82" t="str">
        <f>TDCTRIBE!I115</f>
        <v>Alaska</v>
      </c>
      <c r="B106" s="82" t="str">
        <f>TDCTRIBE!B115</f>
        <v>AK</v>
      </c>
      <c r="C106" s="82" t="str">
        <f>TDCTRIBE!F115</f>
        <v>Ketchikan</v>
      </c>
      <c r="D106" s="83">
        <f>TDCTRIBE!Y115</f>
        <v>465666.31849500001</v>
      </c>
      <c r="E106" s="83">
        <f>TDCTRIBE!Z115</f>
        <v>514428.62433899997</v>
      </c>
      <c r="F106" s="83">
        <f>TDCTRIBE!AA115</f>
        <v>581158.19019300013</v>
      </c>
      <c r="G106" s="83">
        <f>TDCTRIBE!AB115</f>
        <v>629926.37213100016</v>
      </c>
      <c r="H106" s="83">
        <f>TDCTRIBE!AC115</f>
        <v>679867.06659900001</v>
      </c>
      <c r="O106" s="9"/>
      <c r="P106" s="1"/>
      <c r="Q106" s="1"/>
      <c r="R106" s="1"/>
      <c r="S106" s="1"/>
      <c r="T106" s="1"/>
      <c r="U106" s="1"/>
      <c r="V106" s="9"/>
      <c r="W106" s="3"/>
      <c r="X106" s="4"/>
      <c r="Y106" s="1"/>
      <c r="Z106" s="1"/>
      <c r="AA106" s="1"/>
      <c r="AB106" s="1"/>
      <c r="AC106" s="1"/>
      <c r="AD106" s="3"/>
      <c r="AE106" s="3"/>
      <c r="AF106" s="5"/>
      <c r="AG106" s="5"/>
      <c r="AH106" s="5"/>
      <c r="AI106" s="5"/>
      <c r="AJ106" s="6"/>
      <c r="AK106" s="6"/>
      <c r="AL106" s="12"/>
      <c r="AM106" s="12"/>
      <c r="AN106" s="12"/>
      <c r="AO106" s="12"/>
      <c r="AP106" s="12"/>
    </row>
    <row r="107" spans="1:42" ht="15" x14ac:dyDescent="0.25">
      <c r="A107" s="82" t="str">
        <f>TDCTRIBE!I116</f>
        <v>Alaska</v>
      </c>
      <c r="B107" s="82" t="str">
        <f>TDCTRIBE!B116</f>
        <v>AK</v>
      </c>
      <c r="C107" s="82" t="str">
        <f>TDCTRIBE!F116</f>
        <v>Kiana</v>
      </c>
      <c r="D107" s="83">
        <f>TDCTRIBE!Y116</f>
        <v>537627.23286300001</v>
      </c>
      <c r="E107" s="83">
        <f>TDCTRIBE!Z116</f>
        <v>593892.8539060998</v>
      </c>
      <c r="F107" s="83">
        <f>TDCTRIBE!AA116</f>
        <v>670883.01826070005</v>
      </c>
      <c r="G107" s="83">
        <f>TDCTRIBE!AB116</f>
        <v>727154.03193440009</v>
      </c>
      <c r="H107" s="83">
        <f>TDCTRIBE!AC116</f>
        <v>784795.42359260004</v>
      </c>
      <c r="O107" s="9"/>
      <c r="P107" s="1"/>
      <c r="Q107" s="1"/>
      <c r="R107" s="1"/>
      <c r="S107" s="1"/>
      <c r="T107" s="1"/>
      <c r="U107" s="1"/>
      <c r="V107" s="9"/>
      <c r="W107" s="3"/>
      <c r="X107" s="4"/>
      <c r="Y107" s="1"/>
      <c r="Z107" s="1"/>
      <c r="AA107" s="1"/>
      <c r="AB107" s="1"/>
      <c r="AC107" s="1"/>
      <c r="AD107" s="3"/>
      <c r="AE107" s="3"/>
      <c r="AF107" s="5"/>
      <c r="AG107" s="5"/>
      <c r="AH107" s="5"/>
      <c r="AI107" s="5"/>
      <c r="AJ107" s="6"/>
      <c r="AK107" s="6"/>
      <c r="AL107" s="12"/>
      <c r="AM107" s="12"/>
      <c r="AN107" s="12"/>
      <c r="AO107" s="12"/>
      <c r="AP107" s="12"/>
    </row>
    <row r="108" spans="1:42" ht="15" x14ac:dyDescent="0.25">
      <c r="A108" s="82" t="str">
        <f>TDCTRIBE!I117</f>
        <v>Alaska</v>
      </c>
      <c r="B108" s="82" t="str">
        <f>TDCTRIBE!B117</f>
        <v>AK</v>
      </c>
      <c r="C108" s="82" t="str">
        <f>TDCTRIBE!F117</f>
        <v>King Cove</v>
      </c>
      <c r="D108" s="83">
        <f>TDCTRIBE!Y117</f>
        <v>537627.23286300001</v>
      </c>
      <c r="E108" s="83">
        <f>TDCTRIBE!Z117</f>
        <v>593892.8539060998</v>
      </c>
      <c r="F108" s="83">
        <f>TDCTRIBE!AA117</f>
        <v>670883.01826070005</v>
      </c>
      <c r="G108" s="83">
        <f>TDCTRIBE!AB117</f>
        <v>727154.03193440009</v>
      </c>
      <c r="H108" s="83">
        <f>TDCTRIBE!AC117</f>
        <v>784795.42359260004</v>
      </c>
      <c r="O108" s="9"/>
      <c r="P108" s="1"/>
      <c r="Q108" s="1"/>
      <c r="R108" s="1"/>
      <c r="S108" s="1"/>
      <c r="T108" s="1"/>
      <c r="U108" s="1"/>
      <c r="V108" s="9"/>
      <c r="W108" s="3"/>
      <c r="X108" s="4"/>
      <c r="Y108" s="1"/>
      <c r="Z108" s="1"/>
      <c r="AA108" s="1"/>
      <c r="AB108" s="1"/>
      <c r="AC108" s="1"/>
      <c r="AD108" s="3"/>
      <c r="AE108" s="3"/>
      <c r="AF108" s="5"/>
      <c r="AG108" s="5"/>
      <c r="AH108" s="5"/>
      <c r="AI108" s="5"/>
      <c r="AJ108" s="6"/>
      <c r="AK108" s="6"/>
      <c r="AL108" s="12"/>
      <c r="AM108" s="12"/>
      <c r="AN108" s="12"/>
      <c r="AO108" s="12"/>
      <c r="AP108" s="12"/>
    </row>
    <row r="109" spans="1:42" ht="15" x14ac:dyDescent="0.25">
      <c r="A109" s="82" t="str">
        <f>TDCTRIBE!I118</f>
        <v>Alaska</v>
      </c>
      <c r="B109" s="82" t="str">
        <f>TDCTRIBE!B118</f>
        <v>AK</v>
      </c>
      <c r="C109" s="82" t="str">
        <f>TDCTRIBE!F118</f>
        <v>King Island</v>
      </c>
      <c r="D109" s="83">
        <f>TDCTRIBE!Y118</f>
        <v>537627.23286300001</v>
      </c>
      <c r="E109" s="83">
        <f>TDCTRIBE!Z118</f>
        <v>593892.8539060998</v>
      </c>
      <c r="F109" s="83">
        <f>TDCTRIBE!AA118</f>
        <v>670883.01826070005</v>
      </c>
      <c r="G109" s="83">
        <f>TDCTRIBE!AB118</f>
        <v>727154.03193440009</v>
      </c>
      <c r="H109" s="83">
        <f>TDCTRIBE!AC118</f>
        <v>784795.42359260004</v>
      </c>
      <c r="O109" s="9"/>
      <c r="P109" s="1"/>
      <c r="Q109" s="1"/>
      <c r="R109" s="1"/>
      <c r="S109" s="1"/>
      <c r="T109" s="1"/>
      <c r="U109" s="1"/>
      <c r="V109" s="9"/>
      <c r="W109" s="3"/>
      <c r="X109" s="4"/>
      <c r="Y109" s="1"/>
      <c r="Z109" s="1"/>
      <c r="AA109" s="1"/>
      <c r="AB109" s="1"/>
      <c r="AC109" s="1"/>
      <c r="AD109" s="3"/>
      <c r="AE109" s="3"/>
      <c r="AF109" s="5"/>
      <c r="AG109" s="5"/>
      <c r="AH109" s="5"/>
      <c r="AI109" s="5"/>
      <c r="AJ109" s="6"/>
      <c r="AK109" s="6"/>
      <c r="AL109" s="12"/>
      <c r="AM109" s="12"/>
      <c r="AN109" s="12"/>
      <c r="AO109" s="12"/>
      <c r="AP109" s="12"/>
    </row>
    <row r="110" spans="1:42" ht="15" x14ac:dyDescent="0.25">
      <c r="A110" s="82" t="str">
        <f>TDCTRIBE!I119</f>
        <v>Alaska</v>
      </c>
      <c r="B110" s="82" t="str">
        <f>TDCTRIBE!B119</f>
        <v>AK</v>
      </c>
      <c r="C110" s="82" t="str">
        <f>TDCTRIBE!F119</f>
        <v>King Salmon</v>
      </c>
      <c r="D110" s="83">
        <f>TDCTRIBE!Y119</f>
        <v>537627.23286300001</v>
      </c>
      <c r="E110" s="83">
        <f>TDCTRIBE!Z119</f>
        <v>593892.8539060998</v>
      </c>
      <c r="F110" s="83">
        <f>TDCTRIBE!AA119</f>
        <v>670883.01826070005</v>
      </c>
      <c r="G110" s="83">
        <f>TDCTRIBE!AB119</f>
        <v>727154.03193440009</v>
      </c>
      <c r="H110" s="83">
        <f>TDCTRIBE!AC119</f>
        <v>784795.42359260004</v>
      </c>
      <c r="O110" s="9"/>
      <c r="P110" s="1"/>
      <c r="Q110" s="1"/>
      <c r="R110" s="1"/>
      <c r="S110" s="1"/>
      <c r="T110" s="1"/>
      <c r="U110" s="1"/>
      <c r="V110" s="9"/>
      <c r="W110" s="3"/>
      <c r="X110" s="4"/>
      <c r="Y110" s="1"/>
      <c r="Z110" s="1"/>
      <c r="AA110" s="1"/>
      <c r="AB110" s="1"/>
      <c r="AC110" s="1"/>
      <c r="AD110" s="3"/>
      <c r="AE110" s="3"/>
      <c r="AF110" s="5"/>
      <c r="AG110" s="5"/>
      <c r="AH110" s="5"/>
      <c r="AI110" s="5"/>
      <c r="AJ110" s="6"/>
      <c r="AK110" s="6"/>
      <c r="AL110" s="12"/>
      <c r="AM110" s="12"/>
      <c r="AN110" s="12"/>
      <c r="AO110" s="12"/>
      <c r="AP110" s="12"/>
    </row>
    <row r="111" spans="1:42" ht="15" x14ac:dyDescent="0.25">
      <c r="A111" s="82" t="str">
        <f>TDCTRIBE!I120</f>
        <v>Alaska</v>
      </c>
      <c r="B111" s="82" t="str">
        <f>TDCTRIBE!B120</f>
        <v>AK</v>
      </c>
      <c r="C111" s="82" t="str">
        <f>TDCTRIBE!F120</f>
        <v>Kipnuk</v>
      </c>
      <c r="D111" s="83">
        <f>TDCTRIBE!Y120</f>
        <v>537627.23286300001</v>
      </c>
      <c r="E111" s="83">
        <f>TDCTRIBE!Z120</f>
        <v>593892.8539060998</v>
      </c>
      <c r="F111" s="83">
        <f>TDCTRIBE!AA120</f>
        <v>670883.01826070005</v>
      </c>
      <c r="G111" s="83">
        <f>TDCTRIBE!AB120</f>
        <v>727154.03193440009</v>
      </c>
      <c r="H111" s="83">
        <f>TDCTRIBE!AC120</f>
        <v>784795.42359260004</v>
      </c>
      <c r="O111" s="9"/>
      <c r="P111" s="1"/>
      <c r="Q111" s="1"/>
      <c r="R111" s="1"/>
      <c r="S111" s="1"/>
      <c r="T111" s="1"/>
      <c r="U111" s="1"/>
      <c r="V111" s="9"/>
      <c r="W111" s="3"/>
      <c r="X111" s="4"/>
      <c r="Y111" s="1"/>
      <c r="Z111" s="1"/>
      <c r="AA111" s="1"/>
      <c r="AB111" s="1"/>
      <c r="AC111" s="1"/>
      <c r="AD111" s="3"/>
      <c r="AE111" s="3"/>
      <c r="AF111" s="5"/>
      <c r="AG111" s="5"/>
      <c r="AH111" s="5"/>
      <c r="AI111" s="5"/>
      <c r="AJ111" s="6"/>
      <c r="AK111" s="6"/>
      <c r="AL111" s="12"/>
      <c r="AM111" s="12"/>
      <c r="AN111" s="12"/>
      <c r="AO111" s="12"/>
      <c r="AP111" s="12"/>
    </row>
    <row r="112" spans="1:42" ht="15" x14ac:dyDescent="0.25">
      <c r="A112" s="82" t="str">
        <f>TDCTRIBE!I121</f>
        <v>Alaska</v>
      </c>
      <c r="B112" s="82" t="str">
        <f>TDCTRIBE!B121</f>
        <v>AK</v>
      </c>
      <c r="C112" s="82" t="str">
        <f>TDCTRIBE!F121</f>
        <v>Kivalina</v>
      </c>
      <c r="D112" s="83">
        <f>TDCTRIBE!Y121</f>
        <v>537627.23286300001</v>
      </c>
      <c r="E112" s="83">
        <f>TDCTRIBE!Z121</f>
        <v>593892.8539060998</v>
      </c>
      <c r="F112" s="83">
        <f>TDCTRIBE!AA121</f>
        <v>670883.01826070005</v>
      </c>
      <c r="G112" s="83">
        <f>TDCTRIBE!AB121</f>
        <v>727154.03193440009</v>
      </c>
      <c r="H112" s="83">
        <f>TDCTRIBE!AC121</f>
        <v>784795.42359260004</v>
      </c>
      <c r="O112" s="9"/>
      <c r="P112" s="1"/>
      <c r="Q112" s="1"/>
      <c r="R112" s="1"/>
      <c r="S112" s="1"/>
      <c r="T112" s="1"/>
      <c r="U112" s="1"/>
      <c r="V112" s="9"/>
      <c r="W112" s="3"/>
      <c r="X112" s="4"/>
      <c r="Y112" s="1"/>
      <c r="Z112" s="1"/>
      <c r="AA112" s="1"/>
      <c r="AB112" s="1"/>
      <c r="AC112" s="1"/>
      <c r="AD112" s="3"/>
      <c r="AE112" s="3"/>
      <c r="AF112" s="5"/>
      <c r="AG112" s="5"/>
      <c r="AH112" s="5"/>
      <c r="AI112" s="5"/>
      <c r="AJ112" s="6"/>
      <c r="AK112" s="6"/>
      <c r="AL112" s="12"/>
      <c r="AM112" s="12"/>
      <c r="AN112" s="12"/>
      <c r="AO112" s="12"/>
      <c r="AP112" s="12"/>
    </row>
    <row r="113" spans="1:42" ht="15" x14ac:dyDescent="0.25">
      <c r="A113" s="82" t="str">
        <f>TDCTRIBE!I122</f>
        <v>Alaska</v>
      </c>
      <c r="B113" s="82" t="str">
        <f>TDCTRIBE!B122</f>
        <v>AK</v>
      </c>
      <c r="C113" s="82" t="str">
        <f>TDCTRIBE!F122</f>
        <v>Klawock</v>
      </c>
      <c r="D113" s="83">
        <f>TDCTRIBE!Y122</f>
        <v>465666.31849500001</v>
      </c>
      <c r="E113" s="83">
        <f>TDCTRIBE!Z122</f>
        <v>514428.62433899997</v>
      </c>
      <c r="F113" s="83">
        <f>TDCTRIBE!AA122</f>
        <v>581158.19019300013</v>
      </c>
      <c r="G113" s="83">
        <f>TDCTRIBE!AB122</f>
        <v>629926.37213100016</v>
      </c>
      <c r="H113" s="83">
        <f>TDCTRIBE!AC122</f>
        <v>679867.06659900001</v>
      </c>
      <c r="O113" s="9"/>
      <c r="P113" s="1"/>
      <c r="Q113" s="1"/>
      <c r="R113" s="1"/>
      <c r="S113" s="1"/>
      <c r="T113" s="1"/>
      <c r="U113" s="1"/>
      <c r="V113" s="9"/>
      <c r="W113" s="3"/>
      <c r="X113" s="4"/>
      <c r="Y113" s="1"/>
      <c r="Z113" s="1"/>
      <c r="AA113" s="1"/>
      <c r="AB113" s="1"/>
      <c r="AC113" s="1"/>
      <c r="AD113" s="3"/>
      <c r="AE113" s="3"/>
      <c r="AF113" s="5"/>
      <c r="AG113" s="5"/>
      <c r="AH113" s="5"/>
      <c r="AI113" s="5"/>
      <c r="AJ113" s="6"/>
      <c r="AK113" s="6"/>
      <c r="AL113" s="12"/>
      <c r="AM113" s="12"/>
      <c r="AN113" s="12"/>
      <c r="AO113" s="12"/>
      <c r="AP113" s="12"/>
    </row>
    <row r="114" spans="1:42" ht="15" x14ac:dyDescent="0.25">
      <c r="A114" s="82" t="str">
        <f>TDCTRIBE!I123</f>
        <v>Alaska</v>
      </c>
      <c r="B114" s="82" t="str">
        <f>TDCTRIBE!B123</f>
        <v>AK</v>
      </c>
      <c r="C114" s="82" t="str">
        <f>TDCTRIBE!F123</f>
        <v>Kluti Kaah (Copper Center)</v>
      </c>
      <c r="D114" s="83">
        <f>TDCTRIBE!Y123</f>
        <v>465666.31849500001</v>
      </c>
      <c r="E114" s="83">
        <f>TDCTRIBE!Z123</f>
        <v>514428.62433899997</v>
      </c>
      <c r="F114" s="83">
        <f>TDCTRIBE!AA123</f>
        <v>581158.19019300013</v>
      </c>
      <c r="G114" s="83">
        <f>TDCTRIBE!AB123</f>
        <v>629926.37213100016</v>
      </c>
      <c r="H114" s="83">
        <f>TDCTRIBE!AC123</f>
        <v>679867.06659900001</v>
      </c>
      <c r="O114" s="9"/>
      <c r="P114" s="1"/>
      <c r="Q114" s="1"/>
      <c r="R114" s="1"/>
      <c r="S114" s="1"/>
      <c r="T114" s="1"/>
      <c r="U114" s="1"/>
      <c r="V114" s="9"/>
      <c r="W114" s="3"/>
      <c r="X114" s="4"/>
      <c r="Y114" s="1"/>
      <c r="Z114" s="1"/>
      <c r="AA114" s="1"/>
      <c r="AB114" s="1"/>
      <c r="AC114" s="1"/>
      <c r="AD114" s="3"/>
      <c r="AE114" s="3"/>
      <c r="AF114" s="5"/>
      <c r="AG114" s="5"/>
      <c r="AH114" s="5"/>
      <c r="AI114" s="5"/>
      <c r="AJ114" s="6"/>
      <c r="AK114" s="6"/>
      <c r="AL114" s="12"/>
      <c r="AM114" s="12"/>
      <c r="AN114" s="12"/>
      <c r="AO114" s="12"/>
      <c r="AP114" s="12"/>
    </row>
    <row r="115" spans="1:42" ht="15" x14ac:dyDescent="0.25">
      <c r="A115" s="82" t="str">
        <f>TDCTRIBE!I124</f>
        <v>Alaska</v>
      </c>
      <c r="B115" s="82" t="str">
        <f>TDCTRIBE!B124</f>
        <v>AK</v>
      </c>
      <c r="C115" s="82" t="str">
        <f>TDCTRIBE!F124</f>
        <v>Knik</v>
      </c>
      <c r="D115" s="83">
        <f>TDCTRIBE!Y124</f>
        <v>465666.31849500001</v>
      </c>
      <c r="E115" s="83">
        <f>TDCTRIBE!Z124</f>
        <v>514428.62433899997</v>
      </c>
      <c r="F115" s="83">
        <f>TDCTRIBE!AA124</f>
        <v>581158.19019300013</v>
      </c>
      <c r="G115" s="83">
        <f>TDCTRIBE!AB124</f>
        <v>629926.37213100016</v>
      </c>
      <c r="H115" s="83">
        <f>TDCTRIBE!AC124</f>
        <v>679867.06659900001</v>
      </c>
      <c r="O115" s="9"/>
      <c r="P115" s="1"/>
      <c r="Q115" s="1"/>
      <c r="R115" s="1"/>
      <c r="S115" s="1"/>
      <c r="T115" s="1"/>
      <c r="U115" s="1"/>
      <c r="V115" s="9"/>
      <c r="W115" s="3"/>
      <c r="X115" s="4"/>
      <c r="Y115" s="1"/>
      <c r="Z115" s="1"/>
      <c r="AA115" s="1"/>
      <c r="AB115" s="1"/>
      <c r="AC115" s="1"/>
      <c r="AD115" s="3"/>
      <c r="AE115" s="3"/>
      <c r="AF115" s="5"/>
      <c r="AG115" s="5"/>
      <c r="AH115" s="5"/>
      <c r="AI115" s="5"/>
      <c r="AJ115" s="6"/>
      <c r="AK115" s="6"/>
      <c r="AL115" s="12"/>
      <c r="AM115" s="12"/>
      <c r="AN115" s="12"/>
      <c r="AO115" s="12"/>
      <c r="AP115" s="12"/>
    </row>
    <row r="116" spans="1:42" ht="15" x14ac:dyDescent="0.25">
      <c r="A116" s="82" t="str">
        <f>TDCTRIBE!I125</f>
        <v>Alaska</v>
      </c>
      <c r="B116" s="82" t="str">
        <f>TDCTRIBE!B125</f>
        <v>AK</v>
      </c>
      <c r="C116" s="82" t="str">
        <f>TDCTRIBE!F125</f>
        <v>Kobuk</v>
      </c>
      <c r="D116" s="83">
        <f>TDCTRIBE!Y125</f>
        <v>573912.50187599997</v>
      </c>
      <c r="E116" s="83">
        <f>TDCTRIBE!Z125</f>
        <v>633906.89508719998</v>
      </c>
      <c r="F116" s="83">
        <f>TDCTRIBE!AA125</f>
        <v>715983.34034640016</v>
      </c>
      <c r="G116" s="83">
        <f>TDCTRIBE!AB125</f>
        <v>775980.51116880018</v>
      </c>
      <c r="H116" s="83">
        <f>TDCTRIBE!AC125</f>
        <v>837476.24333520012</v>
      </c>
      <c r="O116" s="9"/>
      <c r="P116" s="1"/>
      <c r="Q116" s="1"/>
      <c r="R116" s="1"/>
      <c r="S116" s="1"/>
      <c r="T116" s="1"/>
      <c r="U116" s="1"/>
      <c r="V116" s="9"/>
      <c r="W116" s="3"/>
      <c r="X116" s="4"/>
      <c r="Y116" s="1"/>
      <c r="Z116" s="1"/>
      <c r="AA116" s="1"/>
      <c r="AB116" s="1"/>
      <c r="AC116" s="1"/>
      <c r="AD116" s="3"/>
      <c r="AE116" s="3"/>
      <c r="AF116" s="5"/>
      <c r="AG116" s="5"/>
      <c r="AH116" s="5"/>
      <c r="AI116" s="5"/>
      <c r="AJ116" s="6"/>
      <c r="AK116" s="6"/>
      <c r="AL116" s="12"/>
      <c r="AM116" s="12"/>
      <c r="AN116" s="12"/>
      <c r="AO116" s="12"/>
      <c r="AP116" s="12"/>
    </row>
    <row r="117" spans="1:42" ht="15" x14ac:dyDescent="0.25">
      <c r="A117" s="82" t="str">
        <f>TDCTRIBE!I126</f>
        <v>Alaska</v>
      </c>
      <c r="B117" s="82" t="str">
        <f>TDCTRIBE!B126</f>
        <v>AK</v>
      </c>
      <c r="C117" s="82" t="str">
        <f>TDCTRIBE!F126</f>
        <v>Kokhanok</v>
      </c>
      <c r="D117" s="83">
        <f>TDCTRIBE!Y126</f>
        <v>537627.23286300001</v>
      </c>
      <c r="E117" s="83">
        <f>TDCTRIBE!Z126</f>
        <v>593892.8539060998</v>
      </c>
      <c r="F117" s="83">
        <f>TDCTRIBE!AA126</f>
        <v>670883.01826070005</v>
      </c>
      <c r="G117" s="83">
        <f>TDCTRIBE!AB126</f>
        <v>727154.03193440009</v>
      </c>
      <c r="H117" s="83">
        <f>TDCTRIBE!AC126</f>
        <v>784795.42359260004</v>
      </c>
      <c r="O117" s="9"/>
      <c r="P117" s="1"/>
      <c r="Q117" s="1"/>
      <c r="R117" s="1"/>
      <c r="S117" s="1"/>
      <c r="T117" s="1"/>
      <c r="U117" s="1"/>
      <c r="V117" s="9"/>
      <c r="W117" s="3"/>
      <c r="X117" s="4"/>
      <c r="Y117" s="1"/>
      <c r="Z117" s="1"/>
      <c r="AA117" s="1"/>
      <c r="AB117" s="1"/>
      <c r="AC117" s="1"/>
      <c r="AD117" s="3"/>
      <c r="AE117" s="3"/>
      <c r="AF117" s="5"/>
      <c r="AG117" s="5"/>
      <c r="AH117" s="5"/>
      <c r="AI117" s="5"/>
      <c r="AJ117" s="6"/>
      <c r="AK117" s="6"/>
      <c r="AL117" s="12"/>
      <c r="AM117" s="12"/>
      <c r="AN117" s="12"/>
      <c r="AO117" s="12"/>
      <c r="AP117" s="12"/>
    </row>
    <row r="118" spans="1:42" ht="15" x14ac:dyDescent="0.25">
      <c r="A118" s="82" t="str">
        <f>TDCTRIBE!I127</f>
        <v>Alaska</v>
      </c>
      <c r="B118" s="82" t="str">
        <f>TDCTRIBE!B127</f>
        <v>AK</v>
      </c>
      <c r="C118" s="82" t="str">
        <f>TDCTRIBE!F127</f>
        <v>Koliganek</v>
      </c>
      <c r="D118" s="83">
        <f>TDCTRIBE!Y127</f>
        <v>573912.50187599997</v>
      </c>
      <c r="E118" s="83">
        <f>TDCTRIBE!Z127</f>
        <v>633906.89508719998</v>
      </c>
      <c r="F118" s="83">
        <f>TDCTRIBE!AA127</f>
        <v>715983.34034640016</v>
      </c>
      <c r="G118" s="83">
        <f>TDCTRIBE!AB127</f>
        <v>775980.51116880018</v>
      </c>
      <c r="H118" s="83">
        <f>TDCTRIBE!AC127</f>
        <v>837476.24333520012</v>
      </c>
      <c r="O118" s="9"/>
      <c r="P118" s="1"/>
      <c r="Q118" s="1"/>
      <c r="R118" s="1"/>
      <c r="S118" s="1"/>
      <c r="T118" s="1"/>
      <c r="U118" s="1"/>
      <c r="V118" s="9"/>
      <c r="W118" s="3"/>
      <c r="X118" s="4"/>
      <c r="Y118" s="1"/>
      <c r="Z118" s="1"/>
      <c r="AA118" s="1"/>
      <c r="AB118" s="1"/>
      <c r="AC118" s="1"/>
      <c r="AD118" s="3"/>
      <c r="AE118" s="3"/>
      <c r="AF118" s="5"/>
      <c r="AG118" s="5"/>
      <c r="AH118" s="5"/>
      <c r="AI118" s="5"/>
      <c r="AJ118" s="6"/>
      <c r="AK118" s="6"/>
      <c r="AL118" s="12"/>
      <c r="AM118" s="12"/>
      <c r="AN118" s="12"/>
      <c r="AO118" s="12"/>
      <c r="AP118" s="12"/>
    </row>
    <row r="119" spans="1:42" ht="15" x14ac:dyDescent="0.25">
      <c r="A119" s="82" t="str">
        <f>TDCTRIBE!I128</f>
        <v>Alaska</v>
      </c>
      <c r="B119" s="82" t="str">
        <f>TDCTRIBE!B128</f>
        <v>AK</v>
      </c>
      <c r="C119" s="82" t="str">
        <f>TDCTRIBE!F128</f>
        <v>Kongiganak</v>
      </c>
      <c r="D119" s="83">
        <f>TDCTRIBE!Y128</f>
        <v>537627.23286300001</v>
      </c>
      <c r="E119" s="83">
        <f>TDCTRIBE!Z128</f>
        <v>593892.8539060998</v>
      </c>
      <c r="F119" s="83">
        <f>TDCTRIBE!AA128</f>
        <v>670883.01826070005</v>
      </c>
      <c r="G119" s="83">
        <f>TDCTRIBE!AB128</f>
        <v>727154.03193440009</v>
      </c>
      <c r="H119" s="83">
        <f>TDCTRIBE!AC128</f>
        <v>784795.42359260004</v>
      </c>
      <c r="O119" s="9"/>
      <c r="P119" s="1"/>
      <c r="Q119" s="1"/>
      <c r="R119" s="1"/>
      <c r="S119" s="1"/>
      <c r="T119" s="1"/>
      <c r="U119" s="1"/>
      <c r="V119" s="9"/>
      <c r="W119" s="3"/>
      <c r="X119" s="4"/>
      <c r="Y119" s="1"/>
      <c r="Z119" s="1"/>
      <c r="AA119" s="1"/>
      <c r="AB119" s="1"/>
      <c r="AC119" s="1"/>
      <c r="AD119" s="3"/>
      <c r="AE119" s="3"/>
      <c r="AF119" s="5"/>
      <c r="AG119" s="5"/>
      <c r="AH119" s="5"/>
      <c r="AI119" s="5"/>
      <c r="AJ119" s="6"/>
      <c r="AK119" s="6"/>
      <c r="AL119" s="12"/>
      <c r="AM119" s="12"/>
      <c r="AN119" s="12"/>
      <c r="AO119" s="12"/>
      <c r="AP119" s="12"/>
    </row>
    <row r="120" spans="1:42" ht="15" x14ac:dyDescent="0.25">
      <c r="A120" s="82" t="str">
        <f>TDCTRIBE!I129</f>
        <v>Alaska</v>
      </c>
      <c r="B120" s="82" t="str">
        <f>TDCTRIBE!B129</f>
        <v>AK</v>
      </c>
      <c r="C120" s="82" t="str">
        <f>TDCTRIBE!F129</f>
        <v>Koniag Native Regional Corporation</v>
      </c>
      <c r="D120" s="83">
        <f>TDCTRIBE!Y129</f>
        <v>537627.23286300001</v>
      </c>
      <c r="E120" s="83">
        <f>TDCTRIBE!Z129</f>
        <v>593892.8539060998</v>
      </c>
      <c r="F120" s="83">
        <f>TDCTRIBE!AA129</f>
        <v>670883.01826070005</v>
      </c>
      <c r="G120" s="83">
        <f>TDCTRIBE!AB129</f>
        <v>727154.03193440009</v>
      </c>
      <c r="H120" s="83">
        <f>TDCTRIBE!AC129</f>
        <v>784795.42359260004</v>
      </c>
      <c r="O120" s="9"/>
      <c r="P120" s="1"/>
      <c r="Q120" s="1"/>
      <c r="R120" s="1"/>
      <c r="S120" s="1"/>
      <c r="T120" s="1"/>
      <c r="U120" s="1"/>
      <c r="V120" s="9"/>
      <c r="W120" s="3"/>
      <c r="X120" s="4"/>
      <c r="Y120" s="1"/>
      <c r="Z120" s="1"/>
      <c r="AA120" s="1"/>
      <c r="AB120" s="1"/>
      <c r="AC120" s="1"/>
      <c r="AD120" s="3"/>
      <c r="AE120" s="3"/>
      <c r="AF120" s="5"/>
      <c r="AG120" s="5"/>
      <c r="AH120" s="5"/>
      <c r="AI120" s="5"/>
      <c r="AJ120" s="6"/>
      <c r="AK120" s="6"/>
      <c r="AL120" s="12"/>
      <c r="AM120" s="12"/>
      <c r="AN120" s="12"/>
      <c r="AO120" s="12"/>
      <c r="AP120" s="12"/>
    </row>
    <row r="121" spans="1:42" ht="15" x14ac:dyDescent="0.25">
      <c r="A121" s="82" t="str">
        <f>TDCTRIBE!I130</f>
        <v>Alaska</v>
      </c>
      <c r="B121" s="82" t="str">
        <f>TDCTRIBE!B130</f>
        <v>AK</v>
      </c>
      <c r="C121" s="82" t="str">
        <f>TDCTRIBE!F130</f>
        <v>Kotlik</v>
      </c>
      <c r="D121" s="83">
        <f>TDCTRIBE!Y130</f>
        <v>537627.23286300001</v>
      </c>
      <c r="E121" s="83">
        <f>TDCTRIBE!Z130</f>
        <v>593892.8539060998</v>
      </c>
      <c r="F121" s="83">
        <f>TDCTRIBE!AA130</f>
        <v>670883.01826070005</v>
      </c>
      <c r="G121" s="83">
        <f>TDCTRIBE!AB130</f>
        <v>727154.03193440009</v>
      </c>
      <c r="H121" s="83">
        <f>TDCTRIBE!AC130</f>
        <v>784795.42359260004</v>
      </c>
      <c r="O121" s="9"/>
      <c r="P121" s="1"/>
      <c r="Q121" s="1"/>
      <c r="R121" s="1"/>
      <c r="S121" s="1"/>
      <c r="T121" s="1"/>
      <c r="U121" s="1"/>
      <c r="V121" s="9"/>
      <c r="W121" s="3"/>
      <c r="X121" s="4"/>
      <c r="Y121" s="1"/>
      <c r="Z121" s="1"/>
      <c r="AA121" s="1"/>
      <c r="AB121" s="1"/>
      <c r="AC121" s="1"/>
      <c r="AD121" s="3"/>
      <c r="AE121" s="3"/>
      <c r="AF121" s="5"/>
      <c r="AG121" s="5"/>
      <c r="AH121" s="5"/>
      <c r="AI121" s="5"/>
      <c r="AJ121" s="6"/>
      <c r="AK121" s="6"/>
      <c r="AL121" s="12"/>
      <c r="AM121" s="12"/>
      <c r="AN121" s="12"/>
      <c r="AO121" s="12"/>
      <c r="AP121" s="12"/>
    </row>
    <row r="122" spans="1:42" ht="15" x14ac:dyDescent="0.25">
      <c r="A122" s="82" t="str">
        <f>TDCTRIBE!I131</f>
        <v>Alaska</v>
      </c>
      <c r="B122" s="82" t="str">
        <f>TDCTRIBE!B131</f>
        <v>AK</v>
      </c>
      <c r="C122" s="82" t="str">
        <f>TDCTRIBE!F131</f>
        <v>Kotzebue</v>
      </c>
      <c r="D122" s="83">
        <f>TDCTRIBE!Y131</f>
        <v>537627.23286300001</v>
      </c>
      <c r="E122" s="83">
        <f>TDCTRIBE!Z131</f>
        <v>593892.8539060998</v>
      </c>
      <c r="F122" s="83">
        <f>TDCTRIBE!AA131</f>
        <v>670883.01826070005</v>
      </c>
      <c r="G122" s="83">
        <f>TDCTRIBE!AB131</f>
        <v>727154.03193440009</v>
      </c>
      <c r="H122" s="83">
        <f>TDCTRIBE!AC131</f>
        <v>784795.42359260004</v>
      </c>
      <c r="O122" s="9"/>
      <c r="P122" s="1"/>
      <c r="Q122" s="1"/>
      <c r="R122" s="1"/>
      <c r="S122" s="1"/>
      <c r="T122" s="1"/>
      <c r="U122" s="1"/>
      <c r="V122" s="9"/>
      <c r="W122" s="3"/>
      <c r="X122" s="4"/>
      <c r="Y122" s="1"/>
      <c r="Z122" s="1"/>
      <c r="AA122" s="1"/>
      <c r="AB122" s="1"/>
      <c r="AC122" s="1"/>
      <c r="AD122" s="3"/>
      <c r="AE122" s="3"/>
      <c r="AF122" s="5"/>
      <c r="AG122" s="5"/>
      <c r="AH122" s="5"/>
      <c r="AI122" s="5"/>
      <c r="AJ122" s="6"/>
      <c r="AK122" s="6"/>
      <c r="AL122" s="12"/>
      <c r="AM122" s="12"/>
      <c r="AN122" s="12"/>
      <c r="AO122" s="12"/>
      <c r="AP122" s="12"/>
    </row>
    <row r="123" spans="1:42" ht="15" x14ac:dyDescent="0.25">
      <c r="A123" s="82" t="str">
        <f>TDCTRIBE!I132</f>
        <v>Alaska</v>
      </c>
      <c r="B123" s="82" t="str">
        <f>TDCTRIBE!B132</f>
        <v>AK</v>
      </c>
      <c r="C123" s="82" t="str">
        <f>TDCTRIBE!F132</f>
        <v>Koyuk</v>
      </c>
      <c r="D123" s="83">
        <f>TDCTRIBE!Y132</f>
        <v>537627.23286300001</v>
      </c>
      <c r="E123" s="83">
        <f>TDCTRIBE!Z132</f>
        <v>593892.8539060998</v>
      </c>
      <c r="F123" s="83">
        <f>TDCTRIBE!AA132</f>
        <v>670883.01826070005</v>
      </c>
      <c r="G123" s="83">
        <f>TDCTRIBE!AB132</f>
        <v>727154.03193440009</v>
      </c>
      <c r="H123" s="83">
        <f>TDCTRIBE!AC132</f>
        <v>784795.42359260004</v>
      </c>
      <c r="O123" s="9"/>
      <c r="P123" s="1"/>
      <c r="Q123" s="1"/>
      <c r="R123" s="1"/>
      <c r="S123" s="1"/>
      <c r="T123" s="1"/>
      <c r="U123" s="1"/>
      <c r="V123" s="9"/>
      <c r="W123" s="3"/>
      <c r="X123" s="4"/>
      <c r="Y123" s="1"/>
      <c r="Z123" s="1"/>
      <c r="AA123" s="1"/>
      <c r="AB123" s="1"/>
      <c r="AC123" s="1"/>
      <c r="AD123" s="3"/>
      <c r="AE123" s="3"/>
      <c r="AF123" s="5"/>
      <c r="AG123" s="5"/>
      <c r="AH123" s="5"/>
      <c r="AI123" s="5"/>
      <c r="AJ123" s="6"/>
      <c r="AK123" s="6"/>
      <c r="AL123" s="12"/>
      <c r="AM123" s="12"/>
      <c r="AN123" s="12"/>
      <c r="AO123" s="12"/>
      <c r="AP123" s="12"/>
    </row>
    <row r="124" spans="1:42" ht="15" x14ac:dyDescent="0.25">
      <c r="A124" s="82" t="str">
        <f>TDCTRIBE!I133</f>
        <v>Alaska</v>
      </c>
      <c r="B124" s="82" t="str">
        <f>TDCTRIBE!B133</f>
        <v>AK</v>
      </c>
      <c r="C124" s="82" t="str">
        <f>TDCTRIBE!F133</f>
        <v>Koyukuk</v>
      </c>
      <c r="D124" s="83">
        <f>TDCTRIBE!Y133</f>
        <v>537627.23286300001</v>
      </c>
      <c r="E124" s="83">
        <f>TDCTRIBE!Z133</f>
        <v>593892.8539060998</v>
      </c>
      <c r="F124" s="83">
        <f>TDCTRIBE!AA133</f>
        <v>670883.01826070005</v>
      </c>
      <c r="G124" s="83">
        <f>TDCTRIBE!AB133</f>
        <v>727154.03193440009</v>
      </c>
      <c r="H124" s="83">
        <f>TDCTRIBE!AC133</f>
        <v>784795.42359260004</v>
      </c>
      <c r="O124" s="9"/>
      <c r="P124" s="1"/>
      <c r="Q124" s="1"/>
      <c r="R124" s="1"/>
      <c r="S124" s="1"/>
      <c r="T124" s="1"/>
      <c r="U124" s="1"/>
      <c r="V124" s="9"/>
      <c r="W124" s="3"/>
      <c r="X124" s="4"/>
      <c r="Y124" s="1"/>
      <c r="Z124" s="1"/>
      <c r="AA124" s="1"/>
      <c r="AB124" s="1"/>
      <c r="AC124" s="1"/>
      <c r="AD124" s="3"/>
      <c r="AE124" s="3"/>
      <c r="AF124" s="5"/>
      <c r="AG124" s="5"/>
      <c r="AH124" s="5"/>
      <c r="AI124" s="5"/>
      <c r="AJ124" s="6"/>
      <c r="AK124" s="6"/>
      <c r="AL124" s="12"/>
      <c r="AM124" s="12"/>
      <c r="AN124" s="12"/>
      <c r="AO124" s="12"/>
      <c r="AP124" s="12"/>
    </row>
    <row r="125" spans="1:42" ht="15" x14ac:dyDescent="0.25">
      <c r="A125" s="82" t="str">
        <f>TDCTRIBE!I134</f>
        <v>Alaska</v>
      </c>
      <c r="B125" s="82" t="str">
        <f>TDCTRIBE!B134</f>
        <v>AK</v>
      </c>
      <c r="C125" s="82" t="str">
        <f>TDCTRIBE!F134</f>
        <v>Kwethluk</v>
      </c>
      <c r="D125" s="83">
        <f>TDCTRIBE!Y134</f>
        <v>537627.23286300001</v>
      </c>
      <c r="E125" s="83">
        <f>TDCTRIBE!Z134</f>
        <v>593892.8539060998</v>
      </c>
      <c r="F125" s="83">
        <f>TDCTRIBE!AA134</f>
        <v>670883.01826070005</v>
      </c>
      <c r="G125" s="83">
        <f>TDCTRIBE!AB134</f>
        <v>727154.03193440009</v>
      </c>
      <c r="H125" s="83">
        <f>TDCTRIBE!AC134</f>
        <v>784795.42359260004</v>
      </c>
      <c r="O125" s="9"/>
      <c r="P125" s="1"/>
      <c r="Q125" s="1"/>
      <c r="R125" s="1"/>
      <c r="S125" s="1"/>
      <c r="T125" s="1"/>
      <c r="U125" s="1"/>
      <c r="V125" s="9"/>
      <c r="W125" s="3"/>
      <c r="X125" s="4"/>
      <c r="Y125" s="1"/>
      <c r="Z125" s="1"/>
      <c r="AA125" s="1"/>
      <c r="AB125" s="1"/>
      <c r="AC125" s="1"/>
      <c r="AD125" s="3"/>
      <c r="AE125" s="3"/>
      <c r="AF125" s="5"/>
      <c r="AG125" s="5"/>
      <c r="AH125" s="5"/>
      <c r="AI125" s="5"/>
      <c r="AJ125" s="6"/>
      <c r="AK125" s="6"/>
      <c r="AL125" s="12"/>
      <c r="AM125" s="12"/>
      <c r="AN125" s="12"/>
      <c r="AO125" s="12"/>
      <c r="AP125" s="12"/>
    </row>
    <row r="126" spans="1:42" ht="15" x14ac:dyDescent="0.25">
      <c r="A126" s="82" t="str">
        <f>TDCTRIBE!I135</f>
        <v>Alaska</v>
      </c>
      <c r="B126" s="82" t="str">
        <f>TDCTRIBE!B135</f>
        <v>AK</v>
      </c>
      <c r="C126" s="82" t="str">
        <f>TDCTRIBE!F135</f>
        <v>Kwigillingok</v>
      </c>
      <c r="D126" s="83">
        <f>TDCTRIBE!Y135</f>
        <v>537627.23286300001</v>
      </c>
      <c r="E126" s="83">
        <f>TDCTRIBE!Z135</f>
        <v>593892.8539060998</v>
      </c>
      <c r="F126" s="83">
        <f>TDCTRIBE!AA135</f>
        <v>670883.01826070005</v>
      </c>
      <c r="G126" s="83">
        <f>TDCTRIBE!AB135</f>
        <v>727154.03193440009</v>
      </c>
      <c r="H126" s="83">
        <f>TDCTRIBE!AC135</f>
        <v>784795.42359260004</v>
      </c>
      <c r="O126" s="9"/>
      <c r="P126" s="1"/>
      <c r="Q126" s="1"/>
      <c r="R126" s="1"/>
      <c r="S126" s="1"/>
      <c r="T126" s="1"/>
      <c r="U126" s="1"/>
      <c r="V126" s="9"/>
      <c r="W126" s="3"/>
      <c r="X126" s="4"/>
      <c r="Y126" s="1"/>
      <c r="Z126" s="1"/>
      <c r="AA126" s="1"/>
      <c r="AB126" s="1"/>
      <c r="AC126" s="1"/>
      <c r="AD126" s="3"/>
      <c r="AE126" s="3"/>
      <c r="AF126" s="5"/>
      <c r="AG126" s="5"/>
      <c r="AH126" s="5"/>
      <c r="AI126" s="5"/>
      <c r="AJ126" s="6"/>
      <c r="AK126" s="6"/>
      <c r="AL126" s="12"/>
      <c r="AM126" s="12"/>
      <c r="AN126" s="12"/>
      <c r="AO126" s="12"/>
      <c r="AP126" s="12"/>
    </row>
    <row r="127" spans="1:42" ht="15" x14ac:dyDescent="0.25">
      <c r="A127" s="82" t="str">
        <f>TDCTRIBE!I136</f>
        <v>Alaska</v>
      </c>
      <c r="B127" s="82" t="str">
        <f>TDCTRIBE!B136</f>
        <v>AK</v>
      </c>
      <c r="C127" s="82" t="str">
        <f>TDCTRIBE!F136</f>
        <v>Kwinhagak (Quinhagak)</v>
      </c>
      <c r="D127" s="83">
        <f>TDCTRIBE!Y136</f>
        <v>537627.23286300001</v>
      </c>
      <c r="E127" s="83">
        <f>TDCTRIBE!Z136</f>
        <v>593892.8539060998</v>
      </c>
      <c r="F127" s="83">
        <f>TDCTRIBE!AA136</f>
        <v>670883.01826070005</v>
      </c>
      <c r="G127" s="83">
        <f>TDCTRIBE!AB136</f>
        <v>727154.03193440009</v>
      </c>
      <c r="H127" s="83">
        <f>TDCTRIBE!AC136</f>
        <v>784795.42359260004</v>
      </c>
      <c r="O127" s="9"/>
      <c r="P127" s="1"/>
      <c r="Q127" s="1"/>
      <c r="R127" s="1"/>
      <c r="S127" s="1"/>
      <c r="T127" s="1"/>
      <c r="U127" s="1"/>
      <c r="V127" s="9"/>
      <c r="W127" s="3"/>
      <c r="X127" s="4"/>
      <c r="Y127" s="1"/>
      <c r="Z127" s="1"/>
      <c r="AA127" s="1"/>
      <c r="AB127" s="1"/>
      <c r="AC127" s="1"/>
      <c r="AD127" s="3"/>
      <c r="AE127" s="3"/>
      <c r="AF127" s="5"/>
      <c r="AG127" s="5"/>
      <c r="AH127" s="5"/>
      <c r="AI127" s="5"/>
      <c r="AJ127" s="6"/>
      <c r="AK127" s="6"/>
      <c r="AL127" s="12"/>
      <c r="AM127" s="12"/>
      <c r="AN127" s="12"/>
      <c r="AO127" s="12"/>
      <c r="AP127" s="12"/>
    </row>
    <row r="128" spans="1:42" ht="15" x14ac:dyDescent="0.25">
      <c r="A128" s="82" t="str">
        <f>TDCTRIBE!I137</f>
        <v>Alaska</v>
      </c>
      <c r="B128" s="82" t="str">
        <f>TDCTRIBE!B137</f>
        <v>AK</v>
      </c>
      <c r="C128" s="82" t="str">
        <f>TDCTRIBE!F137</f>
        <v>Larsen Bay</v>
      </c>
      <c r="D128" s="83">
        <f>TDCTRIBE!Y137</f>
        <v>537627.23286300001</v>
      </c>
      <c r="E128" s="83">
        <f>TDCTRIBE!Z137</f>
        <v>593892.8539060998</v>
      </c>
      <c r="F128" s="83">
        <f>TDCTRIBE!AA137</f>
        <v>670883.01826070005</v>
      </c>
      <c r="G128" s="83">
        <f>TDCTRIBE!AB137</f>
        <v>727154.03193440009</v>
      </c>
      <c r="H128" s="83">
        <f>TDCTRIBE!AC137</f>
        <v>784795.42359260004</v>
      </c>
      <c r="O128" s="9"/>
      <c r="P128" s="1"/>
      <c r="Q128" s="1"/>
      <c r="R128" s="1"/>
      <c r="S128" s="1"/>
      <c r="T128" s="1"/>
      <c r="U128" s="1"/>
      <c r="V128" s="9"/>
      <c r="W128" s="3"/>
      <c r="X128" s="4"/>
      <c r="Y128" s="1"/>
      <c r="Z128" s="1"/>
      <c r="AA128" s="1"/>
      <c r="AB128" s="1"/>
      <c r="AC128" s="1"/>
      <c r="AD128" s="3"/>
      <c r="AE128" s="3"/>
      <c r="AF128" s="5"/>
      <c r="AG128" s="5"/>
      <c r="AH128" s="5"/>
      <c r="AI128" s="5"/>
      <c r="AJ128" s="6"/>
      <c r="AK128" s="6"/>
      <c r="AL128" s="12"/>
      <c r="AM128" s="12"/>
      <c r="AN128" s="12"/>
      <c r="AO128" s="12"/>
      <c r="AP128" s="12"/>
    </row>
    <row r="129" spans="1:42" ht="15" x14ac:dyDescent="0.25">
      <c r="A129" s="82" t="str">
        <f>TDCTRIBE!I138</f>
        <v>Alaska</v>
      </c>
      <c r="B129" s="82" t="str">
        <f>TDCTRIBE!B138</f>
        <v>AK</v>
      </c>
      <c r="C129" s="82" t="str">
        <f>TDCTRIBE!F138</f>
        <v>Levelock</v>
      </c>
      <c r="D129" s="83">
        <f>TDCTRIBE!Y138</f>
        <v>537627.23286300001</v>
      </c>
      <c r="E129" s="83">
        <f>TDCTRIBE!Z138</f>
        <v>593892.8539060998</v>
      </c>
      <c r="F129" s="83">
        <f>TDCTRIBE!AA138</f>
        <v>670883.01826070005</v>
      </c>
      <c r="G129" s="83">
        <f>TDCTRIBE!AB138</f>
        <v>727154.03193440009</v>
      </c>
      <c r="H129" s="83">
        <f>TDCTRIBE!AC138</f>
        <v>784795.42359260004</v>
      </c>
      <c r="O129" s="9"/>
      <c r="P129" s="1"/>
      <c r="Q129" s="1"/>
      <c r="R129" s="1"/>
      <c r="S129" s="1"/>
      <c r="T129" s="1"/>
      <c r="U129" s="1"/>
      <c r="V129" s="9"/>
      <c r="W129" s="3"/>
      <c r="X129" s="4"/>
      <c r="Y129" s="1"/>
      <c r="Z129" s="1"/>
      <c r="AA129" s="1"/>
      <c r="AB129" s="1"/>
      <c r="AC129" s="1"/>
      <c r="AD129" s="3"/>
      <c r="AE129" s="3"/>
      <c r="AF129" s="5"/>
      <c r="AG129" s="5"/>
      <c r="AH129" s="5"/>
      <c r="AI129" s="5"/>
      <c r="AJ129" s="6"/>
      <c r="AK129" s="6"/>
      <c r="AL129" s="12"/>
      <c r="AM129" s="12"/>
      <c r="AN129" s="12"/>
      <c r="AO129" s="12"/>
      <c r="AP129" s="12"/>
    </row>
    <row r="130" spans="1:42" ht="15" x14ac:dyDescent="0.25">
      <c r="A130" s="82" t="str">
        <f>TDCTRIBE!I139</f>
        <v>Alaska</v>
      </c>
      <c r="B130" s="82" t="str">
        <f>TDCTRIBE!B139</f>
        <v>AK</v>
      </c>
      <c r="C130" s="82" t="str">
        <f>TDCTRIBE!F139</f>
        <v>Lime</v>
      </c>
      <c r="D130" s="83">
        <f>TDCTRIBE!Y139</f>
        <v>573912.50187599997</v>
      </c>
      <c r="E130" s="83">
        <f>TDCTRIBE!Z139</f>
        <v>633906.89508719998</v>
      </c>
      <c r="F130" s="83">
        <f>TDCTRIBE!AA139</f>
        <v>715983.34034640016</v>
      </c>
      <c r="G130" s="83">
        <f>TDCTRIBE!AB139</f>
        <v>775980.51116880018</v>
      </c>
      <c r="H130" s="83">
        <f>TDCTRIBE!AC139</f>
        <v>837476.24333520012</v>
      </c>
      <c r="O130" s="9"/>
      <c r="P130" s="1"/>
      <c r="Q130" s="1"/>
      <c r="R130" s="1"/>
      <c r="S130" s="1"/>
      <c r="T130" s="1"/>
      <c r="U130" s="1"/>
      <c r="V130" s="9"/>
      <c r="W130" s="3"/>
      <c r="X130" s="4"/>
      <c r="Y130" s="1"/>
      <c r="Z130" s="1"/>
      <c r="AA130" s="1"/>
      <c r="AB130" s="1"/>
      <c r="AC130" s="1"/>
      <c r="AD130" s="3"/>
      <c r="AE130" s="3"/>
      <c r="AF130" s="5"/>
      <c r="AG130" s="5"/>
      <c r="AH130" s="5"/>
      <c r="AI130" s="5"/>
      <c r="AJ130" s="6"/>
      <c r="AK130" s="6"/>
      <c r="AL130" s="12"/>
      <c r="AM130" s="12"/>
      <c r="AN130" s="12"/>
      <c r="AO130" s="12"/>
      <c r="AP130" s="12"/>
    </row>
    <row r="131" spans="1:42" ht="15" x14ac:dyDescent="0.25">
      <c r="A131" s="82" t="str">
        <f>TDCTRIBE!I140</f>
        <v>Alaska</v>
      </c>
      <c r="B131" s="82" t="str">
        <f>TDCTRIBE!B140</f>
        <v>AK</v>
      </c>
      <c r="C131" s="82" t="str">
        <f>TDCTRIBE!F140</f>
        <v>Lower.Kalskag</v>
      </c>
      <c r="D131" s="83">
        <f>TDCTRIBE!Y140</f>
        <v>537627.23286300001</v>
      </c>
      <c r="E131" s="83">
        <f>TDCTRIBE!Z140</f>
        <v>593892.8539060998</v>
      </c>
      <c r="F131" s="83">
        <f>TDCTRIBE!AA140</f>
        <v>670883.01826070005</v>
      </c>
      <c r="G131" s="83">
        <f>TDCTRIBE!AB140</f>
        <v>727154.03193440009</v>
      </c>
      <c r="H131" s="83">
        <f>TDCTRIBE!AC140</f>
        <v>784795.42359260004</v>
      </c>
      <c r="O131" s="9"/>
      <c r="P131" s="1"/>
      <c r="Q131" s="1"/>
      <c r="R131" s="1"/>
      <c r="S131" s="1"/>
      <c r="T131" s="1"/>
      <c r="U131" s="1"/>
      <c r="V131" s="9"/>
      <c r="W131" s="3"/>
      <c r="X131" s="4"/>
      <c r="Y131" s="1"/>
      <c r="Z131" s="1"/>
      <c r="AA131" s="1"/>
      <c r="AB131" s="1"/>
      <c r="AC131" s="1"/>
      <c r="AD131" s="3"/>
      <c r="AE131" s="3"/>
      <c r="AF131" s="5"/>
      <c r="AG131" s="5"/>
      <c r="AH131" s="5"/>
      <c r="AI131" s="5"/>
      <c r="AJ131" s="6"/>
      <c r="AK131" s="6"/>
      <c r="AL131" s="12"/>
      <c r="AM131" s="12"/>
      <c r="AN131" s="12"/>
      <c r="AO131" s="12"/>
      <c r="AP131" s="12"/>
    </row>
    <row r="132" spans="1:42" ht="15" x14ac:dyDescent="0.25">
      <c r="A132" s="82" t="str">
        <f>TDCTRIBE!I141</f>
        <v>Alaska</v>
      </c>
      <c r="B132" s="82" t="str">
        <f>TDCTRIBE!B141</f>
        <v>AK</v>
      </c>
      <c r="C132" s="82" t="str">
        <f>TDCTRIBE!F141</f>
        <v>Manley Hot Springs</v>
      </c>
      <c r="D132" s="83">
        <f>TDCTRIBE!Y141</f>
        <v>537627.23286300001</v>
      </c>
      <c r="E132" s="83">
        <f>TDCTRIBE!Z141</f>
        <v>593892.8539060998</v>
      </c>
      <c r="F132" s="83">
        <f>TDCTRIBE!AA141</f>
        <v>670883.01826070005</v>
      </c>
      <c r="G132" s="83">
        <f>TDCTRIBE!AB141</f>
        <v>727154.03193440009</v>
      </c>
      <c r="H132" s="83">
        <f>TDCTRIBE!AC141</f>
        <v>784795.42359260004</v>
      </c>
      <c r="O132" s="9"/>
      <c r="P132" s="1"/>
      <c r="Q132" s="1"/>
      <c r="R132" s="1"/>
      <c r="S132" s="1"/>
      <c r="T132" s="1"/>
      <c r="U132" s="1"/>
      <c r="V132" s="9"/>
      <c r="W132" s="3"/>
      <c r="X132" s="4"/>
      <c r="Y132" s="1"/>
      <c r="Z132" s="1"/>
      <c r="AA132" s="1"/>
      <c r="AB132" s="1"/>
      <c r="AC132" s="1"/>
      <c r="AD132" s="3"/>
      <c r="AE132" s="3"/>
      <c r="AF132" s="5"/>
      <c r="AG132" s="5"/>
      <c r="AH132" s="5"/>
      <c r="AI132" s="5"/>
      <c r="AJ132" s="6"/>
      <c r="AK132" s="6"/>
      <c r="AL132" s="12"/>
      <c r="AM132" s="12"/>
      <c r="AN132" s="12"/>
      <c r="AO132" s="12"/>
      <c r="AP132" s="12"/>
    </row>
    <row r="133" spans="1:42" ht="15" x14ac:dyDescent="0.25">
      <c r="A133" s="82" t="str">
        <f>TDCTRIBE!I142</f>
        <v>Alaska</v>
      </c>
      <c r="B133" s="82" t="str">
        <f>TDCTRIBE!B142</f>
        <v>AK</v>
      </c>
      <c r="C133" s="82" t="str">
        <f>TDCTRIBE!F142</f>
        <v>Manokotak</v>
      </c>
      <c r="D133" s="83">
        <f>TDCTRIBE!Y142</f>
        <v>537627.23286300001</v>
      </c>
      <c r="E133" s="83">
        <f>TDCTRIBE!Z142</f>
        <v>593892.8539060998</v>
      </c>
      <c r="F133" s="83">
        <f>TDCTRIBE!AA142</f>
        <v>670883.01826070005</v>
      </c>
      <c r="G133" s="83">
        <f>TDCTRIBE!AB142</f>
        <v>727154.03193440009</v>
      </c>
      <c r="H133" s="83">
        <f>TDCTRIBE!AC142</f>
        <v>784795.42359260004</v>
      </c>
      <c r="O133" s="9"/>
      <c r="P133" s="1"/>
      <c r="Q133" s="1"/>
      <c r="R133" s="1"/>
      <c r="S133" s="1"/>
      <c r="T133" s="1"/>
      <c r="U133" s="1"/>
      <c r="V133" s="9"/>
      <c r="W133" s="3"/>
      <c r="X133" s="4"/>
      <c r="Y133" s="1"/>
      <c r="Z133" s="1"/>
      <c r="AA133" s="1"/>
      <c r="AB133" s="1"/>
      <c r="AC133" s="1"/>
      <c r="AD133" s="3"/>
      <c r="AE133" s="3"/>
      <c r="AF133" s="5"/>
      <c r="AG133" s="5"/>
      <c r="AH133" s="5"/>
      <c r="AI133" s="5"/>
      <c r="AJ133" s="6"/>
      <c r="AK133" s="6"/>
      <c r="AL133" s="12"/>
      <c r="AM133" s="12"/>
      <c r="AN133" s="12"/>
      <c r="AO133" s="12"/>
      <c r="AP133" s="12"/>
    </row>
    <row r="134" spans="1:42" ht="15" x14ac:dyDescent="0.25">
      <c r="A134" s="82" t="str">
        <f>TDCTRIBE!I143</f>
        <v>Alaska</v>
      </c>
      <c r="B134" s="82" t="str">
        <f>TDCTRIBE!B143</f>
        <v>AK</v>
      </c>
      <c r="C134" s="82" t="str">
        <f>TDCTRIBE!F143</f>
        <v>Marshall</v>
      </c>
      <c r="D134" s="83">
        <f>TDCTRIBE!Y143</f>
        <v>537627.23286300001</v>
      </c>
      <c r="E134" s="83">
        <f>TDCTRIBE!Z143</f>
        <v>593892.8539060998</v>
      </c>
      <c r="F134" s="83">
        <f>TDCTRIBE!AA143</f>
        <v>670883.01826070005</v>
      </c>
      <c r="G134" s="83">
        <f>TDCTRIBE!AB143</f>
        <v>727154.03193440009</v>
      </c>
      <c r="H134" s="83">
        <f>TDCTRIBE!AC143</f>
        <v>784795.42359260004</v>
      </c>
      <c r="O134" s="9"/>
      <c r="P134" s="1"/>
      <c r="Q134" s="1"/>
      <c r="R134" s="1"/>
      <c r="S134" s="1"/>
      <c r="T134" s="1"/>
      <c r="U134" s="1"/>
      <c r="V134" s="9"/>
      <c r="W134" s="3"/>
      <c r="X134" s="4"/>
      <c r="Y134" s="1"/>
      <c r="Z134" s="1"/>
      <c r="AA134" s="1"/>
      <c r="AB134" s="1"/>
      <c r="AC134" s="1"/>
      <c r="AD134" s="3"/>
      <c r="AE134" s="3"/>
      <c r="AF134" s="5"/>
      <c r="AG134" s="5"/>
      <c r="AH134" s="5"/>
      <c r="AI134" s="5"/>
      <c r="AJ134" s="6"/>
      <c r="AK134" s="6"/>
      <c r="AL134" s="12"/>
      <c r="AM134" s="12"/>
      <c r="AN134" s="12"/>
      <c r="AO134" s="12"/>
      <c r="AP134" s="12"/>
    </row>
    <row r="135" spans="1:42" ht="15" x14ac:dyDescent="0.25">
      <c r="A135" s="82" t="str">
        <f>TDCTRIBE!I144</f>
        <v>Alaska</v>
      </c>
      <c r="B135" s="82" t="str">
        <f>TDCTRIBE!B144</f>
        <v>AK</v>
      </c>
      <c r="C135" s="82" t="str">
        <f>TDCTRIBE!F144</f>
        <v>Mary's Igloo</v>
      </c>
      <c r="D135" s="83">
        <f>TDCTRIBE!Y144</f>
        <v>537627.23286300001</v>
      </c>
      <c r="E135" s="83">
        <f>TDCTRIBE!Z144</f>
        <v>593892.8539060998</v>
      </c>
      <c r="F135" s="83">
        <f>TDCTRIBE!AA144</f>
        <v>670883.01826070005</v>
      </c>
      <c r="G135" s="83">
        <f>TDCTRIBE!AB144</f>
        <v>727154.03193440009</v>
      </c>
      <c r="H135" s="83">
        <f>TDCTRIBE!AC144</f>
        <v>784795.42359260004</v>
      </c>
      <c r="O135" s="9"/>
      <c r="P135" s="1"/>
      <c r="Q135" s="1"/>
      <c r="R135" s="1"/>
      <c r="S135" s="1"/>
      <c r="T135" s="1"/>
      <c r="U135" s="1"/>
      <c r="V135" s="9"/>
      <c r="W135" s="3"/>
      <c r="X135" s="4"/>
      <c r="Y135" s="1"/>
      <c r="Z135" s="1"/>
      <c r="AA135" s="1"/>
      <c r="AB135" s="1"/>
      <c r="AC135" s="1"/>
      <c r="AD135" s="3"/>
      <c r="AE135" s="3"/>
      <c r="AF135" s="5"/>
      <c r="AG135" s="5"/>
      <c r="AH135" s="5"/>
      <c r="AI135" s="5"/>
      <c r="AJ135" s="6"/>
      <c r="AK135" s="6"/>
      <c r="AL135" s="12"/>
      <c r="AM135" s="12"/>
      <c r="AN135" s="12"/>
      <c r="AO135" s="12"/>
      <c r="AP135" s="12"/>
    </row>
    <row r="136" spans="1:42" ht="15" x14ac:dyDescent="0.25">
      <c r="A136" s="82" t="str">
        <f>TDCTRIBE!I145</f>
        <v>Alaska</v>
      </c>
      <c r="B136" s="82" t="str">
        <f>TDCTRIBE!B145</f>
        <v>AK</v>
      </c>
      <c r="C136" s="82" t="str">
        <f>TDCTRIBE!F145</f>
        <v>McGrath</v>
      </c>
      <c r="D136" s="83">
        <f>TDCTRIBE!Y145</f>
        <v>573912.50187599997</v>
      </c>
      <c r="E136" s="83">
        <f>TDCTRIBE!Z145</f>
        <v>633906.89508719998</v>
      </c>
      <c r="F136" s="83">
        <f>TDCTRIBE!AA145</f>
        <v>715983.34034640016</v>
      </c>
      <c r="G136" s="83">
        <f>TDCTRIBE!AB145</f>
        <v>775980.51116880018</v>
      </c>
      <c r="H136" s="83">
        <f>TDCTRIBE!AC145</f>
        <v>837476.24333520012</v>
      </c>
      <c r="O136" s="9"/>
      <c r="P136" s="1"/>
      <c r="Q136" s="1"/>
      <c r="R136" s="1"/>
      <c r="S136" s="1"/>
      <c r="T136" s="1"/>
      <c r="U136" s="1"/>
      <c r="V136" s="9"/>
      <c r="W136" s="3"/>
      <c r="X136" s="4"/>
      <c r="Y136" s="1"/>
      <c r="Z136" s="1"/>
      <c r="AA136" s="1"/>
      <c r="AB136" s="1"/>
      <c r="AC136" s="1"/>
      <c r="AD136" s="3"/>
      <c r="AE136" s="3"/>
      <c r="AF136" s="5"/>
      <c r="AG136" s="5"/>
      <c r="AH136" s="5"/>
      <c r="AI136" s="5"/>
      <c r="AJ136" s="6"/>
      <c r="AK136" s="6"/>
      <c r="AL136" s="12"/>
      <c r="AM136" s="12"/>
      <c r="AN136" s="12"/>
      <c r="AO136" s="12"/>
      <c r="AP136" s="12"/>
    </row>
    <row r="137" spans="1:42" ht="15" x14ac:dyDescent="0.25">
      <c r="A137" s="82" t="str">
        <f>TDCTRIBE!I146</f>
        <v>Alaska</v>
      </c>
      <c r="B137" s="82" t="str">
        <f>TDCTRIBE!B146</f>
        <v>AK</v>
      </c>
      <c r="C137" s="82" t="str">
        <f>TDCTRIBE!F146</f>
        <v>Mekoryuk</v>
      </c>
      <c r="D137" s="83">
        <f>TDCTRIBE!Y146</f>
        <v>537627.23286300001</v>
      </c>
      <c r="E137" s="83">
        <f>TDCTRIBE!Z146</f>
        <v>593892.8539060998</v>
      </c>
      <c r="F137" s="83">
        <f>TDCTRIBE!AA146</f>
        <v>670883.01826070005</v>
      </c>
      <c r="G137" s="83">
        <f>TDCTRIBE!AB146</f>
        <v>727154.03193440009</v>
      </c>
      <c r="H137" s="83">
        <f>TDCTRIBE!AC146</f>
        <v>784795.42359260004</v>
      </c>
      <c r="O137" s="9"/>
      <c r="P137" s="1"/>
      <c r="Q137" s="1"/>
      <c r="R137" s="1"/>
      <c r="S137" s="1"/>
      <c r="T137" s="1"/>
      <c r="U137" s="1"/>
      <c r="V137" s="9"/>
      <c r="W137" s="3"/>
      <c r="X137" s="4"/>
      <c r="Y137" s="1"/>
      <c r="Z137" s="1"/>
      <c r="AA137" s="1"/>
      <c r="AB137" s="1"/>
      <c r="AC137" s="1"/>
      <c r="AD137" s="3"/>
      <c r="AE137" s="3"/>
      <c r="AF137" s="5"/>
      <c r="AG137" s="5"/>
      <c r="AH137" s="5"/>
      <c r="AI137" s="5"/>
      <c r="AJ137" s="6"/>
      <c r="AK137" s="6"/>
      <c r="AL137" s="12"/>
      <c r="AM137" s="12"/>
      <c r="AN137" s="12"/>
      <c r="AO137" s="12"/>
      <c r="AP137" s="12"/>
    </row>
    <row r="138" spans="1:42" ht="15" x14ac:dyDescent="0.25">
      <c r="A138" s="82" t="str">
        <f>TDCTRIBE!I147</f>
        <v>Alaska</v>
      </c>
      <c r="B138" s="82" t="str">
        <f>TDCTRIBE!B147</f>
        <v>AK</v>
      </c>
      <c r="C138" s="82" t="str">
        <f>TDCTRIBE!F147</f>
        <v>Mentasta</v>
      </c>
      <c r="D138" s="83">
        <f>TDCTRIBE!Y147</f>
        <v>537627.23286300001</v>
      </c>
      <c r="E138" s="83">
        <f>TDCTRIBE!Z147</f>
        <v>593892.8539060998</v>
      </c>
      <c r="F138" s="83">
        <f>TDCTRIBE!AA147</f>
        <v>670883.01826070005</v>
      </c>
      <c r="G138" s="83">
        <f>TDCTRIBE!AB147</f>
        <v>727154.03193440009</v>
      </c>
      <c r="H138" s="83">
        <f>TDCTRIBE!AC147</f>
        <v>784795.42359260004</v>
      </c>
      <c r="O138" s="9"/>
      <c r="P138" s="1"/>
      <c r="Q138" s="1"/>
      <c r="R138" s="1"/>
      <c r="S138" s="1"/>
      <c r="T138" s="1"/>
      <c r="U138" s="1"/>
      <c r="V138" s="9"/>
      <c r="W138" s="3"/>
      <c r="X138" s="4"/>
      <c r="Y138" s="1"/>
      <c r="Z138" s="1"/>
      <c r="AA138" s="1"/>
      <c r="AB138" s="1"/>
      <c r="AC138" s="1"/>
      <c r="AD138" s="3"/>
      <c r="AE138" s="3"/>
      <c r="AF138" s="5"/>
      <c r="AG138" s="5"/>
      <c r="AH138" s="5"/>
      <c r="AI138" s="5"/>
      <c r="AJ138" s="6"/>
      <c r="AK138" s="6"/>
      <c r="AL138" s="12"/>
      <c r="AM138" s="12"/>
      <c r="AN138" s="12"/>
      <c r="AO138" s="12"/>
      <c r="AP138" s="12"/>
    </row>
    <row r="139" spans="1:42" ht="15" x14ac:dyDescent="0.25">
      <c r="A139" s="82" t="str">
        <f>TDCTRIBE!I148</f>
        <v>Alaska</v>
      </c>
      <c r="B139" s="82" t="str">
        <f>TDCTRIBE!B148</f>
        <v>AK</v>
      </c>
      <c r="C139" s="82" t="str">
        <f>TDCTRIBE!F148</f>
        <v>Minto</v>
      </c>
      <c r="D139" s="83">
        <f>TDCTRIBE!Y148</f>
        <v>537627.23286300001</v>
      </c>
      <c r="E139" s="83">
        <f>TDCTRIBE!Z148</f>
        <v>593892.8539060998</v>
      </c>
      <c r="F139" s="83">
        <f>TDCTRIBE!AA148</f>
        <v>670883.01826070005</v>
      </c>
      <c r="G139" s="83">
        <f>TDCTRIBE!AB148</f>
        <v>727154.03193440009</v>
      </c>
      <c r="H139" s="83">
        <f>TDCTRIBE!AC148</f>
        <v>784795.42359260004</v>
      </c>
      <c r="O139" s="9"/>
      <c r="P139" s="1"/>
      <c r="Q139" s="1"/>
      <c r="R139" s="1"/>
      <c r="S139" s="1"/>
      <c r="T139" s="1"/>
      <c r="U139" s="1"/>
      <c r="V139" s="9"/>
      <c r="W139" s="3"/>
      <c r="X139" s="4"/>
      <c r="Y139" s="1"/>
      <c r="Z139" s="1"/>
      <c r="AA139" s="1"/>
      <c r="AB139" s="1"/>
      <c r="AC139" s="1"/>
      <c r="AD139" s="3"/>
      <c r="AE139" s="3"/>
      <c r="AF139" s="5"/>
      <c r="AG139" s="5"/>
      <c r="AH139" s="5"/>
      <c r="AI139" s="5"/>
      <c r="AJ139" s="6"/>
      <c r="AK139" s="6"/>
      <c r="AL139" s="12"/>
      <c r="AM139" s="12"/>
      <c r="AN139" s="12"/>
      <c r="AO139" s="12"/>
      <c r="AP139" s="12"/>
    </row>
    <row r="140" spans="1:42" ht="15" x14ac:dyDescent="0.25">
      <c r="A140" s="82" t="str">
        <f>TDCTRIBE!I149</f>
        <v>Alaska</v>
      </c>
      <c r="B140" s="82" t="str">
        <f>TDCTRIBE!B149</f>
        <v>AK</v>
      </c>
      <c r="C140" s="82" t="str">
        <f>TDCTRIBE!F149</f>
        <v>Mountain Village</v>
      </c>
      <c r="D140" s="83">
        <f>TDCTRIBE!Y149</f>
        <v>537627.23286300001</v>
      </c>
      <c r="E140" s="83">
        <f>TDCTRIBE!Z149</f>
        <v>593892.8539060998</v>
      </c>
      <c r="F140" s="83">
        <f>TDCTRIBE!AA149</f>
        <v>670883.01826070005</v>
      </c>
      <c r="G140" s="83">
        <f>TDCTRIBE!AB149</f>
        <v>727154.03193440009</v>
      </c>
      <c r="H140" s="83">
        <f>TDCTRIBE!AC149</f>
        <v>784795.42359260004</v>
      </c>
      <c r="O140" s="9"/>
      <c r="P140" s="1"/>
      <c r="Q140" s="1"/>
      <c r="R140" s="1"/>
      <c r="S140" s="1"/>
      <c r="T140" s="1"/>
      <c r="U140" s="1"/>
      <c r="V140" s="9"/>
      <c r="W140" s="3"/>
      <c r="X140" s="4"/>
      <c r="Y140" s="1"/>
      <c r="Z140" s="1"/>
      <c r="AA140" s="1"/>
      <c r="AB140" s="1"/>
      <c r="AC140" s="1"/>
      <c r="AD140" s="3"/>
      <c r="AE140" s="3"/>
      <c r="AF140" s="5"/>
      <c r="AG140" s="5"/>
      <c r="AH140" s="5"/>
      <c r="AI140" s="5"/>
      <c r="AJ140" s="6"/>
      <c r="AK140" s="6"/>
      <c r="AL140" s="12"/>
      <c r="AM140" s="12"/>
      <c r="AN140" s="12"/>
      <c r="AO140" s="12"/>
      <c r="AP140" s="12"/>
    </row>
    <row r="141" spans="1:42" ht="15" x14ac:dyDescent="0.25">
      <c r="A141" s="82" t="str">
        <f>TDCTRIBE!I150</f>
        <v>Alaska</v>
      </c>
      <c r="B141" s="82" t="str">
        <f>TDCTRIBE!B150</f>
        <v>AK</v>
      </c>
      <c r="C141" s="82" t="str">
        <f>TDCTRIBE!F150</f>
        <v>Naknek</v>
      </c>
      <c r="D141" s="83">
        <f>TDCTRIBE!Y150</f>
        <v>537627.23286300001</v>
      </c>
      <c r="E141" s="83">
        <f>TDCTRIBE!Z150</f>
        <v>593892.8539060998</v>
      </c>
      <c r="F141" s="83">
        <f>TDCTRIBE!AA150</f>
        <v>670883.01826070005</v>
      </c>
      <c r="G141" s="83">
        <f>TDCTRIBE!AB150</f>
        <v>727154.03193440009</v>
      </c>
      <c r="H141" s="83">
        <f>TDCTRIBE!AC150</f>
        <v>784795.42359260004</v>
      </c>
      <c r="O141" s="9"/>
      <c r="P141" s="1"/>
      <c r="Q141" s="1"/>
      <c r="R141" s="1"/>
      <c r="S141" s="1"/>
      <c r="T141" s="1"/>
      <c r="U141" s="1"/>
      <c r="V141" s="9"/>
      <c r="W141" s="3"/>
      <c r="X141" s="4"/>
      <c r="Y141" s="1"/>
      <c r="Z141" s="1"/>
      <c r="AA141" s="1"/>
      <c r="AB141" s="1"/>
      <c r="AC141" s="1"/>
      <c r="AD141" s="3"/>
      <c r="AE141" s="3"/>
      <c r="AF141" s="5"/>
      <c r="AG141" s="5"/>
      <c r="AH141" s="5"/>
      <c r="AI141" s="5"/>
      <c r="AJ141" s="6"/>
      <c r="AK141" s="6"/>
      <c r="AL141" s="12"/>
      <c r="AM141" s="12"/>
      <c r="AN141" s="12"/>
      <c r="AO141" s="12"/>
      <c r="AP141" s="12"/>
    </row>
    <row r="142" spans="1:42" ht="15" x14ac:dyDescent="0.25">
      <c r="A142" s="82" t="str">
        <f>TDCTRIBE!I151</f>
        <v>Alaska</v>
      </c>
      <c r="B142" s="82" t="str">
        <f>TDCTRIBE!B151</f>
        <v>AK</v>
      </c>
      <c r="C142" s="82" t="str">
        <f>TDCTRIBE!F151</f>
        <v>NANA Native Regional Corporation</v>
      </c>
      <c r="D142" s="83">
        <f>TDCTRIBE!Y151</f>
        <v>573912.50187599997</v>
      </c>
      <c r="E142" s="83">
        <f>TDCTRIBE!Z151</f>
        <v>633906.89508719998</v>
      </c>
      <c r="F142" s="83">
        <f>TDCTRIBE!AA151</f>
        <v>715983.34034640016</v>
      </c>
      <c r="G142" s="83">
        <f>TDCTRIBE!AB151</f>
        <v>775980.51116880018</v>
      </c>
      <c r="H142" s="83">
        <f>TDCTRIBE!AC151</f>
        <v>837476.24333520012</v>
      </c>
      <c r="O142" s="9"/>
      <c r="P142" s="1"/>
      <c r="Q142" s="1"/>
      <c r="R142" s="1"/>
      <c r="S142" s="1"/>
      <c r="T142" s="1"/>
      <c r="U142" s="1"/>
      <c r="V142" s="9"/>
      <c r="W142" s="3"/>
      <c r="X142" s="4"/>
      <c r="Y142" s="1"/>
      <c r="Z142" s="1"/>
      <c r="AA142" s="1"/>
      <c r="AB142" s="1"/>
      <c r="AC142" s="1"/>
      <c r="AD142" s="3"/>
      <c r="AE142" s="3"/>
      <c r="AF142" s="5"/>
      <c r="AG142" s="5"/>
      <c r="AH142" s="5"/>
      <c r="AI142" s="5"/>
      <c r="AJ142" s="6"/>
      <c r="AK142" s="6"/>
      <c r="AL142" s="12"/>
      <c r="AM142" s="12"/>
      <c r="AN142" s="12"/>
      <c r="AO142" s="12"/>
      <c r="AP142" s="12"/>
    </row>
    <row r="143" spans="1:42" ht="15" x14ac:dyDescent="0.25">
      <c r="A143" s="82" t="str">
        <f>TDCTRIBE!I152</f>
        <v>Alaska</v>
      </c>
      <c r="B143" s="82" t="str">
        <f>TDCTRIBE!B152</f>
        <v>AK</v>
      </c>
      <c r="C143" s="82" t="str">
        <f>TDCTRIBE!F152</f>
        <v>Nanwalek (English Bay)</v>
      </c>
      <c r="D143" s="83">
        <f>TDCTRIBE!Y152</f>
        <v>465666.31849500001</v>
      </c>
      <c r="E143" s="83">
        <f>TDCTRIBE!Z152</f>
        <v>514428.62433899997</v>
      </c>
      <c r="F143" s="83">
        <f>TDCTRIBE!AA152</f>
        <v>581158.19019300013</v>
      </c>
      <c r="G143" s="83">
        <f>TDCTRIBE!AB152</f>
        <v>629926.37213100016</v>
      </c>
      <c r="H143" s="83">
        <f>TDCTRIBE!AC152</f>
        <v>679867.06659900001</v>
      </c>
      <c r="O143" s="9"/>
      <c r="P143" s="1"/>
      <c r="Q143" s="1"/>
      <c r="R143" s="1"/>
      <c r="S143" s="1"/>
      <c r="T143" s="1"/>
      <c r="U143" s="1"/>
      <c r="V143" s="9"/>
      <c r="W143" s="3"/>
      <c r="X143" s="4"/>
      <c r="Y143" s="1"/>
      <c r="Z143" s="1"/>
      <c r="AA143" s="1"/>
      <c r="AB143" s="1"/>
      <c r="AC143" s="1"/>
      <c r="AD143" s="3"/>
      <c r="AE143" s="3"/>
      <c r="AF143" s="5"/>
      <c r="AG143" s="5"/>
      <c r="AH143" s="5"/>
      <c r="AI143" s="5"/>
      <c r="AJ143" s="6"/>
      <c r="AK143" s="6"/>
      <c r="AL143" s="12"/>
      <c r="AM143" s="12"/>
      <c r="AN143" s="12"/>
      <c r="AO143" s="12"/>
      <c r="AP143" s="12"/>
    </row>
    <row r="144" spans="1:42" ht="15" x14ac:dyDescent="0.25">
      <c r="A144" s="82" t="str">
        <f>TDCTRIBE!I153</f>
        <v>Alaska</v>
      </c>
      <c r="B144" s="82" t="str">
        <f>TDCTRIBE!B153</f>
        <v>AK</v>
      </c>
      <c r="C144" s="82" t="str">
        <f>TDCTRIBE!F153</f>
        <v>Napaimute</v>
      </c>
      <c r="D144" s="83">
        <f>TDCTRIBE!Y153</f>
        <v>537627.23286300001</v>
      </c>
      <c r="E144" s="83">
        <f>TDCTRIBE!Z153</f>
        <v>593892.8539060998</v>
      </c>
      <c r="F144" s="83">
        <f>TDCTRIBE!AA153</f>
        <v>670883.01826070005</v>
      </c>
      <c r="G144" s="83">
        <f>TDCTRIBE!AB153</f>
        <v>727154.03193440009</v>
      </c>
      <c r="H144" s="83">
        <f>TDCTRIBE!AC153</f>
        <v>784795.42359260004</v>
      </c>
      <c r="O144" s="9"/>
      <c r="P144" s="1"/>
      <c r="Q144" s="1"/>
      <c r="R144" s="1"/>
      <c r="S144" s="1"/>
      <c r="T144" s="1"/>
      <c r="U144" s="1"/>
      <c r="V144" s="9"/>
      <c r="W144" s="3"/>
      <c r="X144" s="4"/>
      <c r="Y144" s="1"/>
      <c r="Z144" s="1"/>
      <c r="AA144" s="1"/>
      <c r="AB144" s="1"/>
      <c r="AC144" s="1"/>
      <c r="AD144" s="3"/>
      <c r="AE144" s="3"/>
      <c r="AF144" s="5"/>
      <c r="AG144" s="5"/>
      <c r="AH144" s="5"/>
      <c r="AI144" s="5"/>
      <c r="AJ144" s="6"/>
      <c r="AK144" s="6"/>
      <c r="AL144" s="12"/>
      <c r="AM144" s="12"/>
      <c r="AN144" s="12"/>
      <c r="AO144" s="12"/>
      <c r="AP144" s="12"/>
    </row>
    <row r="145" spans="1:42" ht="15" x14ac:dyDescent="0.25">
      <c r="A145" s="82" t="str">
        <f>TDCTRIBE!I154</f>
        <v>Alaska</v>
      </c>
      <c r="B145" s="82" t="str">
        <f>TDCTRIBE!B154</f>
        <v>AK</v>
      </c>
      <c r="C145" s="82" t="str">
        <f>TDCTRIBE!F154</f>
        <v>Napakiak</v>
      </c>
      <c r="D145" s="83">
        <f>TDCTRIBE!Y154</f>
        <v>537627.23286300001</v>
      </c>
      <c r="E145" s="83">
        <f>TDCTRIBE!Z154</f>
        <v>593892.8539060998</v>
      </c>
      <c r="F145" s="83">
        <f>TDCTRIBE!AA154</f>
        <v>670883.01826070005</v>
      </c>
      <c r="G145" s="83">
        <f>TDCTRIBE!AB154</f>
        <v>727154.03193440009</v>
      </c>
      <c r="H145" s="83">
        <f>TDCTRIBE!AC154</f>
        <v>784795.42359260004</v>
      </c>
      <c r="O145" s="9"/>
      <c r="P145" s="1"/>
      <c r="Q145" s="1"/>
      <c r="R145" s="1"/>
      <c r="S145" s="1"/>
      <c r="T145" s="1"/>
      <c r="U145" s="1"/>
      <c r="V145" s="9"/>
      <c r="W145" s="3"/>
      <c r="X145" s="4"/>
      <c r="Y145" s="1"/>
      <c r="Z145" s="1"/>
      <c r="AA145" s="1"/>
      <c r="AB145" s="1"/>
      <c r="AC145" s="1"/>
      <c r="AD145" s="3"/>
      <c r="AE145" s="3"/>
      <c r="AF145" s="5"/>
      <c r="AG145" s="5"/>
      <c r="AH145" s="5"/>
      <c r="AI145" s="5"/>
      <c r="AJ145" s="6"/>
      <c r="AK145" s="6"/>
      <c r="AL145" s="12"/>
      <c r="AM145" s="12"/>
      <c r="AN145" s="12"/>
      <c r="AO145" s="12"/>
      <c r="AP145" s="12"/>
    </row>
    <row r="146" spans="1:42" ht="15" x14ac:dyDescent="0.25">
      <c r="A146" s="82" t="str">
        <f>TDCTRIBE!I155</f>
        <v>Alaska</v>
      </c>
      <c r="B146" s="82" t="str">
        <f>TDCTRIBE!B155</f>
        <v>AK</v>
      </c>
      <c r="C146" s="82" t="str">
        <f>TDCTRIBE!F155</f>
        <v>Napaskiak</v>
      </c>
      <c r="D146" s="83">
        <f>TDCTRIBE!Y155</f>
        <v>537627.23286300001</v>
      </c>
      <c r="E146" s="83">
        <f>TDCTRIBE!Z155</f>
        <v>593892.8539060998</v>
      </c>
      <c r="F146" s="83">
        <f>TDCTRIBE!AA155</f>
        <v>670883.01826070005</v>
      </c>
      <c r="G146" s="83">
        <f>TDCTRIBE!AB155</f>
        <v>727154.03193440009</v>
      </c>
      <c r="H146" s="83">
        <f>TDCTRIBE!AC155</f>
        <v>784795.42359260004</v>
      </c>
      <c r="O146" s="9"/>
      <c r="P146" s="1"/>
      <c r="Q146" s="1"/>
      <c r="R146" s="1"/>
      <c r="S146" s="1"/>
      <c r="T146" s="1"/>
      <c r="U146" s="1"/>
      <c r="V146" s="9"/>
      <c r="W146" s="3"/>
      <c r="X146" s="4"/>
      <c r="Y146" s="1"/>
      <c r="Z146" s="1"/>
      <c r="AA146" s="1"/>
      <c r="AB146" s="1"/>
      <c r="AC146" s="1"/>
      <c r="AD146" s="3"/>
      <c r="AE146" s="3"/>
      <c r="AF146" s="5"/>
      <c r="AG146" s="5"/>
      <c r="AH146" s="5"/>
      <c r="AI146" s="5"/>
      <c r="AJ146" s="6"/>
      <c r="AK146" s="6"/>
      <c r="AL146" s="12"/>
      <c r="AM146" s="12"/>
      <c r="AN146" s="12"/>
      <c r="AO146" s="12"/>
      <c r="AP146" s="12"/>
    </row>
    <row r="147" spans="1:42" ht="15" x14ac:dyDescent="0.25">
      <c r="A147" s="82" t="str">
        <f>TDCTRIBE!I156</f>
        <v>Alaska</v>
      </c>
      <c r="B147" s="82" t="str">
        <f>TDCTRIBE!B156</f>
        <v>AK</v>
      </c>
      <c r="C147" s="82" t="str">
        <f>TDCTRIBE!F156</f>
        <v>Nelson Lagoon</v>
      </c>
      <c r="D147" s="83">
        <f>TDCTRIBE!Y156</f>
        <v>537627.23286300001</v>
      </c>
      <c r="E147" s="83">
        <f>TDCTRIBE!Z156</f>
        <v>593892.8539060998</v>
      </c>
      <c r="F147" s="83">
        <f>TDCTRIBE!AA156</f>
        <v>670883.01826070005</v>
      </c>
      <c r="G147" s="83">
        <f>TDCTRIBE!AB156</f>
        <v>727154.03193440009</v>
      </c>
      <c r="H147" s="83">
        <f>TDCTRIBE!AC156</f>
        <v>784795.42359260004</v>
      </c>
      <c r="O147" s="9"/>
      <c r="P147" s="1"/>
      <c r="Q147" s="1"/>
      <c r="R147" s="1"/>
      <c r="S147" s="1"/>
      <c r="T147" s="1"/>
      <c r="U147" s="1"/>
      <c r="V147" s="9"/>
      <c r="W147" s="3"/>
      <c r="X147" s="4"/>
      <c r="Y147" s="1"/>
      <c r="Z147" s="1"/>
      <c r="AA147" s="1"/>
      <c r="AB147" s="1"/>
      <c r="AC147" s="1"/>
      <c r="AD147" s="3"/>
      <c r="AE147" s="3"/>
      <c r="AF147" s="5"/>
      <c r="AG147" s="5"/>
      <c r="AH147" s="5"/>
      <c r="AI147" s="5"/>
      <c r="AJ147" s="6"/>
      <c r="AK147" s="6"/>
      <c r="AL147" s="12"/>
      <c r="AM147" s="12"/>
      <c r="AN147" s="12"/>
      <c r="AO147" s="12"/>
      <c r="AP147" s="12"/>
    </row>
    <row r="148" spans="1:42" ht="15" x14ac:dyDescent="0.25">
      <c r="A148" s="82" t="str">
        <f>TDCTRIBE!I157</f>
        <v>Alaska</v>
      </c>
      <c r="B148" s="82" t="str">
        <f>TDCTRIBE!B157</f>
        <v>AK</v>
      </c>
      <c r="C148" s="82" t="str">
        <f>TDCTRIBE!F157</f>
        <v>Nenana</v>
      </c>
      <c r="D148" s="83">
        <f>TDCTRIBE!Y157</f>
        <v>537627.23286300001</v>
      </c>
      <c r="E148" s="83">
        <f>TDCTRIBE!Z157</f>
        <v>593892.8539060998</v>
      </c>
      <c r="F148" s="83">
        <f>TDCTRIBE!AA157</f>
        <v>670883.01826070005</v>
      </c>
      <c r="G148" s="83">
        <f>TDCTRIBE!AB157</f>
        <v>727154.03193440009</v>
      </c>
      <c r="H148" s="83">
        <f>TDCTRIBE!AC157</f>
        <v>784795.42359260004</v>
      </c>
      <c r="O148" s="9"/>
      <c r="P148" s="1"/>
      <c r="Q148" s="1"/>
      <c r="R148" s="1"/>
      <c r="S148" s="1"/>
      <c r="T148" s="1"/>
      <c r="U148" s="1"/>
      <c r="V148" s="9"/>
      <c r="W148" s="3"/>
      <c r="X148" s="4"/>
      <c r="Y148" s="1"/>
      <c r="Z148" s="1"/>
      <c r="AA148" s="1"/>
      <c r="AB148" s="1"/>
      <c r="AC148" s="1"/>
      <c r="AD148" s="3"/>
      <c r="AE148" s="3"/>
      <c r="AF148" s="5"/>
      <c r="AG148" s="5"/>
      <c r="AH148" s="5"/>
      <c r="AI148" s="5"/>
      <c r="AJ148" s="6"/>
      <c r="AK148" s="6"/>
      <c r="AL148" s="12"/>
      <c r="AM148" s="12"/>
      <c r="AN148" s="12"/>
      <c r="AO148" s="12"/>
      <c r="AP148" s="12"/>
    </row>
    <row r="149" spans="1:42" ht="15" x14ac:dyDescent="0.25">
      <c r="A149" s="82" t="str">
        <f>TDCTRIBE!I158</f>
        <v>Alaska</v>
      </c>
      <c r="B149" s="82" t="str">
        <f>TDCTRIBE!B158</f>
        <v>AK</v>
      </c>
      <c r="C149" s="82" t="str">
        <f>TDCTRIBE!F158</f>
        <v>New Stuyahok</v>
      </c>
      <c r="D149" s="83">
        <f>TDCTRIBE!Y158</f>
        <v>573912.50187599997</v>
      </c>
      <c r="E149" s="83">
        <f>TDCTRIBE!Z158</f>
        <v>633906.89508719998</v>
      </c>
      <c r="F149" s="83">
        <f>TDCTRIBE!AA158</f>
        <v>715983.34034640016</v>
      </c>
      <c r="G149" s="83">
        <f>TDCTRIBE!AB158</f>
        <v>775980.51116880018</v>
      </c>
      <c r="H149" s="83">
        <f>TDCTRIBE!AC158</f>
        <v>837476.24333520012</v>
      </c>
      <c r="J149" s="17"/>
      <c r="K149" s="17"/>
      <c r="L149" s="17"/>
      <c r="O149" s="9"/>
      <c r="P149" s="1"/>
      <c r="Q149" s="1"/>
      <c r="R149" s="1"/>
      <c r="S149" s="1"/>
      <c r="T149" s="1"/>
      <c r="U149" s="1"/>
      <c r="V149" s="9"/>
      <c r="W149" s="3"/>
      <c r="X149" s="4"/>
      <c r="Y149" s="1"/>
      <c r="Z149" s="1"/>
      <c r="AA149" s="1"/>
      <c r="AB149" s="1"/>
      <c r="AC149" s="1"/>
      <c r="AD149" s="3"/>
      <c r="AE149" s="3"/>
      <c r="AF149" s="5"/>
      <c r="AG149" s="5"/>
      <c r="AH149" s="5"/>
      <c r="AI149" s="5"/>
      <c r="AJ149" s="6"/>
      <c r="AK149" s="6"/>
      <c r="AL149" s="12"/>
      <c r="AM149" s="12"/>
      <c r="AN149" s="12"/>
      <c r="AO149" s="12"/>
      <c r="AP149" s="12"/>
    </row>
    <row r="150" spans="1:42" ht="15" x14ac:dyDescent="0.25">
      <c r="A150" s="82" t="str">
        <f>TDCTRIBE!I159</f>
        <v>Alaska</v>
      </c>
      <c r="B150" s="82" t="str">
        <f>TDCTRIBE!B159</f>
        <v>AK</v>
      </c>
      <c r="C150" s="82" t="str">
        <f>TDCTRIBE!F159</f>
        <v>Newhalen</v>
      </c>
      <c r="D150" s="83">
        <f>TDCTRIBE!Y159</f>
        <v>537627.23286300001</v>
      </c>
      <c r="E150" s="83">
        <f>TDCTRIBE!Z159</f>
        <v>593892.8539060998</v>
      </c>
      <c r="F150" s="83">
        <f>TDCTRIBE!AA159</f>
        <v>670883.01826070005</v>
      </c>
      <c r="G150" s="83">
        <f>TDCTRIBE!AB159</f>
        <v>727154.03193440009</v>
      </c>
      <c r="H150" s="83">
        <f>TDCTRIBE!AC159</f>
        <v>784795.42359260004</v>
      </c>
      <c r="O150" s="9"/>
      <c r="P150" s="1"/>
      <c r="Q150" s="1"/>
      <c r="R150" s="1"/>
      <c r="S150" s="1"/>
      <c r="T150" s="1"/>
      <c r="U150" s="1"/>
      <c r="V150" s="9"/>
      <c r="W150" s="3"/>
      <c r="X150" s="4"/>
      <c r="Y150" s="1"/>
      <c r="Z150" s="1"/>
      <c r="AA150" s="1"/>
      <c r="AB150" s="1"/>
      <c r="AC150" s="1"/>
      <c r="AD150" s="3"/>
      <c r="AE150" s="3"/>
      <c r="AF150" s="5"/>
      <c r="AG150" s="5"/>
      <c r="AH150" s="5"/>
      <c r="AI150" s="5"/>
      <c r="AJ150" s="6"/>
      <c r="AK150" s="6"/>
      <c r="AL150" s="12"/>
      <c r="AM150" s="12"/>
      <c r="AN150" s="12"/>
      <c r="AO150" s="12"/>
      <c r="AP150" s="12"/>
    </row>
    <row r="151" spans="1:42" ht="15" x14ac:dyDescent="0.25">
      <c r="A151" s="82" t="str">
        <f>TDCTRIBE!I160</f>
        <v>Alaska</v>
      </c>
      <c r="B151" s="82" t="str">
        <f>TDCTRIBE!B160</f>
        <v>AK</v>
      </c>
      <c r="C151" s="82" t="str">
        <f>TDCTRIBE!F160</f>
        <v>Newtok</v>
      </c>
      <c r="D151" s="83">
        <f>TDCTRIBE!Y160</f>
        <v>537627.23286300001</v>
      </c>
      <c r="E151" s="83">
        <f>TDCTRIBE!Z160</f>
        <v>593892.8539060998</v>
      </c>
      <c r="F151" s="83">
        <f>TDCTRIBE!AA160</f>
        <v>670883.01826070005</v>
      </c>
      <c r="G151" s="83">
        <f>TDCTRIBE!AB160</f>
        <v>727154.03193440009</v>
      </c>
      <c r="H151" s="83">
        <f>TDCTRIBE!AC160</f>
        <v>784795.42359260004</v>
      </c>
      <c r="O151" s="9"/>
      <c r="P151" s="1"/>
      <c r="Q151" s="1"/>
      <c r="R151" s="1"/>
      <c r="S151" s="1"/>
      <c r="T151" s="1"/>
      <c r="U151" s="1"/>
      <c r="V151" s="9"/>
      <c r="W151" s="3"/>
      <c r="X151" s="4"/>
      <c r="Y151" s="1"/>
      <c r="Z151" s="1"/>
      <c r="AA151" s="1"/>
      <c r="AB151" s="1"/>
      <c r="AC151" s="1"/>
      <c r="AD151" s="3"/>
      <c r="AE151" s="3"/>
      <c r="AF151" s="5"/>
      <c r="AG151" s="5"/>
      <c r="AH151" s="5"/>
      <c r="AI151" s="5"/>
      <c r="AJ151" s="6"/>
      <c r="AK151" s="6"/>
      <c r="AL151" s="12"/>
      <c r="AM151" s="12"/>
      <c r="AN151" s="12"/>
      <c r="AO151" s="12"/>
      <c r="AP151" s="12"/>
    </row>
    <row r="152" spans="1:42" ht="15" x14ac:dyDescent="0.25">
      <c r="A152" s="82" t="str">
        <f>TDCTRIBE!I161</f>
        <v>Alaska</v>
      </c>
      <c r="B152" s="82" t="str">
        <f>TDCTRIBE!B161</f>
        <v>AK</v>
      </c>
      <c r="C152" s="82" t="str">
        <f>TDCTRIBE!F161</f>
        <v>Nightmute</v>
      </c>
      <c r="D152" s="83">
        <f>TDCTRIBE!Y161</f>
        <v>537627.23286300001</v>
      </c>
      <c r="E152" s="83">
        <f>TDCTRIBE!Z161</f>
        <v>593892.8539060998</v>
      </c>
      <c r="F152" s="83">
        <f>TDCTRIBE!AA161</f>
        <v>670883.01826070005</v>
      </c>
      <c r="G152" s="83">
        <f>TDCTRIBE!AB161</f>
        <v>727154.03193440009</v>
      </c>
      <c r="H152" s="83">
        <f>TDCTRIBE!AC161</f>
        <v>784795.42359260004</v>
      </c>
      <c r="O152" s="9"/>
      <c r="P152" s="1"/>
      <c r="Q152" s="1"/>
      <c r="R152" s="1"/>
      <c r="S152" s="1"/>
      <c r="T152" s="1"/>
      <c r="U152" s="1"/>
      <c r="V152" s="9"/>
      <c r="W152" s="3"/>
      <c r="X152" s="4"/>
      <c r="Y152" s="1"/>
      <c r="Z152" s="1"/>
      <c r="AA152" s="1"/>
      <c r="AB152" s="1"/>
      <c r="AC152" s="1"/>
      <c r="AD152" s="3"/>
      <c r="AE152" s="3"/>
      <c r="AF152" s="5"/>
      <c r="AG152" s="5"/>
      <c r="AH152" s="5"/>
      <c r="AI152" s="5"/>
      <c r="AJ152" s="6"/>
      <c r="AK152" s="6"/>
      <c r="AL152" s="12"/>
      <c r="AM152" s="12"/>
      <c r="AN152" s="12"/>
      <c r="AO152" s="12"/>
      <c r="AP152" s="12"/>
    </row>
    <row r="153" spans="1:42" ht="15" x14ac:dyDescent="0.25">
      <c r="A153" s="82" t="str">
        <f>TDCTRIBE!I162</f>
        <v>Alaska</v>
      </c>
      <c r="B153" s="82" t="str">
        <f>TDCTRIBE!B162</f>
        <v>AK</v>
      </c>
      <c r="C153" s="82" t="str">
        <f>TDCTRIBE!F162</f>
        <v>Nikolai</v>
      </c>
      <c r="D153" s="83">
        <f>TDCTRIBE!Y162</f>
        <v>573912.50187599997</v>
      </c>
      <c r="E153" s="83">
        <f>TDCTRIBE!Z162</f>
        <v>633906.89508719998</v>
      </c>
      <c r="F153" s="83">
        <f>TDCTRIBE!AA162</f>
        <v>715983.34034640016</v>
      </c>
      <c r="G153" s="83">
        <f>TDCTRIBE!AB162</f>
        <v>775980.51116880018</v>
      </c>
      <c r="H153" s="83">
        <f>TDCTRIBE!AC162</f>
        <v>837476.24333520012</v>
      </c>
      <c r="O153" s="9"/>
      <c r="P153" s="1"/>
      <c r="Q153" s="1"/>
      <c r="R153" s="1"/>
      <c r="S153" s="1"/>
      <c r="T153" s="1"/>
      <c r="U153" s="1"/>
      <c r="V153" s="9"/>
      <c r="W153" s="3"/>
      <c r="X153" s="4"/>
      <c r="Y153" s="1"/>
      <c r="Z153" s="1"/>
      <c r="AA153" s="1"/>
      <c r="AB153" s="1"/>
      <c r="AC153" s="1"/>
      <c r="AD153" s="3"/>
      <c r="AE153" s="3"/>
      <c r="AF153" s="5"/>
      <c r="AG153" s="5"/>
      <c r="AH153" s="5"/>
      <c r="AI153" s="5"/>
      <c r="AJ153" s="6"/>
      <c r="AK153" s="6"/>
      <c r="AL153" s="12"/>
      <c r="AM153" s="12"/>
      <c r="AN153" s="12"/>
      <c r="AO153" s="12"/>
      <c r="AP153" s="12"/>
    </row>
    <row r="154" spans="1:42" ht="15" x14ac:dyDescent="0.25">
      <c r="A154" s="82" t="str">
        <f>TDCTRIBE!I163</f>
        <v>Alaska</v>
      </c>
      <c r="B154" s="82" t="str">
        <f>TDCTRIBE!B163</f>
        <v>AK</v>
      </c>
      <c r="C154" s="82" t="str">
        <f>TDCTRIBE!F163</f>
        <v>Nikolski</v>
      </c>
      <c r="D154" s="83">
        <f>TDCTRIBE!Y163</f>
        <v>537627.23286300001</v>
      </c>
      <c r="E154" s="83">
        <f>TDCTRIBE!Z163</f>
        <v>593892.8539060998</v>
      </c>
      <c r="F154" s="83">
        <f>TDCTRIBE!AA163</f>
        <v>670883.01826070005</v>
      </c>
      <c r="G154" s="83">
        <f>TDCTRIBE!AB163</f>
        <v>727154.03193440009</v>
      </c>
      <c r="H154" s="83">
        <f>TDCTRIBE!AC163</f>
        <v>784795.42359260004</v>
      </c>
      <c r="O154" s="9"/>
      <c r="P154" s="1"/>
      <c r="Q154" s="1"/>
      <c r="R154" s="1"/>
      <c r="S154" s="1"/>
      <c r="T154" s="1"/>
      <c r="U154" s="1"/>
      <c r="V154" s="9"/>
      <c r="W154" s="3"/>
      <c r="X154" s="4"/>
      <c r="Y154" s="1"/>
      <c r="Z154" s="1"/>
      <c r="AA154" s="1"/>
      <c r="AB154" s="1"/>
      <c r="AC154" s="1"/>
      <c r="AD154" s="3"/>
      <c r="AE154" s="3"/>
      <c r="AF154" s="5"/>
      <c r="AG154" s="5"/>
      <c r="AH154" s="5"/>
      <c r="AI154" s="5"/>
      <c r="AJ154" s="6"/>
      <c r="AK154" s="6"/>
      <c r="AL154" s="12"/>
      <c r="AM154" s="12"/>
      <c r="AN154" s="12"/>
      <c r="AO154" s="12"/>
      <c r="AP154" s="12"/>
    </row>
    <row r="155" spans="1:42" ht="15" x14ac:dyDescent="0.25">
      <c r="A155" s="82" t="str">
        <f>TDCTRIBE!I164</f>
        <v>Alaska</v>
      </c>
      <c r="B155" s="82" t="str">
        <f>TDCTRIBE!B164</f>
        <v>AK</v>
      </c>
      <c r="C155" s="82" t="str">
        <f>TDCTRIBE!F164</f>
        <v>Ninilchik</v>
      </c>
      <c r="D155" s="83">
        <f>TDCTRIBE!Y164</f>
        <v>465666.31849500001</v>
      </c>
      <c r="E155" s="83">
        <f>TDCTRIBE!Z164</f>
        <v>514428.62433899997</v>
      </c>
      <c r="F155" s="83">
        <f>TDCTRIBE!AA164</f>
        <v>581158.19019300013</v>
      </c>
      <c r="G155" s="83">
        <f>TDCTRIBE!AB164</f>
        <v>629926.37213100016</v>
      </c>
      <c r="H155" s="83">
        <f>TDCTRIBE!AC164</f>
        <v>679867.06659900001</v>
      </c>
      <c r="O155" s="9"/>
      <c r="P155" s="1"/>
      <c r="Q155" s="1"/>
      <c r="R155" s="1"/>
      <c r="S155" s="1"/>
      <c r="T155" s="1"/>
      <c r="U155" s="1"/>
      <c r="V155" s="9"/>
      <c r="W155" s="3"/>
      <c r="X155" s="4"/>
      <c r="Y155" s="1"/>
      <c r="Z155" s="1"/>
      <c r="AA155" s="1"/>
      <c r="AB155" s="1"/>
      <c r="AC155" s="1"/>
      <c r="AD155" s="3"/>
      <c r="AE155" s="3"/>
      <c r="AF155" s="5"/>
      <c r="AG155" s="5"/>
      <c r="AH155" s="5"/>
      <c r="AI155" s="5"/>
      <c r="AJ155" s="6"/>
      <c r="AK155" s="6"/>
      <c r="AL155" s="12"/>
      <c r="AM155" s="12"/>
      <c r="AN155" s="12"/>
      <c r="AO155" s="12"/>
      <c r="AP155" s="12"/>
    </row>
    <row r="156" spans="1:42" ht="15" x14ac:dyDescent="0.25">
      <c r="A156" s="82" t="str">
        <f>TDCTRIBE!I165</f>
        <v>Alaska</v>
      </c>
      <c r="B156" s="82" t="str">
        <f>TDCTRIBE!B165</f>
        <v>AK</v>
      </c>
      <c r="C156" s="82" t="str">
        <f>TDCTRIBE!F165</f>
        <v>Noatak</v>
      </c>
      <c r="D156" s="83">
        <f>TDCTRIBE!Y165</f>
        <v>573912.50187599997</v>
      </c>
      <c r="E156" s="83">
        <f>TDCTRIBE!Z165</f>
        <v>633906.89508719998</v>
      </c>
      <c r="F156" s="83">
        <f>TDCTRIBE!AA165</f>
        <v>715983.34034640016</v>
      </c>
      <c r="G156" s="83">
        <f>TDCTRIBE!AB165</f>
        <v>775980.51116880018</v>
      </c>
      <c r="H156" s="83">
        <f>TDCTRIBE!AC165</f>
        <v>837476.24333520012</v>
      </c>
      <c r="O156" s="9"/>
      <c r="P156" s="1"/>
      <c r="Q156" s="1"/>
      <c r="R156" s="1"/>
      <c r="S156" s="1"/>
      <c r="T156" s="1"/>
      <c r="U156" s="1"/>
      <c r="V156" s="9"/>
      <c r="W156" s="3"/>
      <c r="X156" s="4"/>
      <c r="Y156" s="1"/>
      <c r="Z156" s="1"/>
      <c r="AA156" s="1"/>
      <c r="AB156" s="1"/>
      <c r="AC156" s="1"/>
      <c r="AD156" s="3"/>
      <c r="AE156" s="3"/>
      <c r="AF156" s="5"/>
      <c r="AG156" s="5"/>
      <c r="AH156" s="5"/>
      <c r="AI156" s="5"/>
      <c r="AJ156" s="6"/>
      <c r="AK156" s="6"/>
      <c r="AL156" s="12"/>
      <c r="AM156" s="12"/>
      <c r="AN156" s="12"/>
      <c r="AO156" s="12"/>
      <c r="AP156" s="12"/>
    </row>
    <row r="157" spans="1:42" ht="15" x14ac:dyDescent="0.25">
      <c r="A157" s="82" t="str">
        <f>TDCTRIBE!I166</f>
        <v>Alaska</v>
      </c>
      <c r="B157" s="82" t="str">
        <f>TDCTRIBE!B166</f>
        <v>AK</v>
      </c>
      <c r="C157" s="82" t="str">
        <f>TDCTRIBE!F166</f>
        <v>Nome</v>
      </c>
      <c r="D157" s="83">
        <f>TDCTRIBE!Y166</f>
        <v>537627.23286300001</v>
      </c>
      <c r="E157" s="83">
        <f>TDCTRIBE!Z166</f>
        <v>593892.8539060998</v>
      </c>
      <c r="F157" s="83">
        <f>TDCTRIBE!AA166</f>
        <v>670883.01826070005</v>
      </c>
      <c r="G157" s="83">
        <f>TDCTRIBE!AB166</f>
        <v>727154.03193440009</v>
      </c>
      <c r="H157" s="83">
        <f>TDCTRIBE!AC166</f>
        <v>784795.42359260004</v>
      </c>
      <c r="O157" s="9"/>
      <c r="P157" s="1"/>
      <c r="Q157" s="1"/>
      <c r="R157" s="1"/>
      <c r="S157" s="1"/>
      <c r="T157" s="1"/>
      <c r="U157" s="1"/>
      <c r="V157" s="9"/>
      <c r="W157" s="3"/>
      <c r="X157" s="4"/>
      <c r="Y157" s="1"/>
      <c r="Z157" s="1"/>
      <c r="AA157" s="1"/>
      <c r="AB157" s="1"/>
      <c r="AC157" s="1"/>
      <c r="AD157" s="3"/>
      <c r="AE157" s="3"/>
      <c r="AF157" s="5"/>
      <c r="AG157" s="5"/>
      <c r="AH157" s="5"/>
      <c r="AI157" s="5"/>
      <c r="AJ157" s="6"/>
      <c r="AK157" s="6"/>
      <c r="AL157" s="12"/>
      <c r="AM157" s="12"/>
      <c r="AN157" s="12"/>
      <c r="AO157" s="12"/>
      <c r="AP157" s="12"/>
    </row>
    <row r="158" spans="1:42" ht="15" x14ac:dyDescent="0.25">
      <c r="A158" s="82" t="str">
        <f>TDCTRIBE!I167</f>
        <v>Alaska</v>
      </c>
      <c r="B158" s="82" t="str">
        <f>TDCTRIBE!B167</f>
        <v>AK</v>
      </c>
      <c r="C158" s="82" t="str">
        <f>TDCTRIBE!F167</f>
        <v>Nondalton</v>
      </c>
      <c r="D158" s="83">
        <f>TDCTRIBE!Y167</f>
        <v>537627.23286300001</v>
      </c>
      <c r="E158" s="83">
        <f>TDCTRIBE!Z167</f>
        <v>593892.8539060998</v>
      </c>
      <c r="F158" s="83">
        <f>TDCTRIBE!AA167</f>
        <v>670883.01826070005</v>
      </c>
      <c r="G158" s="83">
        <f>TDCTRIBE!AB167</f>
        <v>727154.03193440009</v>
      </c>
      <c r="H158" s="83">
        <f>TDCTRIBE!AC167</f>
        <v>784795.42359260004</v>
      </c>
      <c r="O158" s="9"/>
      <c r="P158" s="1"/>
      <c r="Q158" s="1"/>
      <c r="R158" s="1"/>
      <c r="S158" s="1"/>
      <c r="T158" s="1"/>
      <c r="U158" s="1"/>
      <c r="V158" s="9"/>
      <c r="W158" s="3"/>
      <c r="X158" s="4"/>
      <c r="Y158" s="1"/>
      <c r="Z158" s="1"/>
      <c r="AA158" s="1"/>
      <c r="AB158" s="1"/>
      <c r="AC158" s="1"/>
      <c r="AD158" s="3"/>
      <c r="AE158" s="3"/>
      <c r="AF158" s="5"/>
      <c r="AG158" s="5"/>
      <c r="AH158" s="5"/>
      <c r="AI158" s="5"/>
      <c r="AJ158" s="6"/>
      <c r="AK158" s="6"/>
      <c r="AL158" s="12"/>
      <c r="AM158" s="12"/>
      <c r="AN158" s="12"/>
      <c r="AO158" s="12"/>
      <c r="AP158" s="12"/>
    </row>
    <row r="159" spans="1:42" ht="15" x14ac:dyDescent="0.25">
      <c r="A159" s="82" t="str">
        <f>TDCTRIBE!I168</f>
        <v>Alaska</v>
      </c>
      <c r="B159" s="82" t="str">
        <f>TDCTRIBE!B168</f>
        <v>AK</v>
      </c>
      <c r="C159" s="82" t="str">
        <f>TDCTRIBE!F168</f>
        <v>Noorvik</v>
      </c>
      <c r="D159" s="83">
        <f>TDCTRIBE!Y168</f>
        <v>537627.23286300001</v>
      </c>
      <c r="E159" s="83">
        <f>TDCTRIBE!Z168</f>
        <v>593892.8539060998</v>
      </c>
      <c r="F159" s="83">
        <f>TDCTRIBE!AA168</f>
        <v>670883.01826070005</v>
      </c>
      <c r="G159" s="83">
        <f>TDCTRIBE!AB168</f>
        <v>727154.03193440009</v>
      </c>
      <c r="H159" s="83">
        <f>TDCTRIBE!AC168</f>
        <v>784795.42359260004</v>
      </c>
      <c r="O159" s="9"/>
      <c r="P159" s="1"/>
      <c r="Q159" s="1"/>
      <c r="R159" s="1"/>
      <c r="S159" s="1"/>
      <c r="T159" s="1"/>
      <c r="U159" s="1"/>
      <c r="V159" s="9"/>
      <c r="W159" s="3"/>
      <c r="X159" s="4"/>
      <c r="Y159" s="1"/>
      <c r="Z159" s="1"/>
      <c r="AA159" s="1"/>
      <c r="AB159" s="1"/>
      <c r="AC159" s="1"/>
      <c r="AD159" s="3"/>
      <c r="AE159" s="3"/>
      <c r="AF159" s="5"/>
      <c r="AG159" s="5"/>
      <c r="AH159" s="5"/>
      <c r="AI159" s="5"/>
      <c r="AJ159" s="6"/>
      <c r="AK159" s="6"/>
      <c r="AL159" s="12"/>
      <c r="AM159" s="12"/>
      <c r="AN159" s="12"/>
      <c r="AO159" s="12"/>
      <c r="AP159" s="12"/>
    </row>
    <row r="160" spans="1:42" ht="15" x14ac:dyDescent="0.25">
      <c r="A160" s="82" t="str">
        <f>TDCTRIBE!I169</f>
        <v>Alaska</v>
      </c>
      <c r="B160" s="82" t="str">
        <f>TDCTRIBE!B169</f>
        <v>AK</v>
      </c>
      <c r="C160" s="82" t="str">
        <f>TDCTRIBE!F169</f>
        <v>Northway</v>
      </c>
      <c r="D160" s="83">
        <f>TDCTRIBE!Y169</f>
        <v>537627.23286300001</v>
      </c>
      <c r="E160" s="83">
        <f>TDCTRIBE!Z169</f>
        <v>593892.8539060998</v>
      </c>
      <c r="F160" s="83">
        <f>TDCTRIBE!AA169</f>
        <v>670883.01826070005</v>
      </c>
      <c r="G160" s="83">
        <f>TDCTRIBE!AB169</f>
        <v>727154.03193440009</v>
      </c>
      <c r="H160" s="83">
        <f>TDCTRIBE!AC169</f>
        <v>784795.42359260004</v>
      </c>
      <c r="O160" s="9"/>
      <c r="P160" s="1"/>
      <c r="Q160" s="1"/>
      <c r="R160" s="1"/>
      <c r="S160" s="1"/>
      <c r="T160" s="1"/>
      <c r="U160" s="1"/>
      <c r="V160" s="9"/>
      <c r="W160" s="3"/>
      <c r="X160" s="4"/>
      <c r="Y160" s="1"/>
      <c r="Z160" s="1"/>
      <c r="AA160" s="1"/>
      <c r="AB160" s="1"/>
      <c r="AC160" s="1"/>
      <c r="AD160" s="3"/>
      <c r="AE160" s="3"/>
      <c r="AF160" s="5"/>
      <c r="AG160" s="5"/>
      <c r="AH160" s="5"/>
      <c r="AI160" s="5"/>
      <c r="AJ160" s="6"/>
      <c r="AK160" s="6"/>
      <c r="AL160" s="12"/>
      <c r="AM160" s="12"/>
      <c r="AN160" s="12"/>
      <c r="AO160" s="12"/>
      <c r="AP160" s="12"/>
    </row>
    <row r="161" spans="1:42" ht="15" x14ac:dyDescent="0.25">
      <c r="A161" s="82" t="str">
        <f>TDCTRIBE!I170</f>
        <v>Alaska</v>
      </c>
      <c r="B161" s="82" t="str">
        <f>TDCTRIBE!B170</f>
        <v>AK</v>
      </c>
      <c r="C161" s="82" t="str">
        <f>TDCTRIBE!F170</f>
        <v>Nuiqsut</v>
      </c>
      <c r="D161" s="83">
        <f>TDCTRIBE!Y170</f>
        <v>573912.50187599997</v>
      </c>
      <c r="E161" s="83">
        <f>TDCTRIBE!Z170</f>
        <v>633906.89508719998</v>
      </c>
      <c r="F161" s="83">
        <f>TDCTRIBE!AA170</f>
        <v>715983.34034640016</v>
      </c>
      <c r="G161" s="83">
        <f>TDCTRIBE!AB170</f>
        <v>775980.51116880018</v>
      </c>
      <c r="H161" s="83">
        <f>TDCTRIBE!AC170</f>
        <v>837476.24333520012</v>
      </c>
      <c r="O161" s="9"/>
      <c r="P161" s="1"/>
      <c r="Q161" s="1"/>
      <c r="R161" s="1"/>
      <c r="S161" s="1"/>
      <c r="T161" s="1"/>
      <c r="U161" s="1"/>
      <c r="V161" s="9"/>
      <c r="W161" s="3"/>
      <c r="X161" s="4"/>
      <c r="Y161" s="1"/>
      <c r="Z161" s="1"/>
      <c r="AA161" s="1"/>
      <c r="AB161" s="1"/>
      <c r="AC161" s="1"/>
      <c r="AD161" s="3"/>
      <c r="AE161" s="3"/>
      <c r="AF161" s="5"/>
      <c r="AG161" s="5"/>
      <c r="AH161" s="5"/>
      <c r="AI161" s="5"/>
      <c r="AJ161" s="6"/>
      <c r="AK161" s="6"/>
      <c r="AL161" s="12"/>
      <c r="AM161" s="12"/>
      <c r="AN161" s="12"/>
      <c r="AO161" s="12"/>
      <c r="AP161" s="12"/>
    </row>
    <row r="162" spans="1:42" ht="15" x14ac:dyDescent="0.25">
      <c r="A162" s="82" t="str">
        <f>TDCTRIBE!I171</f>
        <v>Alaska</v>
      </c>
      <c r="B162" s="82" t="str">
        <f>TDCTRIBE!B171</f>
        <v>AK</v>
      </c>
      <c r="C162" s="82" t="str">
        <f>TDCTRIBE!F171</f>
        <v>Nulato</v>
      </c>
      <c r="D162" s="83">
        <f>TDCTRIBE!Y171</f>
        <v>537627.23286300001</v>
      </c>
      <c r="E162" s="83">
        <f>TDCTRIBE!Z171</f>
        <v>593892.8539060998</v>
      </c>
      <c r="F162" s="83">
        <f>TDCTRIBE!AA171</f>
        <v>670883.01826070005</v>
      </c>
      <c r="G162" s="83">
        <f>TDCTRIBE!AB171</f>
        <v>727154.03193440009</v>
      </c>
      <c r="H162" s="83">
        <f>TDCTRIBE!AC171</f>
        <v>784795.42359260004</v>
      </c>
      <c r="O162" s="9"/>
      <c r="P162" s="1"/>
      <c r="Q162" s="1"/>
      <c r="R162" s="1"/>
      <c r="S162" s="1"/>
      <c r="T162" s="1"/>
      <c r="U162" s="1"/>
      <c r="V162" s="9"/>
      <c r="W162" s="3"/>
      <c r="X162" s="4"/>
      <c r="Y162" s="1"/>
      <c r="Z162" s="1"/>
      <c r="AA162" s="1"/>
      <c r="AB162" s="1"/>
      <c r="AC162" s="1"/>
      <c r="AD162" s="3"/>
      <c r="AE162" s="3"/>
      <c r="AF162" s="5"/>
      <c r="AG162" s="5"/>
      <c r="AH162" s="5"/>
      <c r="AI162" s="5"/>
      <c r="AJ162" s="6"/>
      <c r="AK162" s="6"/>
      <c r="AL162" s="12"/>
      <c r="AM162" s="12"/>
      <c r="AN162" s="12"/>
      <c r="AO162" s="12"/>
      <c r="AP162" s="12"/>
    </row>
    <row r="163" spans="1:42" ht="15" x14ac:dyDescent="0.25">
      <c r="A163" s="82" t="str">
        <f>TDCTRIBE!I172</f>
        <v>Alaska</v>
      </c>
      <c r="B163" s="82" t="str">
        <f>TDCTRIBE!B172</f>
        <v>AK</v>
      </c>
      <c r="C163" s="82" t="str">
        <f>TDCTRIBE!F172</f>
        <v>Nunapitchuk</v>
      </c>
      <c r="D163" s="83">
        <f>TDCTRIBE!Y172</f>
        <v>537627.23286300001</v>
      </c>
      <c r="E163" s="83">
        <f>TDCTRIBE!Z172</f>
        <v>593892.8539060998</v>
      </c>
      <c r="F163" s="83">
        <f>TDCTRIBE!AA172</f>
        <v>670883.01826070005</v>
      </c>
      <c r="G163" s="83">
        <f>TDCTRIBE!AB172</f>
        <v>727154.03193440009</v>
      </c>
      <c r="H163" s="83">
        <f>TDCTRIBE!AC172</f>
        <v>784795.42359260004</v>
      </c>
      <c r="O163" s="9"/>
      <c r="P163" s="1"/>
      <c r="Q163" s="1"/>
      <c r="R163" s="1"/>
      <c r="S163" s="1"/>
      <c r="T163" s="1"/>
      <c r="U163" s="1"/>
      <c r="V163" s="9"/>
      <c r="W163" s="3"/>
      <c r="X163" s="4"/>
      <c r="Y163" s="1"/>
      <c r="Z163" s="1"/>
      <c r="AA163" s="1"/>
      <c r="AB163" s="1"/>
      <c r="AC163" s="1"/>
      <c r="AD163" s="3"/>
      <c r="AE163" s="3"/>
      <c r="AF163" s="5"/>
      <c r="AG163" s="5"/>
      <c r="AH163" s="5"/>
      <c r="AI163" s="5"/>
      <c r="AJ163" s="6"/>
      <c r="AK163" s="6"/>
      <c r="AL163" s="12"/>
      <c r="AM163" s="12"/>
      <c r="AN163" s="12"/>
      <c r="AO163" s="12"/>
      <c r="AP163" s="12"/>
    </row>
    <row r="164" spans="1:42" ht="15" x14ac:dyDescent="0.25">
      <c r="A164" s="82" t="str">
        <f>TDCTRIBE!I173</f>
        <v>Alaska</v>
      </c>
      <c r="B164" s="82" t="str">
        <f>TDCTRIBE!B173</f>
        <v>AK</v>
      </c>
      <c r="C164" s="82" t="str">
        <f>TDCTRIBE!F173</f>
        <v>Ohogamiut</v>
      </c>
      <c r="D164" s="83">
        <f>TDCTRIBE!Y173</f>
        <v>537627.23286300001</v>
      </c>
      <c r="E164" s="83">
        <f>TDCTRIBE!Z173</f>
        <v>593892.8539060998</v>
      </c>
      <c r="F164" s="83">
        <f>TDCTRIBE!AA173</f>
        <v>670883.01826070005</v>
      </c>
      <c r="G164" s="83">
        <f>TDCTRIBE!AB173</f>
        <v>727154.03193440009</v>
      </c>
      <c r="H164" s="83">
        <f>TDCTRIBE!AC173</f>
        <v>784795.42359260004</v>
      </c>
      <c r="O164" s="9"/>
      <c r="P164" s="1"/>
      <c r="Q164" s="1"/>
      <c r="R164" s="1"/>
      <c r="S164" s="1"/>
      <c r="T164" s="1"/>
      <c r="U164" s="1"/>
      <c r="V164" s="9"/>
      <c r="W164" s="3"/>
      <c r="X164" s="4"/>
      <c r="Y164" s="1"/>
      <c r="Z164" s="1"/>
      <c r="AA164" s="1"/>
      <c r="AB164" s="1"/>
      <c r="AC164" s="1"/>
      <c r="AD164" s="3"/>
      <c r="AE164" s="3"/>
      <c r="AF164" s="5"/>
      <c r="AG164" s="5"/>
      <c r="AH164" s="5"/>
      <c r="AI164" s="5"/>
      <c r="AJ164" s="6"/>
      <c r="AK164" s="6"/>
      <c r="AL164" s="12"/>
      <c r="AM164" s="12"/>
      <c r="AN164" s="12"/>
      <c r="AO164" s="12"/>
      <c r="AP164" s="12"/>
    </row>
    <row r="165" spans="1:42" ht="15" x14ac:dyDescent="0.25">
      <c r="A165" s="82" t="str">
        <f>TDCTRIBE!I174</f>
        <v>Alaska</v>
      </c>
      <c r="B165" s="82" t="str">
        <f>TDCTRIBE!B174</f>
        <v>AK</v>
      </c>
      <c r="C165" s="82" t="str">
        <f>TDCTRIBE!F174</f>
        <v>Old Harbor</v>
      </c>
      <c r="D165" s="83">
        <f>TDCTRIBE!Y174</f>
        <v>537627.23286300001</v>
      </c>
      <c r="E165" s="83">
        <f>TDCTRIBE!Z174</f>
        <v>593892.8539060998</v>
      </c>
      <c r="F165" s="83">
        <f>TDCTRIBE!AA174</f>
        <v>670883.01826070005</v>
      </c>
      <c r="G165" s="83">
        <f>TDCTRIBE!AB174</f>
        <v>727154.03193440009</v>
      </c>
      <c r="H165" s="83">
        <f>TDCTRIBE!AC174</f>
        <v>784795.42359260004</v>
      </c>
      <c r="O165" s="9"/>
      <c r="P165" s="1"/>
      <c r="Q165" s="1"/>
      <c r="R165" s="1"/>
      <c r="S165" s="1"/>
      <c r="T165" s="1"/>
      <c r="U165" s="1"/>
      <c r="V165" s="9"/>
      <c r="W165" s="3"/>
      <c r="X165" s="4"/>
      <c r="Y165" s="1"/>
      <c r="Z165" s="1"/>
      <c r="AA165" s="1"/>
      <c r="AB165" s="1"/>
      <c r="AC165" s="1"/>
      <c r="AD165" s="3"/>
      <c r="AE165" s="3"/>
      <c r="AF165" s="5"/>
      <c r="AG165" s="5"/>
      <c r="AH165" s="5"/>
      <c r="AI165" s="5"/>
      <c r="AJ165" s="6"/>
      <c r="AK165" s="6"/>
      <c r="AL165" s="12"/>
      <c r="AM165" s="12"/>
      <c r="AN165" s="12"/>
      <c r="AO165" s="12"/>
      <c r="AP165" s="12"/>
    </row>
    <row r="166" spans="1:42" ht="15" x14ac:dyDescent="0.25">
      <c r="A166" s="82" t="str">
        <f>TDCTRIBE!I175</f>
        <v>Alaska</v>
      </c>
      <c r="B166" s="82" t="str">
        <f>TDCTRIBE!B175</f>
        <v>AK</v>
      </c>
      <c r="C166" s="82" t="str">
        <f>TDCTRIBE!F175</f>
        <v>Orutsararmuit (Bethel)</v>
      </c>
      <c r="D166" s="83">
        <f>TDCTRIBE!Y175</f>
        <v>537627.23286300001</v>
      </c>
      <c r="E166" s="83">
        <f>TDCTRIBE!Z175</f>
        <v>593892.8539060998</v>
      </c>
      <c r="F166" s="83">
        <f>TDCTRIBE!AA175</f>
        <v>670883.01826070005</v>
      </c>
      <c r="G166" s="83">
        <f>TDCTRIBE!AB175</f>
        <v>727154.03193440009</v>
      </c>
      <c r="H166" s="83">
        <f>TDCTRIBE!AC175</f>
        <v>784795.42359260004</v>
      </c>
      <c r="O166" s="9"/>
      <c r="P166" s="1"/>
      <c r="Q166" s="1"/>
      <c r="R166" s="1"/>
      <c r="S166" s="1"/>
      <c r="T166" s="1"/>
      <c r="U166" s="1"/>
      <c r="V166" s="9"/>
      <c r="W166" s="3"/>
      <c r="X166" s="4"/>
      <c r="Y166" s="1"/>
      <c r="Z166" s="1"/>
      <c r="AA166" s="1"/>
      <c r="AB166" s="1"/>
      <c r="AC166" s="1"/>
      <c r="AD166" s="3"/>
      <c r="AE166" s="3"/>
      <c r="AF166" s="5"/>
      <c r="AG166" s="5"/>
      <c r="AH166" s="5"/>
      <c r="AI166" s="5"/>
      <c r="AJ166" s="6"/>
      <c r="AK166" s="6"/>
      <c r="AL166" s="12"/>
      <c r="AM166" s="12"/>
      <c r="AN166" s="12"/>
      <c r="AO166" s="12"/>
      <c r="AP166" s="12"/>
    </row>
    <row r="167" spans="1:42" ht="15" x14ac:dyDescent="0.25">
      <c r="A167" s="82" t="str">
        <f>TDCTRIBE!I176</f>
        <v>Alaska</v>
      </c>
      <c r="B167" s="82" t="str">
        <f>TDCTRIBE!B176</f>
        <v>AK</v>
      </c>
      <c r="C167" s="82" t="str">
        <f>TDCTRIBE!F176</f>
        <v>Oscarville</v>
      </c>
      <c r="D167" s="83">
        <f>TDCTRIBE!Y176</f>
        <v>537627.23286300001</v>
      </c>
      <c r="E167" s="83">
        <f>TDCTRIBE!Z176</f>
        <v>593892.8539060998</v>
      </c>
      <c r="F167" s="83">
        <f>TDCTRIBE!AA176</f>
        <v>670883.01826070005</v>
      </c>
      <c r="G167" s="83">
        <f>TDCTRIBE!AB176</f>
        <v>727154.03193440009</v>
      </c>
      <c r="H167" s="83">
        <f>TDCTRIBE!AC176</f>
        <v>784795.42359260004</v>
      </c>
      <c r="O167" s="9"/>
      <c r="P167" s="1"/>
      <c r="Q167" s="1"/>
      <c r="R167" s="1"/>
      <c r="S167" s="1"/>
      <c r="T167" s="1"/>
      <c r="U167" s="1"/>
      <c r="V167" s="9"/>
      <c r="W167" s="3"/>
      <c r="X167" s="4"/>
      <c r="Y167" s="1"/>
      <c r="Z167" s="1"/>
      <c r="AA167" s="1"/>
      <c r="AB167" s="1"/>
      <c r="AC167" s="1"/>
      <c r="AD167" s="3"/>
      <c r="AE167" s="3"/>
      <c r="AF167" s="5"/>
      <c r="AG167" s="5"/>
      <c r="AH167" s="5"/>
      <c r="AI167" s="5"/>
      <c r="AJ167" s="6"/>
      <c r="AK167" s="6"/>
      <c r="AL167" s="12"/>
      <c r="AM167" s="12"/>
      <c r="AN167" s="12"/>
      <c r="AO167" s="12"/>
      <c r="AP167" s="12"/>
    </row>
    <row r="168" spans="1:42" ht="15" x14ac:dyDescent="0.25">
      <c r="A168" s="82" t="str">
        <f>TDCTRIBE!I177</f>
        <v>Alaska</v>
      </c>
      <c r="B168" s="82" t="str">
        <f>TDCTRIBE!B177</f>
        <v>AK</v>
      </c>
      <c r="C168" s="82" t="str">
        <f>TDCTRIBE!F177</f>
        <v>Ouzinkie</v>
      </c>
      <c r="D168" s="83">
        <f>TDCTRIBE!Y177</f>
        <v>537627.23286300001</v>
      </c>
      <c r="E168" s="83">
        <f>TDCTRIBE!Z177</f>
        <v>593892.8539060998</v>
      </c>
      <c r="F168" s="83">
        <f>TDCTRIBE!AA177</f>
        <v>670883.01826070005</v>
      </c>
      <c r="G168" s="83">
        <f>TDCTRIBE!AB177</f>
        <v>727154.03193440009</v>
      </c>
      <c r="H168" s="83">
        <f>TDCTRIBE!AC177</f>
        <v>784795.42359260004</v>
      </c>
      <c r="O168" s="9"/>
      <c r="P168" s="1"/>
      <c r="Q168" s="1"/>
      <c r="R168" s="1"/>
      <c r="S168" s="1"/>
      <c r="T168" s="1"/>
      <c r="U168" s="1"/>
      <c r="V168" s="9"/>
      <c r="W168" s="3"/>
      <c r="X168" s="4"/>
      <c r="Y168" s="1"/>
      <c r="Z168" s="1"/>
      <c r="AA168" s="1"/>
      <c r="AB168" s="1"/>
      <c r="AC168" s="1"/>
      <c r="AD168" s="3"/>
      <c r="AE168" s="3"/>
      <c r="AF168" s="5"/>
      <c r="AG168" s="5"/>
      <c r="AH168" s="5"/>
      <c r="AI168" s="5"/>
      <c r="AJ168" s="6"/>
      <c r="AK168" s="6"/>
      <c r="AL168" s="12"/>
      <c r="AM168" s="12"/>
      <c r="AN168" s="12"/>
      <c r="AO168" s="12"/>
      <c r="AP168" s="12"/>
    </row>
    <row r="169" spans="1:42" ht="15" x14ac:dyDescent="0.25">
      <c r="A169" s="82" t="str">
        <f>TDCTRIBE!I178</f>
        <v>Alaska</v>
      </c>
      <c r="B169" s="82" t="str">
        <f>TDCTRIBE!B178</f>
        <v>AK</v>
      </c>
      <c r="C169" s="82" t="str">
        <f>TDCTRIBE!F178</f>
        <v>Paimiut</v>
      </c>
      <c r="D169" s="83">
        <f>TDCTRIBE!Y178</f>
        <v>537627.23286300001</v>
      </c>
      <c r="E169" s="83">
        <f>TDCTRIBE!Z178</f>
        <v>593892.8539060998</v>
      </c>
      <c r="F169" s="83">
        <f>TDCTRIBE!AA178</f>
        <v>670883.01826070005</v>
      </c>
      <c r="G169" s="83">
        <f>TDCTRIBE!AB178</f>
        <v>727154.03193440009</v>
      </c>
      <c r="H169" s="83">
        <f>TDCTRIBE!AC178</f>
        <v>784795.42359260004</v>
      </c>
      <c r="O169" s="9"/>
      <c r="P169" s="1"/>
      <c r="Q169" s="1"/>
      <c r="R169" s="1"/>
      <c r="S169" s="1"/>
      <c r="T169" s="1"/>
      <c r="U169" s="1"/>
      <c r="V169" s="9"/>
      <c r="W169" s="3"/>
      <c r="X169" s="4"/>
      <c r="Y169" s="1"/>
      <c r="Z169" s="1"/>
      <c r="AA169" s="1"/>
      <c r="AB169" s="1"/>
      <c r="AC169" s="1"/>
      <c r="AD169" s="3"/>
      <c r="AE169" s="3"/>
      <c r="AF169" s="5"/>
      <c r="AG169" s="5"/>
      <c r="AH169" s="5"/>
      <c r="AI169" s="5"/>
      <c r="AJ169" s="6"/>
      <c r="AK169" s="6"/>
      <c r="AL169" s="12"/>
      <c r="AM169" s="12"/>
      <c r="AN169" s="12"/>
      <c r="AO169" s="12"/>
      <c r="AP169" s="12"/>
    </row>
    <row r="170" spans="1:42" ht="15" x14ac:dyDescent="0.25">
      <c r="A170" s="82" t="str">
        <f>TDCTRIBE!I179</f>
        <v>Alaska</v>
      </c>
      <c r="B170" s="82" t="str">
        <f>TDCTRIBE!B179</f>
        <v>AK</v>
      </c>
      <c r="C170" s="82" t="str">
        <f>TDCTRIBE!F179</f>
        <v>Pauloff Village</v>
      </c>
      <c r="D170" s="83">
        <f>TDCTRIBE!Y179</f>
        <v>537627.23286300001</v>
      </c>
      <c r="E170" s="83">
        <f>TDCTRIBE!Z179</f>
        <v>593892.8539060998</v>
      </c>
      <c r="F170" s="83">
        <f>TDCTRIBE!AA179</f>
        <v>670883.01826070005</v>
      </c>
      <c r="G170" s="83">
        <f>TDCTRIBE!AB179</f>
        <v>727154.03193440009</v>
      </c>
      <c r="H170" s="83">
        <f>TDCTRIBE!AC179</f>
        <v>784795.42359260004</v>
      </c>
      <c r="O170" s="9"/>
      <c r="P170" s="1"/>
      <c r="Q170" s="1"/>
      <c r="R170" s="1"/>
      <c r="S170" s="1"/>
      <c r="T170" s="1"/>
      <c r="U170" s="1"/>
      <c r="V170" s="9"/>
      <c r="W170" s="3"/>
      <c r="X170" s="4"/>
      <c r="Y170" s="1"/>
      <c r="Z170" s="1"/>
      <c r="AA170" s="1"/>
      <c r="AB170" s="1"/>
      <c r="AC170" s="1"/>
      <c r="AD170" s="3"/>
      <c r="AE170" s="3"/>
      <c r="AF170" s="5"/>
      <c r="AG170" s="5"/>
      <c r="AH170" s="5"/>
      <c r="AI170" s="5"/>
      <c r="AJ170" s="6"/>
      <c r="AK170" s="6"/>
      <c r="AL170" s="12"/>
      <c r="AM170" s="12"/>
      <c r="AN170" s="12"/>
      <c r="AO170" s="12"/>
      <c r="AP170" s="12"/>
    </row>
    <row r="171" spans="1:42" ht="15" x14ac:dyDescent="0.25">
      <c r="A171" s="82" t="str">
        <f>TDCTRIBE!I180</f>
        <v>Alaska</v>
      </c>
      <c r="B171" s="82" t="str">
        <f>TDCTRIBE!B180</f>
        <v>AK</v>
      </c>
      <c r="C171" s="82" t="str">
        <f>TDCTRIBE!F180</f>
        <v>Pedro Bay</v>
      </c>
      <c r="D171" s="83">
        <f>TDCTRIBE!Y180</f>
        <v>537627.23286300001</v>
      </c>
      <c r="E171" s="83">
        <f>TDCTRIBE!Z180</f>
        <v>593892.8539060998</v>
      </c>
      <c r="F171" s="83">
        <f>TDCTRIBE!AA180</f>
        <v>670883.01826070005</v>
      </c>
      <c r="G171" s="83">
        <f>TDCTRIBE!AB180</f>
        <v>727154.03193440009</v>
      </c>
      <c r="H171" s="83">
        <f>TDCTRIBE!AC180</f>
        <v>784795.42359260004</v>
      </c>
      <c r="O171" s="9"/>
      <c r="P171" s="1"/>
      <c r="Q171" s="1"/>
      <c r="R171" s="1"/>
      <c r="S171" s="1"/>
      <c r="T171" s="1"/>
      <c r="U171" s="1"/>
      <c r="V171" s="9"/>
      <c r="W171" s="3"/>
      <c r="X171" s="4"/>
      <c r="Y171" s="1"/>
      <c r="Z171" s="1"/>
      <c r="AA171" s="1"/>
      <c r="AB171" s="1"/>
      <c r="AC171" s="1"/>
      <c r="AD171" s="3"/>
      <c r="AE171" s="3"/>
      <c r="AF171" s="5"/>
      <c r="AG171" s="5"/>
      <c r="AH171" s="5"/>
      <c r="AI171" s="5"/>
      <c r="AJ171" s="6"/>
      <c r="AK171" s="6"/>
      <c r="AL171" s="12"/>
      <c r="AM171" s="12"/>
      <c r="AN171" s="12"/>
      <c r="AO171" s="12"/>
      <c r="AP171" s="12"/>
    </row>
    <row r="172" spans="1:42" ht="15" x14ac:dyDescent="0.25">
      <c r="A172" s="82" t="str">
        <f>TDCTRIBE!I181</f>
        <v>Alaska</v>
      </c>
      <c r="B172" s="82" t="str">
        <f>TDCTRIBE!B181</f>
        <v>AK</v>
      </c>
      <c r="C172" s="82" t="str">
        <f>TDCTRIBE!F181</f>
        <v>Perryville</v>
      </c>
      <c r="D172" s="83">
        <f>TDCTRIBE!Y181</f>
        <v>537627.23286300001</v>
      </c>
      <c r="E172" s="83">
        <f>TDCTRIBE!Z181</f>
        <v>593892.8539060998</v>
      </c>
      <c r="F172" s="83">
        <f>TDCTRIBE!AA181</f>
        <v>670883.01826070005</v>
      </c>
      <c r="G172" s="83">
        <f>TDCTRIBE!AB181</f>
        <v>727154.03193440009</v>
      </c>
      <c r="H172" s="83">
        <f>TDCTRIBE!AC181</f>
        <v>784795.42359260004</v>
      </c>
      <c r="O172" s="9"/>
      <c r="P172" s="1"/>
      <c r="Q172" s="1"/>
      <c r="R172" s="1"/>
      <c r="S172" s="1"/>
      <c r="T172" s="1"/>
      <c r="U172" s="1"/>
      <c r="V172" s="9"/>
      <c r="W172" s="3"/>
      <c r="X172" s="4"/>
      <c r="Y172" s="1"/>
      <c r="Z172" s="1"/>
      <c r="AA172" s="1"/>
      <c r="AB172" s="1"/>
      <c r="AC172" s="1"/>
      <c r="AD172" s="3"/>
      <c r="AE172" s="3"/>
      <c r="AF172" s="5"/>
      <c r="AG172" s="5"/>
      <c r="AH172" s="5"/>
      <c r="AI172" s="5"/>
      <c r="AJ172" s="6"/>
      <c r="AK172" s="6"/>
      <c r="AL172" s="12"/>
      <c r="AM172" s="12"/>
      <c r="AN172" s="12"/>
      <c r="AO172" s="12"/>
      <c r="AP172" s="12"/>
    </row>
    <row r="173" spans="1:42" ht="15" x14ac:dyDescent="0.25">
      <c r="A173" s="82" t="str">
        <f>TDCTRIBE!I182</f>
        <v>Alaska</v>
      </c>
      <c r="B173" s="82" t="str">
        <f>TDCTRIBE!B182</f>
        <v>AK</v>
      </c>
      <c r="C173" s="82" t="str">
        <f>TDCTRIBE!F182</f>
        <v>Petersburg</v>
      </c>
      <c r="D173" s="83">
        <f>TDCTRIBE!Y182</f>
        <v>465666.31849500001</v>
      </c>
      <c r="E173" s="83">
        <f>TDCTRIBE!Z182</f>
        <v>514428.62433899997</v>
      </c>
      <c r="F173" s="83">
        <f>TDCTRIBE!AA182</f>
        <v>581158.19019300013</v>
      </c>
      <c r="G173" s="83">
        <f>TDCTRIBE!AB182</f>
        <v>629926.37213100016</v>
      </c>
      <c r="H173" s="83">
        <f>TDCTRIBE!AC182</f>
        <v>679867.06659900001</v>
      </c>
      <c r="O173" s="9"/>
      <c r="P173" s="1"/>
      <c r="Q173" s="1"/>
      <c r="R173" s="1"/>
      <c r="S173" s="1"/>
      <c r="T173" s="1"/>
      <c r="U173" s="1"/>
      <c r="V173" s="9"/>
      <c r="W173" s="3"/>
      <c r="X173" s="4"/>
      <c r="Y173" s="1"/>
      <c r="Z173" s="1"/>
      <c r="AA173" s="1"/>
      <c r="AB173" s="1"/>
      <c r="AC173" s="1"/>
      <c r="AD173" s="3"/>
      <c r="AE173" s="3"/>
      <c r="AF173" s="5"/>
      <c r="AG173" s="5"/>
      <c r="AH173" s="5"/>
      <c r="AI173" s="5"/>
      <c r="AJ173" s="6"/>
      <c r="AK173" s="6"/>
      <c r="AL173" s="12"/>
      <c r="AM173" s="12"/>
      <c r="AN173" s="12"/>
      <c r="AO173" s="12"/>
      <c r="AP173" s="12"/>
    </row>
    <row r="174" spans="1:42" ht="15" x14ac:dyDescent="0.25">
      <c r="A174" s="82" t="str">
        <f>TDCTRIBE!I183</f>
        <v>Alaska</v>
      </c>
      <c r="B174" s="82" t="str">
        <f>TDCTRIBE!B183</f>
        <v>AK</v>
      </c>
      <c r="C174" s="82" t="str">
        <f>TDCTRIBE!F183</f>
        <v>Pilot Point</v>
      </c>
      <c r="D174" s="83">
        <f>TDCTRIBE!Y183</f>
        <v>537627.23286300001</v>
      </c>
      <c r="E174" s="83">
        <f>TDCTRIBE!Z183</f>
        <v>593892.8539060998</v>
      </c>
      <c r="F174" s="83">
        <f>TDCTRIBE!AA183</f>
        <v>670883.01826070005</v>
      </c>
      <c r="G174" s="83">
        <f>TDCTRIBE!AB183</f>
        <v>727154.03193440009</v>
      </c>
      <c r="H174" s="83">
        <f>TDCTRIBE!AC183</f>
        <v>784795.42359260004</v>
      </c>
      <c r="O174" s="9"/>
      <c r="P174" s="1"/>
      <c r="Q174" s="1"/>
      <c r="R174" s="1"/>
      <c r="S174" s="1"/>
      <c r="T174" s="1"/>
      <c r="U174" s="1"/>
      <c r="V174" s="9"/>
      <c r="W174" s="3"/>
      <c r="X174" s="4"/>
      <c r="Y174" s="1"/>
      <c r="Z174" s="1"/>
      <c r="AA174" s="1"/>
      <c r="AB174" s="1"/>
      <c r="AC174" s="1"/>
      <c r="AD174" s="3"/>
      <c r="AE174" s="3"/>
      <c r="AF174" s="5"/>
      <c r="AG174" s="5"/>
      <c r="AH174" s="5"/>
      <c r="AI174" s="5"/>
      <c r="AJ174" s="6"/>
      <c r="AK174" s="6"/>
      <c r="AL174" s="12"/>
      <c r="AM174" s="12"/>
      <c r="AN174" s="12"/>
      <c r="AO174" s="12"/>
      <c r="AP174" s="12"/>
    </row>
    <row r="175" spans="1:42" ht="15" x14ac:dyDescent="0.25">
      <c r="A175" s="82" t="str">
        <f>TDCTRIBE!I184</f>
        <v>Alaska</v>
      </c>
      <c r="B175" s="82" t="str">
        <f>TDCTRIBE!B184</f>
        <v>AK</v>
      </c>
      <c r="C175" s="82" t="str">
        <f>TDCTRIBE!F184</f>
        <v>Pilot Station</v>
      </c>
      <c r="D175" s="83">
        <f>TDCTRIBE!Y184</f>
        <v>537627.23286300001</v>
      </c>
      <c r="E175" s="83">
        <f>TDCTRIBE!Z184</f>
        <v>593892.8539060998</v>
      </c>
      <c r="F175" s="83">
        <f>TDCTRIBE!AA184</f>
        <v>670883.01826070005</v>
      </c>
      <c r="G175" s="83">
        <f>TDCTRIBE!AB184</f>
        <v>727154.03193440009</v>
      </c>
      <c r="H175" s="83">
        <f>TDCTRIBE!AC184</f>
        <v>784795.42359260004</v>
      </c>
      <c r="O175" s="9"/>
      <c r="P175" s="1"/>
      <c r="Q175" s="1"/>
      <c r="R175" s="1"/>
      <c r="S175" s="1"/>
      <c r="T175" s="1"/>
      <c r="U175" s="1"/>
      <c r="V175" s="9"/>
      <c r="W175" s="3"/>
      <c r="X175" s="4"/>
      <c r="Y175" s="1"/>
      <c r="Z175" s="1"/>
      <c r="AA175" s="1"/>
      <c r="AB175" s="1"/>
      <c r="AC175" s="1"/>
      <c r="AD175" s="3"/>
      <c r="AE175" s="3"/>
      <c r="AF175" s="5"/>
      <c r="AG175" s="5"/>
      <c r="AH175" s="5"/>
      <c r="AI175" s="5"/>
      <c r="AJ175" s="6"/>
      <c r="AK175" s="6"/>
      <c r="AL175" s="12"/>
      <c r="AM175" s="12"/>
      <c r="AN175" s="12"/>
      <c r="AO175" s="12"/>
      <c r="AP175" s="12"/>
    </row>
    <row r="176" spans="1:42" ht="15" x14ac:dyDescent="0.25">
      <c r="A176" s="82" t="str">
        <f>TDCTRIBE!I185</f>
        <v>Alaska</v>
      </c>
      <c r="B176" s="82" t="str">
        <f>TDCTRIBE!B185</f>
        <v>AK</v>
      </c>
      <c r="C176" s="82" t="str">
        <f>TDCTRIBE!F185</f>
        <v>Pitka's Point</v>
      </c>
      <c r="D176" s="83">
        <f>TDCTRIBE!Y185</f>
        <v>537627.23286300001</v>
      </c>
      <c r="E176" s="83">
        <f>TDCTRIBE!Z185</f>
        <v>593892.8539060998</v>
      </c>
      <c r="F176" s="83">
        <f>TDCTRIBE!AA185</f>
        <v>670883.01826070005</v>
      </c>
      <c r="G176" s="83">
        <f>TDCTRIBE!AB185</f>
        <v>727154.03193440009</v>
      </c>
      <c r="H176" s="83">
        <f>TDCTRIBE!AC185</f>
        <v>784795.42359260004</v>
      </c>
      <c r="O176" s="9"/>
      <c r="P176" s="1"/>
      <c r="Q176" s="1"/>
      <c r="R176" s="1"/>
      <c r="S176" s="1"/>
      <c r="T176" s="1"/>
      <c r="U176" s="1"/>
      <c r="V176" s="9"/>
      <c r="W176" s="3"/>
      <c r="X176" s="4"/>
      <c r="Y176" s="1"/>
      <c r="Z176" s="1"/>
      <c r="AA176" s="1"/>
      <c r="AB176" s="1"/>
      <c r="AC176" s="1"/>
      <c r="AD176" s="3"/>
      <c r="AE176" s="3"/>
      <c r="AF176" s="5"/>
      <c r="AG176" s="5"/>
      <c r="AH176" s="5"/>
      <c r="AI176" s="5"/>
      <c r="AJ176" s="6"/>
      <c r="AK176" s="6"/>
      <c r="AL176" s="12"/>
      <c r="AM176" s="12"/>
      <c r="AN176" s="12"/>
      <c r="AO176" s="12"/>
      <c r="AP176" s="12"/>
    </row>
    <row r="177" spans="1:42" ht="15" x14ac:dyDescent="0.25">
      <c r="A177" s="82" t="str">
        <f>TDCTRIBE!I186</f>
        <v>Alaska</v>
      </c>
      <c r="B177" s="82" t="str">
        <f>TDCTRIBE!B186</f>
        <v>AK</v>
      </c>
      <c r="C177" s="82" t="str">
        <f>TDCTRIBE!F186</f>
        <v>Platinum</v>
      </c>
      <c r="D177" s="83">
        <f>TDCTRIBE!Y186</f>
        <v>537627.23286300001</v>
      </c>
      <c r="E177" s="83">
        <f>TDCTRIBE!Z186</f>
        <v>593892.8539060998</v>
      </c>
      <c r="F177" s="83">
        <f>TDCTRIBE!AA186</f>
        <v>670883.01826070005</v>
      </c>
      <c r="G177" s="83">
        <f>TDCTRIBE!AB186</f>
        <v>727154.03193440009</v>
      </c>
      <c r="H177" s="83">
        <f>TDCTRIBE!AC186</f>
        <v>784795.42359260004</v>
      </c>
      <c r="O177" s="9"/>
      <c r="P177" s="1"/>
      <c r="Q177" s="1"/>
      <c r="R177" s="1"/>
      <c r="S177" s="1"/>
      <c r="T177" s="1"/>
      <c r="U177" s="1"/>
      <c r="V177" s="9"/>
      <c r="W177" s="3"/>
      <c r="X177" s="4"/>
      <c r="Y177" s="1"/>
      <c r="Z177" s="1"/>
      <c r="AA177" s="1"/>
      <c r="AB177" s="1"/>
      <c r="AC177" s="1"/>
      <c r="AD177" s="3"/>
      <c r="AE177" s="3"/>
      <c r="AF177" s="5"/>
      <c r="AG177" s="5"/>
      <c r="AH177" s="5"/>
      <c r="AI177" s="5"/>
      <c r="AJ177" s="6"/>
      <c r="AK177" s="6"/>
      <c r="AL177" s="12"/>
      <c r="AM177" s="12"/>
      <c r="AN177" s="12"/>
      <c r="AO177" s="12"/>
      <c r="AP177" s="12"/>
    </row>
    <row r="178" spans="1:42" ht="15" x14ac:dyDescent="0.25">
      <c r="A178" s="82" t="str">
        <f>TDCTRIBE!I187</f>
        <v>Alaska</v>
      </c>
      <c r="B178" s="82" t="str">
        <f>TDCTRIBE!B187</f>
        <v>AK</v>
      </c>
      <c r="C178" s="82" t="str">
        <f>TDCTRIBE!F187</f>
        <v>Point Hope</v>
      </c>
      <c r="D178" s="83">
        <f>TDCTRIBE!Y187</f>
        <v>573912.50187599997</v>
      </c>
      <c r="E178" s="83">
        <f>TDCTRIBE!Z187</f>
        <v>633906.89508719998</v>
      </c>
      <c r="F178" s="83">
        <f>TDCTRIBE!AA187</f>
        <v>715983.34034640016</v>
      </c>
      <c r="G178" s="83">
        <f>TDCTRIBE!AB187</f>
        <v>775980.51116880018</v>
      </c>
      <c r="H178" s="83">
        <f>TDCTRIBE!AC187</f>
        <v>837476.24333520012</v>
      </c>
      <c r="O178" s="9"/>
      <c r="P178" s="1"/>
      <c r="Q178" s="1"/>
      <c r="R178" s="1"/>
      <c r="S178" s="1"/>
      <c r="T178" s="1"/>
      <c r="U178" s="1"/>
      <c r="V178" s="9"/>
      <c r="W178" s="3"/>
      <c r="X178" s="4"/>
      <c r="Y178" s="1"/>
      <c r="Z178" s="1"/>
      <c r="AA178" s="1"/>
      <c r="AB178" s="1"/>
      <c r="AC178" s="1"/>
      <c r="AD178" s="3"/>
      <c r="AE178" s="3"/>
      <c r="AF178" s="5"/>
      <c r="AG178" s="5"/>
      <c r="AH178" s="5"/>
      <c r="AI178" s="5"/>
      <c r="AJ178" s="6"/>
      <c r="AK178" s="6"/>
      <c r="AL178" s="12"/>
      <c r="AM178" s="12"/>
      <c r="AN178" s="12"/>
      <c r="AO178" s="12"/>
      <c r="AP178" s="12"/>
    </row>
    <row r="179" spans="1:42" ht="15" x14ac:dyDescent="0.25">
      <c r="A179" s="82" t="str">
        <f>TDCTRIBE!I188</f>
        <v>Alaska</v>
      </c>
      <c r="B179" s="82" t="str">
        <f>TDCTRIBE!B188</f>
        <v>AK</v>
      </c>
      <c r="C179" s="82" t="str">
        <f>TDCTRIBE!F188</f>
        <v>Point Lay</v>
      </c>
      <c r="D179" s="83">
        <f>TDCTRIBE!Y188</f>
        <v>573912.50187599997</v>
      </c>
      <c r="E179" s="83">
        <f>TDCTRIBE!Z188</f>
        <v>633906.89508719998</v>
      </c>
      <c r="F179" s="83">
        <f>TDCTRIBE!AA188</f>
        <v>715983.34034640016</v>
      </c>
      <c r="G179" s="83">
        <f>TDCTRIBE!AB188</f>
        <v>775980.51116880018</v>
      </c>
      <c r="H179" s="83">
        <f>TDCTRIBE!AC188</f>
        <v>837476.24333520012</v>
      </c>
      <c r="O179" s="9"/>
      <c r="P179" s="1"/>
      <c r="Q179" s="1"/>
      <c r="R179" s="1"/>
      <c r="S179" s="1"/>
      <c r="T179" s="1"/>
      <c r="U179" s="1"/>
      <c r="V179" s="9"/>
      <c r="W179" s="3"/>
      <c r="X179" s="4"/>
      <c r="Y179" s="1"/>
      <c r="Z179" s="1"/>
      <c r="AA179" s="1"/>
      <c r="AB179" s="1"/>
      <c r="AC179" s="1"/>
      <c r="AD179" s="3"/>
      <c r="AE179" s="3"/>
      <c r="AF179" s="5"/>
      <c r="AG179" s="5"/>
      <c r="AH179" s="5"/>
      <c r="AI179" s="5"/>
      <c r="AJ179" s="6"/>
      <c r="AK179" s="6"/>
      <c r="AL179" s="12"/>
      <c r="AM179" s="12"/>
      <c r="AN179" s="12"/>
      <c r="AO179" s="12"/>
      <c r="AP179" s="12"/>
    </row>
    <row r="180" spans="1:42" ht="15" x14ac:dyDescent="0.25">
      <c r="A180" s="82" t="str">
        <f>TDCTRIBE!I189</f>
        <v>Alaska</v>
      </c>
      <c r="B180" s="82" t="str">
        <f>TDCTRIBE!B189</f>
        <v>AK</v>
      </c>
      <c r="C180" s="82" t="str">
        <f>TDCTRIBE!F189</f>
        <v>Port Graham</v>
      </c>
      <c r="D180" s="83">
        <f>TDCTRIBE!Y189</f>
        <v>465666.31849500001</v>
      </c>
      <c r="E180" s="83">
        <f>TDCTRIBE!Z189</f>
        <v>514428.62433899997</v>
      </c>
      <c r="F180" s="83">
        <f>TDCTRIBE!AA189</f>
        <v>581158.19019300013</v>
      </c>
      <c r="G180" s="83">
        <f>TDCTRIBE!AB189</f>
        <v>629926.37213100016</v>
      </c>
      <c r="H180" s="83">
        <f>TDCTRIBE!AC189</f>
        <v>679867.06659900001</v>
      </c>
      <c r="O180" s="9"/>
      <c r="P180" s="1"/>
      <c r="Q180" s="1"/>
      <c r="R180" s="1"/>
      <c r="S180" s="1"/>
      <c r="T180" s="1"/>
      <c r="U180" s="1"/>
      <c r="V180" s="9"/>
      <c r="W180" s="3"/>
      <c r="X180" s="4"/>
      <c r="Y180" s="1"/>
      <c r="Z180" s="1"/>
      <c r="AA180" s="1"/>
      <c r="AB180" s="1"/>
      <c r="AC180" s="1"/>
      <c r="AD180" s="3"/>
      <c r="AE180" s="3"/>
      <c r="AF180" s="5"/>
      <c r="AG180" s="5"/>
      <c r="AH180" s="5"/>
      <c r="AI180" s="5"/>
      <c r="AJ180" s="6"/>
      <c r="AK180" s="6"/>
      <c r="AL180" s="12"/>
      <c r="AM180" s="12"/>
      <c r="AN180" s="12"/>
      <c r="AO180" s="12"/>
      <c r="AP180" s="12"/>
    </row>
    <row r="181" spans="1:42" ht="15" x14ac:dyDescent="0.25">
      <c r="A181" s="82" t="str">
        <f>TDCTRIBE!I190</f>
        <v>Alaska</v>
      </c>
      <c r="B181" s="82" t="str">
        <f>TDCTRIBE!B190</f>
        <v>AK</v>
      </c>
      <c r="C181" s="82" t="str">
        <f>TDCTRIBE!F190</f>
        <v>Port Heiden</v>
      </c>
      <c r="D181" s="83">
        <f>TDCTRIBE!Y190</f>
        <v>537627.23286300001</v>
      </c>
      <c r="E181" s="83">
        <f>TDCTRIBE!Z190</f>
        <v>593892.8539060998</v>
      </c>
      <c r="F181" s="83">
        <f>TDCTRIBE!AA190</f>
        <v>670883.01826070005</v>
      </c>
      <c r="G181" s="83">
        <f>TDCTRIBE!AB190</f>
        <v>727154.03193440009</v>
      </c>
      <c r="H181" s="83">
        <f>TDCTRIBE!AC190</f>
        <v>784795.42359260004</v>
      </c>
      <c r="O181" s="9"/>
      <c r="P181" s="1"/>
      <c r="Q181" s="1"/>
      <c r="R181" s="1"/>
      <c r="S181" s="1"/>
      <c r="T181" s="1"/>
      <c r="U181" s="1"/>
      <c r="V181" s="9"/>
      <c r="W181" s="3"/>
      <c r="X181" s="4"/>
      <c r="Y181" s="1"/>
      <c r="Z181" s="1"/>
      <c r="AA181" s="1"/>
      <c r="AB181" s="1"/>
      <c r="AC181" s="1"/>
      <c r="AD181" s="3"/>
      <c r="AE181" s="3"/>
      <c r="AF181" s="5"/>
      <c r="AG181" s="5"/>
      <c r="AH181" s="5"/>
      <c r="AI181" s="5"/>
      <c r="AJ181" s="6"/>
      <c r="AK181" s="6"/>
      <c r="AL181" s="12"/>
      <c r="AM181" s="12"/>
      <c r="AN181" s="12"/>
      <c r="AO181" s="12"/>
      <c r="AP181" s="12"/>
    </row>
    <row r="182" spans="1:42" ht="15" x14ac:dyDescent="0.25">
      <c r="A182" s="82" t="str">
        <f>TDCTRIBE!I191</f>
        <v>Alaska</v>
      </c>
      <c r="B182" s="82" t="str">
        <f>TDCTRIBE!B191</f>
        <v>AK</v>
      </c>
      <c r="C182" s="82" t="str">
        <f>TDCTRIBE!F191</f>
        <v>Port Lions</v>
      </c>
      <c r="D182" s="83">
        <f>TDCTRIBE!Y191</f>
        <v>537627.23286300001</v>
      </c>
      <c r="E182" s="83">
        <f>TDCTRIBE!Z191</f>
        <v>593892.8539060998</v>
      </c>
      <c r="F182" s="83">
        <f>TDCTRIBE!AA191</f>
        <v>670883.01826070005</v>
      </c>
      <c r="G182" s="83">
        <f>TDCTRIBE!AB191</f>
        <v>727154.03193440009</v>
      </c>
      <c r="H182" s="83">
        <f>TDCTRIBE!AC191</f>
        <v>784795.42359260004</v>
      </c>
      <c r="O182" s="9"/>
      <c r="P182" s="1"/>
      <c r="Q182" s="1"/>
      <c r="R182" s="1"/>
      <c r="S182" s="1"/>
      <c r="T182" s="1"/>
      <c r="U182" s="1"/>
      <c r="V182" s="9"/>
      <c r="W182" s="3"/>
      <c r="X182" s="4"/>
      <c r="Y182" s="1"/>
      <c r="Z182" s="1"/>
      <c r="AA182" s="1"/>
      <c r="AB182" s="1"/>
      <c r="AC182" s="1"/>
      <c r="AD182" s="3"/>
      <c r="AE182" s="3"/>
      <c r="AF182" s="5"/>
      <c r="AG182" s="5"/>
      <c r="AH182" s="5"/>
      <c r="AI182" s="5"/>
      <c r="AJ182" s="6"/>
      <c r="AK182" s="6"/>
      <c r="AL182" s="12"/>
      <c r="AM182" s="12"/>
      <c r="AN182" s="12"/>
      <c r="AO182" s="12"/>
      <c r="AP182" s="12"/>
    </row>
    <row r="183" spans="1:42" ht="15" x14ac:dyDescent="0.25">
      <c r="A183" s="82" t="str">
        <f>TDCTRIBE!I192</f>
        <v>Alaska</v>
      </c>
      <c r="B183" s="82" t="str">
        <f>TDCTRIBE!B192</f>
        <v>AK</v>
      </c>
      <c r="C183" s="82" t="str">
        <f>TDCTRIBE!F192</f>
        <v>Portage Creek</v>
      </c>
      <c r="D183" s="83">
        <f>TDCTRIBE!Y192</f>
        <v>537627.23286300001</v>
      </c>
      <c r="E183" s="83">
        <f>TDCTRIBE!Z192</f>
        <v>593892.8539060998</v>
      </c>
      <c r="F183" s="83">
        <f>TDCTRIBE!AA192</f>
        <v>670883.01826070005</v>
      </c>
      <c r="G183" s="83">
        <f>TDCTRIBE!AB192</f>
        <v>727154.03193440009</v>
      </c>
      <c r="H183" s="83">
        <f>TDCTRIBE!AC192</f>
        <v>784795.42359260004</v>
      </c>
      <c r="O183" s="9"/>
      <c r="P183" s="1"/>
      <c r="Q183" s="1"/>
      <c r="R183" s="1"/>
      <c r="S183" s="1"/>
      <c r="T183" s="1"/>
      <c r="U183" s="1"/>
      <c r="V183" s="9"/>
      <c r="W183" s="3"/>
      <c r="X183" s="4"/>
      <c r="Y183" s="1"/>
      <c r="Z183" s="1"/>
      <c r="AA183" s="1"/>
      <c r="AB183" s="1"/>
      <c r="AC183" s="1"/>
      <c r="AD183" s="3"/>
      <c r="AE183" s="3"/>
      <c r="AF183" s="5"/>
      <c r="AG183" s="5"/>
      <c r="AH183" s="5"/>
      <c r="AI183" s="5"/>
      <c r="AJ183" s="6"/>
      <c r="AK183" s="6"/>
      <c r="AL183" s="12"/>
      <c r="AM183" s="12"/>
      <c r="AN183" s="12"/>
      <c r="AO183" s="12"/>
      <c r="AP183" s="12"/>
    </row>
    <row r="184" spans="1:42" ht="15" x14ac:dyDescent="0.25">
      <c r="A184" s="82" t="str">
        <f>TDCTRIBE!I193</f>
        <v>Alaska</v>
      </c>
      <c r="B184" s="82" t="str">
        <f>TDCTRIBE!B193</f>
        <v>AK</v>
      </c>
      <c r="C184" s="82" t="str">
        <f>TDCTRIBE!F193</f>
        <v>Qagan Tayagungin (Sand Point)</v>
      </c>
      <c r="D184" s="83">
        <f>TDCTRIBE!Y193</f>
        <v>537627.23286300001</v>
      </c>
      <c r="E184" s="83">
        <f>TDCTRIBE!Z193</f>
        <v>593892.8539060998</v>
      </c>
      <c r="F184" s="83">
        <f>TDCTRIBE!AA193</f>
        <v>670883.01826070005</v>
      </c>
      <c r="G184" s="83">
        <f>TDCTRIBE!AB193</f>
        <v>727154.03193440009</v>
      </c>
      <c r="H184" s="83">
        <f>TDCTRIBE!AC193</f>
        <v>784795.42359260004</v>
      </c>
      <c r="O184" s="9"/>
      <c r="P184" s="1"/>
      <c r="Q184" s="1"/>
      <c r="R184" s="1"/>
      <c r="S184" s="1"/>
      <c r="T184" s="1"/>
      <c r="U184" s="1"/>
      <c r="V184" s="9"/>
      <c r="W184" s="3"/>
      <c r="X184" s="4"/>
      <c r="Y184" s="1"/>
      <c r="Z184" s="1"/>
      <c r="AA184" s="1"/>
      <c r="AB184" s="1"/>
      <c r="AC184" s="1"/>
      <c r="AD184" s="3"/>
      <c r="AE184" s="3"/>
      <c r="AF184" s="5"/>
      <c r="AG184" s="5"/>
      <c r="AH184" s="5"/>
      <c r="AI184" s="5"/>
      <c r="AJ184" s="6"/>
      <c r="AK184" s="6"/>
      <c r="AL184" s="12"/>
      <c r="AM184" s="12"/>
      <c r="AN184" s="12"/>
      <c r="AO184" s="12"/>
      <c r="AP184" s="12"/>
    </row>
    <row r="185" spans="1:42" ht="15" x14ac:dyDescent="0.25">
      <c r="A185" s="82" t="str">
        <f>TDCTRIBE!I194</f>
        <v>Alaska</v>
      </c>
      <c r="B185" s="82" t="str">
        <f>TDCTRIBE!B194</f>
        <v>AK</v>
      </c>
      <c r="C185" s="82" t="str">
        <f>TDCTRIBE!F194</f>
        <v>Qawalangin (Unalaska)</v>
      </c>
      <c r="D185" s="83">
        <f>TDCTRIBE!Y194</f>
        <v>537627.23286300001</v>
      </c>
      <c r="E185" s="83">
        <f>TDCTRIBE!Z194</f>
        <v>593892.8539060998</v>
      </c>
      <c r="F185" s="83">
        <f>TDCTRIBE!AA194</f>
        <v>670883.01826070005</v>
      </c>
      <c r="G185" s="83">
        <f>TDCTRIBE!AB194</f>
        <v>727154.03193440009</v>
      </c>
      <c r="H185" s="83">
        <f>TDCTRIBE!AC194</f>
        <v>784795.42359260004</v>
      </c>
      <c r="O185" s="9"/>
      <c r="P185" s="1"/>
      <c r="Q185" s="1"/>
      <c r="R185" s="1"/>
      <c r="S185" s="1"/>
      <c r="T185" s="1"/>
      <c r="U185" s="1"/>
      <c r="V185" s="9"/>
      <c r="W185" s="3"/>
      <c r="X185" s="4"/>
      <c r="Y185" s="1"/>
      <c r="Z185" s="1"/>
      <c r="AA185" s="1"/>
      <c r="AB185" s="1"/>
      <c r="AC185" s="1"/>
      <c r="AD185" s="3"/>
      <c r="AE185" s="3"/>
      <c r="AF185" s="5"/>
      <c r="AG185" s="5"/>
      <c r="AH185" s="5"/>
      <c r="AI185" s="5"/>
      <c r="AJ185" s="6"/>
      <c r="AK185" s="6"/>
      <c r="AL185" s="12"/>
      <c r="AM185" s="12"/>
      <c r="AN185" s="12"/>
      <c r="AO185" s="12"/>
      <c r="AP185" s="12"/>
    </row>
    <row r="186" spans="1:42" ht="15" x14ac:dyDescent="0.25">
      <c r="A186" s="82" t="str">
        <f>TDCTRIBE!I195</f>
        <v>Alaska</v>
      </c>
      <c r="B186" s="82" t="str">
        <f>TDCTRIBE!B195</f>
        <v>AK</v>
      </c>
      <c r="C186" s="82" t="str">
        <f>TDCTRIBE!F195</f>
        <v>Rampart</v>
      </c>
      <c r="D186" s="83">
        <f>TDCTRIBE!Y195</f>
        <v>537627.23286300001</v>
      </c>
      <c r="E186" s="83">
        <f>TDCTRIBE!Z195</f>
        <v>593892.8539060998</v>
      </c>
      <c r="F186" s="83">
        <f>TDCTRIBE!AA195</f>
        <v>670883.01826070005</v>
      </c>
      <c r="G186" s="83">
        <f>TDCTRIBE!AB195</f>
        <v>727154.03193440009</v>
      </c>
      <c r="H186" s="83">
        <f>TDCTRIBE!AC195</f>
        <v>784795.42359260004</v>
      </c>
      <c r="O186" s="9"/>
      <c r="P186" s="1"/>
      <c r="Q186" s="1"/>
      <c r="R186" s="1"/>
      <c r="S186" s="1"/>
      <c r="T186" s="1"/>
      <c r="U186" s="1"/>
      <c r="V186" s="9"/>
      <c r="W186" s="3"/>
      <c r="X186" s="4"/>
      <c r="Y186" s="1"/>
      <c r="Z186" s="1"/>
      <c r="AA186" s="1"/>
      <c r="AB186" s="1"/>
      <c r="AC186" s="1"/>
      <c r="AD186" s="3"/>
      <c r="AE186" s="3"/>
      <c r="AF186" s="5"/>
      <c r="AG186" s="5"/>
      <c r="AH186" s="5"/>
      <c r="AI186" s="5"/>
      <c r="AJ186" s="6"/>
      <c r="AK186" s="6"/>
      <c r="AL186" s="12"/>
      <c r="AM186" s="12"/>
      <c r="AN186" s="12"/>
      <c r="AO186" s="12"/>
      <c r="AP186" s="12"/>
    </row>
    <row r="187" spans="1:42" ht="15" x14ac:dyDescent="0.25">
      <c r="A187" s="82" t="str">
        <f>TDCTRIBE!I196</f>
        <v>Alaska</v>
      </c>
      <c r="B187" s="82" t="str">
        <f>TDCTRIBE!B196</f>
        <v>AK</v>
      </c>
      <c r="C187" s="82" t="str">
        <f>TDCTRIBE!F196</f>
        <v>Red Devil</v>
      </c>
      <c r="D187" s="83">
        <f>TDCTRIBE!Y196</f>
        <v>537627.23286300001</v>
      </c>
      <c r="E187" s="83">
        <f>TDCTRIBE!Z196</f>
        <v>593892.8539060998</v>
      </c>
      <c r="F187" s="83">
        <f>TDCTRIBE!AA196</f>
        <v>670883.01826070005</v>
      </c>
      <c r="G187" s="83">
        <f>TDCTRIBE!AB196</f>
        <v>727154.03193440009</v>
      </c>
      <c r="H187" s="83">
        <f>TDCTRIBE!AC196</f>
        <v>784795.42359260004</v>
      </c>
      <c r="O187" s="9"/>
      <c r="P187" s="1"/>
      <c r="Q187" s="1"/>
      <c r="R187" s="1"/>
      <c r="S187" s="1"/>
      <c r="T187" s="1"/>
      <c r="U187" s="1"/>
      <c r="V187" s="9"/>
      <c r="W187" s="3"/>
      <c r="X187" s="4"/>
      <c r="Y187" s="1"/>
      <c r="Z187" s="1"/>
      <c r="AA187" s="1"/>
      <c r="AB187" s="1"/>
      <c r="AC187" s="1"/>
      <c r="AD187" s="3"/>
      <c r="AE187" s="3"/>
      <c r="AF187" s="5"/>
      <c r="AG187" s="5"/>
      <c r="AH187" s="5"/>
      <c r="AI187" s="5"/>
      <c r="AJ187" s="6"/>
      <c r="AK187" s="6"/>
      <c r="AL187" s="12"/>
      <c r="AM187" s="12"/>
      <c r="AN187" s="12"/>
      <c r="AO187" s="12"/>
      <c r="AP187" s="12"/>
    </row>
    <row r="188" spans="1:42" ht="15" x14ac:dyDescent="0.25">
      <c r="A188" s="82" t="str">
        <f>TDCTRIBE!I197</f>
        <v>Alaska</v>
      </c>
      <c r="B188" s="82" t="str">
        <f>TDCTRIBE!B197</f>
        <v>AK</v>
      </c>
      <c r="C188" s="82" t="str">
        <f>TDCTRIBE!F197</f>
        <v>Ruby</v>
      </c>
      <c r="D188" s="83">
        <f>TDCTRIBE!Y197</f>
        <v>573912.50187599997</v>
      </c>
      <c r="E188" s="83">
        <f>TDCTRIBE!Z197</f>
        <v>633906.89508719998</v>
      </c>
      <c r="F188" s="83">
        <f>TDCTRIBE!AA197</f>
        <v>715983.34034640016</v>
      </c>
      <c r="G188" s="83">
        <f>TDCTRIBE!AB197</f>
        <v>775980.51116880018</v>
      </c>
      <c r="H188" s="83">
        <f>TDCTRIBE!AC197</f>
        <v>837476.24333520012</v>
      </c>
      <c r="O188" s="9"/>
      <c r="P188" s="1"/>
      <c r="Q188" s="1"/>
      <c r="R188" s="1"/>
      <c r="S188" s="1"/>
      <c r="T188" s="1"/>
      <c r="U188" s="1"/>
      <c r="V188" s="9"/>
      <c r="W188" s="3"/>
      <c r="X188" s="4"/>
      <c r="Y188" s="1"/>
      <c r="Z188" s="1"/>
      <c r="AA188" s="1"/>
      <c r="AB188" s="1"/>
      <c r="AC188" s="1"/>
      <c r="AD188" s="3"/>
      <c r="AE188" s="3"/>
      <c r="AF188" s="5"/>
      <c r="AG188" s="5"/>
      <c r="AH188" s="5"/>
      <c r="AI188" s="5"/>
      <c r="AJ188" s="6"/>
      <c r="AK188" s="6"/>
      <c r="AL188" s="12"/>
      <c r="AM188" s="12"/>
      <c r="AN188" s="12"/>
      <c r="AO188" s="12"/>
      <c r="AP188" s="12"/>
    </row>
    <row r="189" spans="1:42" ht="15" x14ac:dyDescent="0.25">
      <c r="A189" s="82" t="str">
        <f>TDCTRIBE!I198</f>
        <v>Alaska</v>
      </c>
      <c r="B189" s="82" t="str">
        <f>TDCTRIBE!B198</f>
        <v>AK</v>
      </c>
      <c r="C189" s="82" t="str">
        <f>TDCTRIBE!F198</f>
        <v>Russian Mission (Yukon)</v>
      </c>
      <c r="D189" s="83">
        <f>TDCTRIBE!Y198</f>
        <v>537627.23286300001</v>
      </c>
      <c r="E189" s="83">
        <f>TDCTRIBE!Z198</f>
        <v>593892.8539060998</v>
      </c>
      <c r="F189" s="83">
        <f>TDCTRIBE!AA198</f>
        <v>670883.01826070005</v>
      </c>
      <c r="G189" s="83">
        <f>TDCTRIBE!AB198</f>
        <v>727154.03193440009</v>
      </c>
      <c r="H189" s="83">
        <f>TDCTRIBE!AC198</f>
        <v>784795.42359260004</v>
      </c>
      <c r="O189" s="9"/>
      <c r="P189" s="1"/>
      <c r="Q189" s="1"/>
      <c r="R189" s="1"/>
      <c r="S189" s="1"/>
      <c r="T189" s="1"/>
      <c r="U189" s="1"/>
      <c r="V189" s="9"/>
      <c r="W189" s="3"/>
      <c r="X189" s="4"/>
      <c r="Y189" s="1"/>
      <c r="Z189" s="1"/>
      <c r="AA189" s="1"/>
      <c r="AB189" s="1"/>
      <c r="AC189" s="1"/>
      <c r="AD189" s="3"/>
      <c r="AE189" s="3"/>
      <c r="AF189" s="5"/>
      <c r="AG189" s="5"/>
      <c r="AH189" s="5"/>
      <c r="AI189" s="5"/>
      <c r="AJ189" s="6"/>
      <c r="AK189" s="6"/>
      <c r="AL189" s="12"/>
      <c r="AM189" s="12"/>
      <c r="AN189" s="12"/>
      <c r="AO189" s="12"/>
      <c r="AP189" s="12"/>
    </row>
    <row r="190" spans="1:42" ht="15" x14ac:dyDescent="0.25">
      <c r="A190" s="82" t="str">
        <f>TDCTRIBE!I199</f>
        <v>Alaska</v>
      </c>
      <c r="B190" s="82" t="str">
        <f>TDCTRIBE!B199</f>
        <v>AK</v>
      </c>
      <c r="C190" s="82" t="str">
        <f>TDCTRIBE!F199</f>
        <v>Saint George</v>
      </c>
      <c r="D190" s="83">
        <f>TDCTRIBE!Y199</f>
        <v>537627.23286300001</v>
      </c>
      <c r="E190" s="83">
        <f>TDCTRIBE!Z199</f>
        <v>593892.8539060998</v>
      </c>
      <c r="F190" s="83">
        <f>TDCTRIBE!AA199</f>
        <v>670883.01826070005</v>
      </c>
      <c r="G190" s="83">
        <f>TDCTRIBE!AB199</f>
        <v>727154.03193440009</v>
      </c>
      <c r="H190" s="83">
        <f>TDCTRIBE!AC199</f>
        <v>784795.42359260004</v>
      </c>
      <c r="O190" s="9"/>
      <c r="P190" s="1"/>
      <c r="Q190" s="1"/>
      <c r="R190" s="1"/>
      <c r="S190" s="1"/>
      <c r="T190" s="1"/>
      <c r="U190" s="1"/>
      <c r="V190" s="9"/>
      <c r="W190" s="3"/>
      <c r="X190" s="4"/>
      <c r="Y190" s="1"/>
      <c r="Z190" s="1"/>
      <c r="AA190" s="1"/>
      <c r="AB190" s="1"/>
      <c r="AC190" s="1"/>
      <c r="AD190" s="3"/>
      <c r="AE190" s="3"/>
      <c r="AF190" s="5"/>
      <c r="AG190" s="5"/>
      <c r="AH190" s="5"/>
      <c r="AI190" s="5"/>
      <c r="AJ190" s="6"/>
      <c r="AK190" s="6"/>
      <c r="AL190" s="12"/>
      <c r="AM190" s="12"/>
      <c r="AN190" s="12"/>
      <c r="AO190" s="12"/>
      <c r="AP190" s="12"/>
    </row>
    <row r="191" spans="1:42" ht="15" x14ac:dyDescent="0.25">
      <c r="A191" s="82" t="str">
        <f>TDCTRIBE!I200</f>
        <v>Alaska</v>
      </c>
      <c r="B191" s="82" t="str">
        <f>TDCTRIBE!B200</f>
        <v>AK</v>
      </c>
      <c r="C191" s="82" t="str">
        <f>TDCTRIBE!F200</f>
        <v>Saint Michael</v>
      </c>
      <c r="D191" s="83">
        <f>TDCTRIBE!Y200</f>
        <v>537627.23286300001</v>
      </c>
      <c r="E191" s="83">
        <f>TDCTRIBE!Z200</f>
        <v>593892.8539060998</v>
      </c>
      <c r="F191" s="83">
        <f>TDCTRIBE!AA200</f>
        <v>670883.01826070005</v>
      </c>
      <c r="G191" s="83">
        <f>TDCTRIBE!AB200</f>
        <v>727154.03193440009</v>
      </c>
      <c r="H191" s="83">
        <f>TDCTRIBE!AC200</f>
        <v>784795.42359260004</v>
      </c>
      <c r="O191" s="9"/>
      <c r="P191" s="1"/>
      <c r="Q191" s="1"/>
      <c r="R191" s="1"/>
      <c r="S191" s="1"/>
      <c r="T191" s="1"/>
      <c r="U191" s="1"/>
      <c r="V191" s="9"/>
      <c r="W191" s="3"/>
      <c r="X191" s="4"/>
      <c r="Y191" s="1"/>
      <c r="Z191" s="1"/>
      <c r="AA191" s="1"/>
      <c r="AB191" s="1"/>
      <c r="AC191" s="1"/>
      <c r="AD191" s="3"/>
      <c r="AE191" s="3"/>
      <c r="AF191" s="5"/>
      <c r="AG191" s="5"/>
      <c r="AH191" s="5"/>
      <c r="AI191" s="5"/>
      <c r="AJ191" s="6"/>
      <c r="AK191" s="6"/>
      <c r="AL191" s="12"/>
      <c r="AM191" s="12"/>
      <c r="AN191" s="12"/>
      <c r="AO191" s="12"/>
      <c r="AP191" s="12"/>
    </row>
    <row r="192" spans="1:42" ht="15" x14ac:dyDescent="0.25">
      <c r="A192" s="82" t="str">
        <f>TDCTRIBE!I201</f>
        <v>Alaska</v>
      </c>
      <c r="B192" s="82" t="str">
        <f>TDCTRIBE!B201</f>
        <v>AK</v>
      </c>
      <c r="C192" s="82" t="str">
        <f>TDCTRIBE!F201</f>
        <v>Saint Paul</v>
      </c>
      <c r="D192" s="83">
        <f>TDCTRIBE!Y201</f>
        <v>537627.23286300001</v>
      </c>
      <c r="E192" s="83">
        <f>TDCTRIBE!Z201</f>
        <v>593892.8539060998</v>
      </c>
      <c r="F192" s="83">
        <f>TDCTRIBE!AA201</f>
        <v>670883.01826070005</v>
      </c>
      <c r="G192" s="83">
        <f>TDCTRIBE!AB201</f>
        <v>727154.03193440009</v>
      </c>
      <c r="H192" s="83">
        <f>TDCTRIBE!AC201</f>
        <v>784795.42359260004</v>
      </c>
      <c r="O192" s="9"/>
      <c r="P192" s="1"/>
      <c r="Q192" s="1"/>
      <c r="R192" s="1"/>
      <c r="S192" s="1"/>
      <c r="T192" s="1"/>
      <c r="U192" s="1"/>
      <c r="V192" s="9"/>
      <c r="W192" s="3"/>
      <c r="X192" s="4"/>
      <c r="Y192" s="1"/>
      <c r="Z192" s="1"/>
      <c r="AA192" s="1"/>
      <c r="AB192" s="1"/>
      <c r="AC192" s="1"/>
      <c r="AD192" s="3"/>
      <c r="AE192" s="3"/>
      <c r="AF192" s="5"/>
      <c r="AG192" s="5"/>
      <c r="AH192" s="5"/>
      <c r="AI192" s="5"/>
      <c r="AJ192" s="6"/>
      <c r="AK192" s="6"/>
      <c r="AL192" s="12"/>
      <c r="AM192" s="12"/>
      <c r="AN192" s="12"/>
      <c r="AO192" s="12"/>
      <c r="AP192" s="12"/>
    </row>
    <row r="193" spans="1:42" ht="15" x14ac:dyDescent="0.25">
      <c r="A193" s="82" t="str">
        <f>TDCTRIBE!I202</f>
        <v>Alaska</v>
      </c>
      <c r="B193" s="82" t="str">
        <f>TDCTRIBE!B202</f>
        <v>AK</v>
      </c>
      <c r="C193" s="82" t="str">
        <f>TDCTRIBE!F202</f>
        <v>Salamatoff</v>
      </c>
      <c r="D193" s="83">
        <f>TDCTRIBE!Y202</f>
        <v>465666.31849500001</v>
      </c>
      <c r="E193" s="83">
        <f>TDCTRIBE!Z202</f>
        <v>514428.62433899997</v>
      </c>
      <c r="F193" s="83">
        <f>TDCTRIBE!AA202</f>
        <v>581158.19019300013</v>
      </c>
      <c r="G193" s="83">
        <f>TDCTRIBE!AB202</f>
        <v>629926.37213100016</v>
      </c>
      <c r="H193" s="83">
        <f>TDCTRIBE!AC202</f>
        <v>679867.06659900001</v>
      </c>
      <c r="O193" s="9"/>
      <c r="P193" s="1"/>
      <c r="Q193" s="1"/>
      <c r="R193" s="1"/>
      <c r="S193" s="1"/>
      <c r="T193" s="1"/>
      <c r="U193" s="1"/>
      <c r="V193" s="9"/>
      <c r="W193" s="3"/>
      <c r="X193" s="4"/>
      <c r="Y193" s="1"/>
      <c r="Z193" s="1"/>
      <c r="AA193" s="1"/>
      <c r="AB193" s="1"/>
      <c r="AC193" s="1"/>
      <c r="AD193" s="3"/>
      <c r="AE193" s="3"/>
      <c r="AF193" s="5"/>
      <c r="AG193" s="5"/>
      <c r="AH193" s="5"/>
      <c r="AI193" s="5"/>
      <c r="AJ193" s="6"/>
      <c r="AK193" s="6"/>
      <c r="AL193" s="12"/>
      <c r="AM193" s="12"/>
      <c r="AN193" s="12"/>
      <c r="AO193" s="12"/>
      <c r="AP193" s="12"/>
    </row>
    <row r="194" spans="1:42" ht="15" x14ac:dyDescent="0.25">
      <c r="A194" s="82" t="str">
        <f>TDCTRIBE!I203</f>
        <v>Alaska</v>
      </c>
      <c r="B194" s="82" t="str">
        <f>TDCTRIBE!B203</f>
        <v>AK</v>
      </c>
      <c r="C194" s="82" t="str">
        <f>TDCTRIBE!F203</f>
        <v>Savoonga</v>
      </c>
      <c r="D194" s="83">
        <f>TDCTRIBE!Y203</f>
        <v>573912.50187599997</v>
      </c>
      <c r="E194" s="83">
        <f>TDCTRIBE!Z203</f>
        <v>633906.89508719998</v>
      </c>
      <c r="F194" s="83">
        <f>TDCTRIBE!AA203</f>
        <v>715983.34034640016</v>
      </c>
      <c r="G194" s="83">
        <f>TDCTRIBE!AB203</f>
        <v>775980.51116880018</v>
      </c>
      <c r="H194" s="83">
        <f>TDCTRIBE!AC203</f>
        <v>837476.24333520012</v>
      </c>
      <c r="O194" s="9"/>
      <c r="P194" s="1"/>
      <c r="Q194" s="1"/>
      <c r="R194" s="1"/>
      <c r="S194" s="1"/>
      <c r="T194" s="1"/>
      <c r="U194" s="1"/>
      <c r="V194" s="9"/>
      <c r="W194" s="3"/>
      <c r="X194" s="4"/>
      <c r="Y194" s="1"/>
      <c r="Z194" s="1"/>
      <c r="AA194" s="1"/>
      <c r="AB194" s="1"/>
      <c r="AC194" s="1"/>
      <c r="AD194" s="3"/>
      <c r="AE194" s="3"/>
      <c r="AF194" s="5"/>
      <c r="AG194" s="5"/>
      <c r="AH194" s="5"/>
      <c r="AI194" s="5"/>
      <c r="AJ194" s="6"/>
      <c r="AK194" s="6"/>
      <c r="AL194" s="12"/>
      <c r="AM194" s="12"/>
      <c r="AN194" s="12"/>
      <c r="AO194" s="12"/>
      <c r="AP194" s="12"/>
    </row>
    <row r="195" spans="1:42" ht="15" x14ac:dyDescent="0.25">
      <c r="A195" s="82" t="str">
        <f>TDCTRIBE!I204</f>
        <v>Alaska</v>
      </c>
      <c r="B195" s="82" t="str">
        <f>TDCTRIBE!B204</f>
        <v>AK</v>
      </c>
      <c r="C195" s="82" t="str">
        <f>TDCTRIBE!F204</f>
        <v>Saxman</v>
      </c>
      <c r="D195" s="83">
        <f>TDCTRIBE!Y204</f>
        <v>465666.31849500001</v>
      </c>
      <c r="E195" s="83">
        <f>TDCTRIBE!Z204</f>
        <v>514428.62433899997</v>
      </c>
      <c r="F195" s="83">
        <f>TDCTRIBE!AA204</f>
        <v>581158.19019300013</v>
      </c>
      <c r="G195" s="83">
        <f>TDCTRIBE!AB204</f>
        <v>629926.37213100016</v>
      </c>
      <c r="H195" s="83">
        <f>TDCTRIBE!AC204</f>
        <v>679867.06659900001</v>
      </c>
      <c r="O195" s="9"/>
      <c r="P195" s="1"/>
      <c r="Q195" s="1"/>
      <c r="R195" s="1"/>
      <c r="S195" s="1"/>
      <c r="T195" s="1"/>
      <c r="U195" s="1"/>
      <c r="V195" s="9"/>
      <c r="W195" s="3"/>
      <c r="X195" s="4"/>
      <c r="Y195" s="1"/>
      <c r="Z195" s="1"/>
      <c r="AA195" s="1"/>
      <c r="AB195" s="1"/>
      <c r="AC195" s="1"/>
      <c r="AD195" s="3"/>
      <c r="AE195" s="3"/>
      <c r="AF195" s="5"/>
      <c r="AG195" s="5"/>
      <c r="AH195" s="5"/>
      <c r="AI195" s="5"/>
      <c r="AJ195" s="6"/>
      <c r="AK195" s="6"/>
      <c r="AL195" s="12"/>
      <c r="AM195" s="12"/>
      <c r="AN195" s="12"/>
      <c r="AO195" s="12"/>
      <c r="AP195" s="12"/>
    </row>
    <row r="196" spans="1:42" ht="15" x14ac:dyDescent="0.25">
      <c r="A196" s="82" t="str">
        <f>TDCTRIBE!I205</f>
        <v>Alaska</v>
      </c>
      <c r="B196" s="82" t="str">
        <f>TDCTRIBE!B205</f>
        <v>AK</v>
      </c>
      <c r="C196" s="82" t="str">
        <f>TDCTRIBE!F205</f>
        <v>Scammon Bay</v>
      </c>
      <c r="D196" s="83">
        <f>TDCTRIBE!Y205</f>
        <v>537627.23286300001</v>
      </c>
      <c r="E196" s="83">
        <f>TDCTRIBE!Z205</f>
        <v>593892.8539060998</v>
      </c>
      <c r="F196" s="83">
        <f>TDCTRIBE!AA205</f>
        <v>670883.01826070005</v>
      </c>
      <c r="G196" s="83">
        <f>TDCTRIBE!AB205</f>
        <v>727154.03193440009</v>
      </c>
      <c r="H196" s="83">
        <f>TDCTRIBE!AC205</f>
        <v>784795.42359260004</v>
      </c>
      <c r="O196" s="9"/>
      <c r="P196" s="1"/>
      <c r="Q196" s="1"/>
      <c r="R196" s="1"/>
      <c r="S196" s="1"/>
      <c r="T196" s="1"/>
      <c r="U196" s="1"/>
      <c r="V196" s="9"/>
      <c r="W196" s="3"/>
      <c r="X196" s="4"/>
      <c r="Y196" s="1"/>
      <c r="Z196" s="1"/>
      <c r="AA196" s="1"/>
      <c r="AB196" s="1"/>
      <c r="AC196" s="1"/>
      <c r="AD196" s="3"/>
      <c r="AE196" s="3"/>
      <c r="AF196" s="5"/>
      <c r="AG196" s="5"/>
      <c r="AH196" s="5"/>
      <c r="AI196" s="5"/>
      <c r="AJ196" s="6"/>
      <c r="AK196" s="6"/>
      <c r="AL196" s="12"/>
      <c r="AM196" s="12"/>
      <c r="AN196" s="12"/>
      <c r="AO196" s="12"/>
      <c r="AP196" s="12"/>
    </row>
    <row r="197" spans="1:42" ht="15" x14ac:dyDescent="0.25">
      <c r="A197" s="82" t="str">
        <f>TDCTRIBE!I206</f>
        <v>Alaska</v>
      </c>
      <c r="B197" s="82" t="str">
        <f>TDCTRIBE!B206</f>
        <v>AK</v>
      </c>
      <c r="C197" s="82" t="str">
        <f>TDCTRIBE!F206</f>
        <v>Selawik</v>
      </c>
      <c r="D197" s="83">
        <f>TDCTRIBE!Y206</f>
        <v>537627.23286300001</v>
      </c>
      <c r="E197" s="83">
        <f>TDCTRIBE!Z206</f>
        <v>593892.8539060998</v>
      </c>
      <c r="F197" s="83">
        <f>TDCTRIBE!AA206</f>
        <v>670883.01826070005</v>
      </c>
      <c r="G197" s="83">
        <f>TDCTRIBE!AB206</f>
        <v>727154.03193440009</v>
      </c>
      <c r="H197" s="83">
        <f>TDCTRIBE!AC206</f>
        <v>784795.42359260004</v>
      </c>
      <c r="O197" s="9"/>
      <c r="P197" s="1"/>
      <c r="Q197" s="1"/>
      <c r="R197" s="1"/>
      <c r="S197" s="1"/>
      <c r="T197" s="1"/>
      <c r="U197" s="1"/>
      <c r="V197" s="9"/>
      <c r="W197" s="3"/>
      <c r="X197" s="4"/>
      <c r="Y197" s="1"/>
      <c r="Z197" s="1"/>
      <c r="AA197" s="1"/>
      <c r="AB197" s="1"/>
      <c r="AC197" s="1"/>
      <c r="AD197" s="3"/>
      <c r="AE197" s="3"/>
      <c r="AF197" s="5"/>
      <c r="AG197" s="5"/>
      <c r="AH197" s="5"/>
      <c r="AI197" s="5"/>
      <c r="AJ197" s="6"/>
      <c r="AK197" s="6"/>
      <c r="AL197" s="12"/>
      <c r="AM197" s="12"/>
      <c r="AN197" s="12"/>
      <c r="AO197" s="12"/>
      <c r="AP197" s="12"/>
    </row>
    <row r="198" spans="1:42" ht="15" x14ac:dyDescent="0.25">
      <c r="A198" s="82" t="str">
        <f>TDCTRIBE!I207</f>
        <v>Alaska</v>
      </c>
      <c r="B198" s="82" t="str">
        <f>TDCTRIBE!B207</f>
        <v>AK</v>
      </c>
      <c r="C198" s="82" t="str">
        <f>TDCTRIBE!F207</f>
        <v>Seldovia</v>
      </c>
      <c r="D198" s="83">
        <f>TDCTRIBE!Y207</f>
        <v>465666.31849500001</v>
      </c>
      <c r="E198" s="83">
        <f>TDCTRIBE!Z207</f>
        <v>514428.62433899997</v>
      </c>
      <c r="F198" s="83">
        <f>TDCTRIBE!AA207</f>
        <v>581158.19019300013</v>
      </c>
      <c r="G198" s="83">
        <f>TDCTRIBE!AB207</f>
        <v>629926.37213100016</v>
      </c>
      <c r="H198" s="83">
        <f>TDCTRIBE!AC207</f>
        <v>679867.06659900001</v>
      </c>
      <c r="O198" s="9"/>
      <c r="P198" s="1"/>
      <c r="Q198" s="1"/>
      <c r="R198" s="1"/>
      <c r="S198" s="1"/>
      <c r="T198" s="1"/>
      <c r="U198" s="1"/>
      <c r="V198" s="9"/>
      <c r="W198" s="3"/>
      <c r="X198" s="4"/>
      <c r="Y198" s="1"/>
      <c r="Z198" s="1"/>
      <c r="AA198" s="1"/>
      <c r="AB198" s="1"/>
      <c r="AC198" s="1"/>
      <c r="AD198" s="3"/>
      <c r="AE198" s="3"/>
      <c r="AF198" s="5"/>
      <c r="AG198" s="5"/>
      <c r="AH198" s="5"/>
      <c r="AI198" s="5"/>
      <c r="AJ198" s="6"/>
      <c r="AK198" s="6"/>
      <c r="AL198" s="12"/>
      <c r="AM198" s="12"/>
      <c r="AN198" s="12"/>
      <c r="AO198" s="12"/>
      <c r="AP198" s="12"/>
    </row>
    <row r="199" spans="1:42" ht="15" x14ac:dyDescent="0.25">
      <c r="A199" s="82" t="str">
        <f>TDCTRIBE!I208</f>
        <v>Alaska</v>
      </c>
      <c r="B199" s="82" t="str">
        <f>TDCTRIBE!B208</f>
        <v>AK</v>
      </c>
      <c r="C199" s="82" t="str">
        <f>TDCTRIBE!F208</f>
        <v>Shageluk</v>
      </c>
      <c r="D199" s="83">
        <f>TDCTRIBE!Y208</f>
        <v>537627.23286300001</v>
      </c>
      <c r="E199" s="83">
        <f>TDCTRIBE!Z208</f>
        <v>593892.8539060998</v>
      </c>
      <c r="F199" s="83">
        <f>TDCTRIBE!AA208</f>
        <v>670883.01826070005</v>
      </c>
      <c r="G199" s="83">
        <f>TDCTRIBE!AB208</f>
        <v>727154.03193440009</v>
      </c>
      <c r="H199" s="83">
        <f>TDCTRIBE!AC208</f>
        <v>784795.42359260004</v>
      </c>
      <c r="O199" s="9"/>
      <c r="P199" s="1"/>
      <c r="Q199" s="1"/>
      <c r="R199" s="1"/>
      <c r="S199" s="1"/>
      <c r="T199" s="1"/>
      <c r="U199" s="1"/>
      <c r="V199" s="9"/>
      <c r="W199" s="3"/>
      <c r="X199" s="4"/>
      <c r="Y199" s="1"/>
      <c r="Z199" s="1"/>
      <c r="AA199" s="1"/>
      <c r="AB199" s="1"/>
      <c r="AC199" s="1"/>
      <c r="AD199" s="3"/>
      <c r="AE199" s="3"/>
      <c r="AF199" s="5"/>
      <c r="AG199" s="5"/>
      <c r="AH199" s="5"/>
      <c r="AI199" s="5"/>
      <c r="AJ199" s="6"/>
      <c r="AK199" s="6"/>
      <c r="AL199" s="12"/>
      <c r="AM199" s="12"/>
      <c r="AN199" s="12"/>
      <c r="AO199" s="12"/>
      <c r="AP199" s="12"/>
    </row>
    <row r="200" spans="1:42" ht="15" x14ac:dyDescent="0.25">
      <c r="A200" s="82" t="str">
        <f>TDCTRIBE!I209</f>
        <v>Alaska</v>
      </c>
      <c r="B200" s="82" t="str">
        <f>TDCTRIBE!B209</f>
        <v>AK</v>
      </c>
      <c r="C200" s="82" t="str">
        <f>TDCTRIBE!F209</f>
        <v>Shaktoolik</v>
      </c>
      <c r="D200" s="83">
        <f>TDCTRIBE!Y209</f>
        <v>537627.23286300001</v>
      </c>
      <c r="E200" s="83">
        <f>TDCTRIBE!Z209</f>
        <v>593892.8539060998</v>
      </c>
      <c r="F200" s="83">
        <f>TDCTRIBE!AA209</f>
        <v>670883.01826070005</v>
      </c>
      <c r="G200" s="83">
        <f>TDCTRIBE!AB209</f>
        <v>727154.03193440009</v>
      </c>
      <c r="H200" s="83">
        <f>TDCTRIBE!AC209</f>
        <v>784795.42359260004</v>
      </c>
      <c r="O200" s="9"/>
      <c r="P200" s="1"/>
      <c r="Q200" s="1"/>
      <c r="R200" s="1"/>
      <c r="S200" s="1"/>
      <c r="T200" s="1"/>
      <c r="U200" s="1"/>
      <c r="V200" s="9"/>
      <c r="W200" s="3"/>
      <c r="X200" s="4"/>
      <c r="Y200" s="1"/>
      <c r="Z200" s="1"/>
      <c r="AA200" s="1"/>
      <c r="AB200" s="1"/>
      <c r="AC200" s="1"/>
      <c r="AD200" s="3"/>
      <c r="AE200" s="3"/>
      <c r="AF200" s="5"/>
      <c r="AG200" s="5"/>
      <c r="AH200" s="5"/>
      <c r="AI200" s="5"/>
      <c r="AJ200" s="6"/>
      <c r="AK200" s="6"/>
      <c r="AL200" s="12"/>
      <c r="AM200" s="12"/>
      <c r="AN200" s="12"/>
      <c r="AO200" s="12"/>
      <c r="AP200" s="12"/>
    </row>
    <row r="201" spans="1:42" ht="15" x14ac:dyDescent="0.25">
      <c r="A201" s="82" t="str">
        <f>TDCTRIBE!I210</f>
        <v>Alaska</v>
      </c>
      <c r="B201" s="82" t="str">
        <f>TDCTRIBE!B210</f>
        <v>AK</v>
      </c>
      <c r="C201" s="82" t="str">
        <f>TDCTRIBE!F210</f>
        <v>Sheldon's Point</v>
      </c>
      <c r="D201" s="83">
        <f>TDCTRIBE!Y210</f>
        <v>537627.23286300001</v>
      </c>
      <c r="E201" s="83">
        <f>TDCTRIBE!Z210</f>
        <v>593892.8539060998</v>
      </c>
      <c r="F201" s="83">
        <f>TDCTRIBE!AA210</f>
        <v>670883.01826070005</v>
      </c>
      <c r="G201" s="83">
        <f>TDCTRIBE!AB210</f>
        <v>727154.03193440009</v>
      </c>
      <c r="H201" s="83">
        <f>TDCTRIBE!AC210</f>
        <v>784795.42359260004</v>
      </c>
      <c r="O201" s="9"/>
      <c r="P201" s="1"/>
      <c r="Q201" s="1"/>
      <c r="R201" s="1"/>
      <c r="S201" s="1"/>
      <c r="T201" s="1"/>
      <c r="U201" s="1"/>
      <c r="V201" s="9"/>
      <c r="W201" s="3"/>
      <c r="X201" s="4"/>
      <c r="Y201" s="1"/>
      <c r="Z201" s="1"/>
      <c r="AA201" s="1"/>
      <c r="AB201" s="1"/>
      <c r="AC201" s="1"/>
      <c r="AD201" s="3"/>
      <c r="AE201" s="3"/>
      <c r="AF201" s="5"/>
      <c r="AG201" s="5"/>
      <c r="AH201" s="5"/>
      <c r="AI201" s="5"/>
      <c r="AJ201" s="6"/>
      <c r="AK201" s="6"/>
      <c r="AL201" s="12"/>
      <c r="AM201" s="12"/>
      <c r="AN201" s="12"/>
      <c r="AO201" s="12"/>
      <c r="AP201" s="12"/>
    </row>
    <row r="202" spans="1:42" ht="15" x14ac:dyDescent="0.25">
      <c r="A202" s="82" t="str">
        <f>TDCTRIBE!I211</f>
        <v>Alaska</v>
      </c>
      <c r="B202" s="82" t="str">
        <f>TDCTRIBE!B211</f>
        <v>AK</v>
      </c>
      <c r="C202" s="82" t="str">
        <f>TDCTRIBE!F211</f>
        <v>Shishmaref</v>
      </c>
      <c r="D202" s="83">
        <f>TDCTRIBE!Y211</f>
        <v>537627.23286300001</v>
      </c>
      <c r="E202" s="83">
        <f>TDCTRIBE!Z211</f>
        <v>593892.8539060998</v>
      </c>
      <c r="F202" s="83">
        <f>TDCTRIBE!AA211</f>
        <v>670883.01826070005</v>
      </c>
      <c r="G202" s="83">
        <f>TDCTRIBE!AB211</f>
        <v>727154.03193440009</v>
      </c>
      <c r="H202" s="83">
        <f>TDCTRIBE!AC211</f>
        <v>784795.42359260004</v>
      </c>
      <c r="O202" s="9"/>
      <c r="P202" s="1"/>
      <c r="Q202" s="1"/>
      <c r="R202" s="1"/>
      <c r="S202" s="1"/>
      <c r="T202" s="1"/>
      <c r="U202" s="1"/>
      <c r="V202" s="9"/>
      <c r="W202" s="3"/>
      <c r="X202" s="4"/>
      <c r="Y202" s="1"/>
      <c r="Z202" s="1"/>
      <c r="AA202" s="1"/>
      <c r="AB202" s="1"/>
      <c r="AC202" s="1"/>
      <c r="AD202" s="3"/>
      <c r="AE202" s="3"/>
      <c r="AF202" s="5"/>
      <c r="AG202" s="5"/>
      <c r="AH202" s="5"/>
      <c r="AI202" s="5"/>
      <c r="AJ202" s="6"/>
      <c r="AK202" s="6"/>
      <c r="AL202" s="12"/>
      <c r="AM202" s="12"/>
      <c r="AN202" s="12"/>
      <c r="AO202" s="12"/>
      <c r="AP202" s="12"/>
    </row>
    <row r="203" spans="1:42" ht="15" x14ac:dyDescent="0.25">
      <c r="A203" s="82" t="str">
        <f>TDCTRIBE!I212</f>
        <v>Alaska</v>
      </c>
      <c r="B203" s="82" t="str">
        <f>TDCTRIBE!B212</f>
        <v>AK</v>
      </c>
      <c r="C203" s="82" t="str">
        <f>TDCTRIBE!F212</f>
        <v>Sun'aq Tribe of Kodiak</v>
      </c>
      <c r="D203" s="83">
        <f>TDCTRIBE!Y212</f>
        <v>465666.31849500001</v>
      </c>
      <c r="E203" s="83">
        <f>TDCTRIBE!Z212</f>
        <v>514428.62433899997</v>
      </c>
      <c r="F203" s="83">
        <f>TDCTRIBE!AA212</f>
        <v>581158.19019300013</v>
      </c>
      <c r="G203" s="83">
        <f>TDCTRIBE!AB212</f>
        <v>629926.37213100016</v>
      </c>
      <c r="H203" s="83">
        <f>TDCTRIBE!AC212</f>
        <v>679867.06659900001</v>
      </c>
      <c r="O203" s="9"/>
      <c r="P203" s="1"/>
      <c r="Q203" s="1"/>
      <c r="R203" s="1"/>
      <c r="S203" s="1"/>
      <c r="T203" s="1"/>
      <c r="U203" s="1"/>
      <c r="V203" s="9"/>
      <c r="W203" s="3"/>
      <c r="X203" s="4"/>
      <c r="Y203" s="1"/>
      <c r="Z203" s="1"/>
      <c r="AA203" s="1"/>
      <c r="AB203" s="1"/>
      <c r="AC203" s="1"/>
      <c r="AD203" s="3"/>
      <c r="AE203" s="3"/>
      <c r="AF203" s="5"/>
      <c r="AG203" s="5"/>
      <c r="AH203" s="5"/>
      <c r="AI203" s="5"/>
      <c r="AJ203" s="6"/>
      <c r="AK203" s="6"/>
      <c r="AL203" s="12"/>
      <c r="AM203" s="12"/>
      <c r="AN203" s="12"/>
      <c r="AO203" s="12"/>
      <c r="AP203" s="12"/>
    </row>
    <row r="204" spans="1:42" ht="15" x14ac:dyDescent="0.25">
      <c r="A204" s="82" t="str">
        <f>TDCTRIBE!I213</f>
        <v>Alaska</v>
      </c>
      <c r="B204" s="82" t="str">
        <f>TDCTRIBE!B213</f>
        <v>AK</v>
      </c>
      <c r="C204" s="82" t="str">
        <f>TDCTRIBE!F213</f>
        <v>Shungnak</v>
      </c>
      <c r="D204" s="83">
        <f>TDCTRIBE!Y213</f>
        <v>573912.50187599997</v>
      </c>
      <c r="E204" s="83">
        <f>TDCTRIBE!Z213</f>
        <v>633906.89508719998</v>
      </c>
      <c r="F204" s="83">
        <f>TDCTRIBE!AA213</f>
        <v>715983.34034640016</v>
      </c>
      <c r="G204" s="83">
        <f>TDCTRIBE!AB213</f>
        <v>775980.51116880018</v>
      </c>
      <c r="H204" s="83">
        <f>TDCTRIBE!AC213</f>
        <v>837476.24333520012</v>
      </c>
      <c r="O204" s="9"/>
      <c r="P204" s="1"/>
      <c r="Q204" s="1"/>
      <c r="R204" s="1"/>
      <c r="S204" s="1"/>
      <c r="T204" s="1"/>
      <c r="U204" s="1"/>
      <c r="V204" s="9"/>
      <c r="W204" s="3"/>
      <c r="X204" s="4"/>
      <c r="Y204" s="1"/>
      <c r="Z204" s="1"/>
      <c r="AA204" s="1"/>
      <c r="AB204" s="1"/>
      <c r="AC204" s="1"/>
      <c r="AD204" s="3"/>
      <c r="AE204" s="3"/>
      <c r="AF204" s="5"/>
      <c r="AG204" s="5"/>
      <c r="AH204" s="5"/>
      <c r="AI204" s="5"/>
      <c r="AJ204" s="6"/>
      <c r="AK204" s="6"/>
      <c r="AL204" s="12"/>
      <c r="AM204" s="12"/>
      <c r="AN204" s="12"/>
      <c r="AO204" s="12"/>
      <c r="AP204" s="12"/>
    </row>
    <row r="205" spans="1:42" ht="15" x14ac:dyDescent="0.25">
      <c r="A205" s="82" t="str">
        <f>TDCTRIBE!I214</f>
        <v>Alaska</v>
      </c>
      <c r="B205" s="82" t="str">
        <f>TDCTRIBE!B214</f>
        <v>AK</v>
      </c>
      <c r="C205" s="82" t="str">
        <f>TDCTRIBE!F214</f>
        <v>Sitka (Baranof Island HA)</v>
      </c>
      <c r="D205" s="83">
        <f>TDCTRIBE!Y214</f>
        <v>465666.31849500001</v>
      </c>
      <c r="E205" s="83">
        <f>TDCTRIBE!Z214</f>
        <v>514428.62433899997</v>
      </c>
      <c r="F205" s="83">
        <f>TDCTRIBE!AA214</f>
        <v>581158.19019300013</v>
      </c>
      <c r="G205" s="83">
        <f>TDCTRIBE!AB214</f>
        <v>629926.37213100016</v>
      </c>
      <c r="H205" s="83">
        <f>TDCTRIBE!AC214</f>
        <v>679867.06659900001</v>
      </c>
      <c r="O205" s="9"/>
      <c r="P205" s="1"/>
      <c r="Q205" s="1"/>
      <c r="R205" s="1"/>
      <c r="S205" s="1"/>
      <c r="T205" s="1"/>
      <c r="U205" s="1"/>
      <c r="V205" s="9"/>
      <c r="W205" s="3"/>
      <c r="X205" s="4"/>
      <c r="Y205" s="1"/>
      <c r="Z205" s="1"/>
      <c r="AA205" s="1"/>
      <c r="AB205" s="1"/>
      <c r="AC205" s="1"/>
      <c r="AD205" s="3"/>
      <c r="AE205" s="3"/>
      <c r="AF205" s="5"/>
      <c r="AG205" s="5"/>
      <c r="AH205" s="5"/>
      <c r="AI205" s="5"/>
      <c r="AJ205" s="6"/>
      <c r="AK205" s="6"/>
      <c r="AL205" s="12"/>
      <c r="AM205" s="12"/>
      <c r="AN205" s="12"/>
      <c r="AO205" s="12"/>
      <c r="AP205" s="12"/>
    </row>
    <row r="206" spans="1:42" ht="15" x14ac:dyDescent="0.25">
      <c r="A206" s="82" t="str">
        <f>TDCTRIBE!I215</f>
        <v>Alaska</v>
      </c>
      <c r="B206" s="82" t="str">
        <f>TDCTRIBE!B215</f>
        <v>AK</v>
      </c>
      <c r="C206" s="82" t="str">
        <f>TDCTRIBE!F215</f>
        <v>Skagway</v>
      </c>
      <c r="D206" s="83">
        <f>TDCTRIBE!Y215</f>
        <v>465666.31849500001</v>
      </c>
      <c r="E206" s="83">
        <f>TDCTRIBE!Z215</f>
        <v>514428.62433899997</v>
      </c>
      <c r="F206" s="83">
        <f>TDCTRIBE!AA215</f>
        <v>581158.19019300013</v>
      </c>
      <c r="G206" s="83">
        <f>TDCTRIBE!AB215</f>
        <v>629926.37213100016</v>
      </c>
      <c r="H206" s="83">
        <f>TDCTRIBE!AC215</f>
        <v>679867.06659900001</v>
      </c>
      <c r="O206" s="9"/>
      <c r="P206" s="1"/>
      <c r="Q206" s="1"/>
      <c r="R206" s="1"/>
      <c r="S206" s="1"/>
      <c r="T206" s="1"/>
      <c r="U206" s="1"/>
      <c r="V206" s="9"/>
      <c r="W206" s="3"/>
      <c r="X206" s="4"/>
      <c r="Y206" s="1"/>
      <c r="Z206" s="1"/>
      <c r="AA206" s="1"/>
      <c r="AB206" s="1"/>
      <c r="AC206" s="1"/>
      <c r="AD206" s="3"/>
      <c r="AE206" s="3"/>
      <c r="AF206" s="5"/>
      <c r="AG206" s="5"/>
      <c r="AH206" s="5"/>
      <c r="AI206" s="5"/>
      <c r="AJ206" s="6"/>
      <c r="AK206" s="6"/>
      <c r="AL206" s="12"/>
      <c r="AM206" s="12"/>
      <c r="AN206" s="12"/>
      <c r="AO206" s="12"/>
      <c r="AP206" s="12"/>
    </row>
    <row r="207" spans="1:42" ht="15" x14ac:dyDescent="0.25">
      <c r="A207" s="82" t="str">
        <f>TDCTRIBE!I216</f>
        <v>Alaska</v>
      </c>
      <c r="B207" s="82" t="str">
        <f>TDCTRIBE!B216</f>
        <v>AK</v>
      </c>
      <c r="C207" s="82" t="str">
        <f>TDCTRIBE!F216</f>
        <v>Sleetmute</v>
      </c>
      <c r="D207" s="83">
        <f>TDCTRIBE!Y216</f>
        <v>537627.23286300001</v>
      </c>
      <c r="E207" s="83">
        <f>TDCTRIBE!Z216</f>
        <v>593892.8539060998</v>
      </c>
      <c r="F207" s="83">
        <f>TDCTRIBE!AA216</f>
        <v>670883.01826070005</v>
      </c>
      <c r="G207" s="83">
        <f>TDCTRIBE!AB216</f>
        <v>727154.03193440009</v>
      </c>
      <c r="H207" s="83">
        <f>TDCTRIBE!AC216</f>
        <v>784795.42359260004</v>
      </c>
      <c r="O207" s="9"/>
      <c r="P207" s="1"/>
      <c r="Q207" s="1"/>
      <c r="R207" s="1"/>
      <c r="S207" s="1"/>
      <c r="T207" s="1"/>
      <c r="U207" s="1"/>
      <c r="V207" s="9"/>
      <c r="W207" s="3"/>
      <c r="X207" s="4"/>
      <c r="Y207" s="1"/>
      <c r="Z207" s="1"/>
      <c r="AA207" s="1"/>
      <c r="AB207" s="1"/>
      <c r="AC207" s="1"/>
      <c r="AD207" s="3"/>
      <c r="AE207" s="3"/>
      <c r="AF207" s="5"/>
      <c r="AG207" s="5"/>
      <c r="AH207" s="5"/>
      <c r="AI207" s="5"/>
      <c r="AJ207" s="6"/>
      <c r="AK207" s="6"/>
      <c r="AL207" s="12"/>
      <c r="AM207" s="12"/>
      <c r="AN207" s="12"/>
      <c r="AO207" s="12"/>
      <c r="AP207" s="12"/>
    </row>
    <row r="208" spans="1:42" ht="15" x14ac:dyDescent="0.25">
      <c r="A208" s="82" t="str">
        <f>TDCTRIBE!I217</f>
        <v>Alaska</v>
      </c>
      <c r="B208" s="82" t="str">
        <f>TDCTRIBE!B217</f>
        <v>AK</v>
      </c>
      <c r="C208" s="82" t="str">
        <f>TDCTRIBE!F217</f>
        <v>Solomon</v>
      </c>
      <c r="D208" s="83">
        <f>TDCTRIBE!Y217</f>
        <v>537627.23286300001</v>
      </c>
      <c r="E208" s="83">
        <f>TDCTRIBE!Z217</f>
        <v>593892.8539060998</v>
      </c>
      <c r="F208" s="83">
        <f>TDCTRIBE!AA217</f>
        <v>670883.01826070005</v>
      </c>
      <c r="G208" s="83">
        <f>TDCTRIBE!AB217</f>
        <v>727154.03193440009</v>
      </c>
      <c r="H208" s="83">
        <f>TDCTRIBE!AC217</f>
        <v>784795.42359260004</v>
      </c>
      <c r="O208" s="9"/>
      <c r="P208" s="1"/>
      <c r="Q208" s="1"/>
      <c r="R208" s="1"/>
      <c r="S208" s="1"/>
      <c r="T208" s="1"/>
      <c r="U208" s="1"/>
      <c r="V208" s="9"/>
      <c r="W208" s="3"/>
      <c r="X208" s="4"/>
      <c r="Y208" s="1"/>
      <c r="Z208" s="1"/>
      <c r="AA208" s="1"/>
      <c r="AB208" s="1"/>
      <c r="AC208" s="1"/>
      <c r="AD208" s="3"/>
      <c r="AE208" s="3"/>
      <c r="AF208" s="5"/>
      <c r="AG208" s="5"/>
      <c r="AH208" s="5"/>
      <c r="AI208" s="5"/>
      <c r="AJ208" s="6"/>
      <c r="AK208" s="6"/>
      <c r="AL208" s="12"/>
      <c r="AM208" s="12"/>
      <c r="AN208" s="12"/>
      <c r="AO208" s="12"/>
      <c r="AP208" s="12"/>
    </row>
    <row r="209" spans="1:42" ht="15" x14ac:dyDescent="0.25">
      <c r="A209" s="82" t="str">
        <f>TDCTRIBE!I218</f>
        <v>Alaska</v>
      </c>
      <c r="B209" s="82" t="str">
        <f>TDCTRIBE!B218</f>
        <v>AK</v>
      </c>
      <c r="C209" s="82" t="str">
        <f>TDCTRIBE!F218</f>
        <v>South Naknek</v>
      </c>
      <c r="D209" s="83">
        <f>TDCTRIBE!Y218</f>
        <v>537627.23286300001</v>
      </c>
      <c r="E209" s="83">
        <f>TDCTRIBE!Z218</f>
        <v>593892.8539060998</v>
      </c>
      <c r="F209" s="83">
        <f>TDCTRIBE!AA218</f>
        <v>670883.01826070005</v>
      </c>
      <c r="G209" s="83">
        <f>TDCTRIBE!AB218</f>
        <v>727154.03193440009</v>
      </c>
      <c r="H209" s="83">
        <f>TDCTRIBE!AC218</f>
        <v>784795.42359260004</v>
      </c>
      <c r="O209" s="9"/>
      <c r="P209" s="1"/>
      <c r="Q209" s="1"/>
      <c r="R209" s="1"/>
      <c r="S209" s="1"/>
      <c r="T209" s="1"/>
      <c r="U209" s="1"/>
      <c r="V209" s="9"/>
      <c r="W209" s="3"/>
      <c r="X209" s="4"/>
      <c r="Y209" s="1"/>
      <c r="Z209" s="1"/>
      <c r="AA209" s="1"/>
      <c r="AB209" s="1"/>
      <c r="AC209" s="1"/>
      <c r="AD209" s="3"/>
      <c r="AE209" s="3"/>
      <c r="AF209" s="5"/>
      <c r="AG209" s="5"/>
      <c r="AH209" s="5"/>
      <c r="AI209" s="5"/>
      <c r="AJ209" s="6"/>
      <c r="AK209" s="6"/>
      <c r="AL209" s="12"/>
      <c r="AM209" s="12"/>
      <c r="AN209" s="12"/>
      <c r="AO209" s="12"/>
      <c r="AP209" s="12"/>
    </row>
    <row r="210" spans="1:42" ht="15" x14ac:dyDescent="0.25">
      <c r="A210" s="82" t="str">
        <f>TDCTRIBE!I219</f>
        <v>Alaska</v>
      </c>
      <c r="B210" s="82" t="str">
        <f>TDCTRIBE!B219</f>
        <v>AK</v>
      </c>
      <c r="C210" s="82" t="str">
        <f>TDCTRIBE!F219</f>
        <v>Stebbins</v>
      </c>
      <c r="D210" s="83">
        <f>TDCTRIBE!Y219</f>
        <v>537627.23286300001</v>
      </c>
      <c r="E210" s="83">
        <f>TDCTRIBE!Z219</f>
        <v>593892.8539060998</v>
      </c>
      <c r="F210" s="83">
        <f>TDCTRIBE!AA219</f>
        <v>670883.01826070005</v>
      </c>
      <c r="G210" s="83">
        <f>TDCTRIBE!AB219</f>
        <v>727154.03193440009</v>
      </c>
      <c r="H210" s="83">
        <f>TDCTRIBE!AC219</f>
        <v>784795.42359260004</v>
      </c>
      <c r="O210" s="9"/>
      <c r="P210" s="1"/>
      <c r="Q210" s="1"/>
      <c r="R210" s="1"/>
      <c r="S210" s="1"/>
      <c r="T210" s="1"/>
      <c r="U210" s="1"/>
      <c r="V210" s="9"/>
      <c r="W210" s="3"/>
      <c r="X210" s="4"/>
      <c r="Y210" s="1"/>
      <c r="Z210" s="1"/>
      <c r="AA210" s="1"/>
      <c r="AB210" s="1"/>
      <c r="AC210" s="1"/>
      <c r="AD210" s="3"/>
      <c r="AE210" s="3"/>
      <c r="AF210" s="5"/>
      <c r="AG210" s="5"/>
      <c r="AH210" s="5"/>
      <c r="AI210" s="5"/>
      <c r="AJ210" s="6"/>
      <c r="AK210" s="6"/>
      <c r="AL210" s="12"/>
      <c r="AM210" s="12"/>
      <c r="AN210" s="12"/>
      <c r="AO210" s="12"/>
      <c r="AP210" s="12"/>
    </row>
    <row r="211" spans="1:42" ht="15" x14ac:dyDescent="0.25">
      <c r="A211" s="82" t="str">
        <f>TDCTRIBE!I220</f>
        <v>Alaska</v>
      </c>
      <c r="B211" s="82" t="str">
        <f>TDCTRIBE!B220</f>
        <v>AK</v>
      </c>
      <c r="C211" s="82" t="str">
        <f>TDCTRIBE!F220</f>
        <v>Stevens</v>
      </c>
      <c r="D211" s="83">
        <f>TDCTRIBE!Y220</f>
        <v>537627.23286300001</v>
      </c>
      <c r="E211" s="83">
        <f>TDCTRIBE!Z220</f>
        <v>593892.8539060998</v>
      </c>
      <c r="F211" s="83">
        <f>TDCTRIBE!AA220</f>
        <v>670883.01826070005</v>
      </c>
      <c r="G211" s="83">
        <f>TDCTRIBE!AB220</f>
        <v>727154.03193440009</v>
      </c>
      <c r="H211" s="83">
        <f>TDCTRIBE!AC220</f>
        <v>784795.42359260004</v>
      </c>
      <c r="O211" s="9"/>
      <c r="P211" s="1"/>
      <c r="Q211" s="1"/>
      <c r="R211" s="1"/>
      <c r="S211" s="1"/>
      <c r="T211" s="1"/>
      <c r="U211" s="1"/>
      <c r="V211" s="9"/>
      <c r="W211" s="3"/>
      <c r="X211" s="4"/>
      <c r="Y211" s="1"/>
      <c r="Z211" s="1"/>
      <c r="AA211" s="1"/>
      <c r="AB211" s="1"/>
      <c r="AC211" s="1"/>
      <c r="AD211" s="3"/>
      <c r="AE211" s="3"/>
      <c r="AF211" s="5"/>
      <c r="AG211" s="5"/>
      <c r="AH211" s="5"/>
      <c r="AI211" s="5"/>
      <c r="AJ211" s="6"/>
      <c r="AK211" s="6"/>
      <c r="AL211" s="12"/>
      <c r="AM211" s="12"/>
      <c r="AN211" s="12"/>
      <c r="AO211" s="12"/>
      <c r="AP211" s="12"/>
    </row>
    <row r="212" spans="1:42" ht="15" x14ac:dyDescent="0.25">
      <c r="A212" s="82" t="str">
        <f>TDCTRIBE!I221</f>
        <v>Alaska</v>
      </c>
      <c r="B212" s="82" t="str">
        <f>TDCTRIBE!B221</f>
        <v>AK</v>
      </c>
      <c r="C212" s="82" t="str">
        <f>TDCTRIBE!F221</f>
        <v>Stoney River</v>
      </c>
      <c r="D212" s="83">
        <f>TDCTRIBE!Y221</f>
        <v>573912.50187599997</v>
      </c>
      <c r="E212" s="83">
        <f>TDCTRIBE!Z221</f>
        <v>633906.89508719998</v>
      </c>
      <c r="F212" s="83">
        <f>TDCTRIBE!AA221</f>
        <v>715983.34034640016</v>
      </c>
      <c r="G212" s="83">
        <f>TDCTRIBE!AB221</f>
        <v>775980.51116880018</v>
      </c>
      <c r="H212" s="83">
        <f>TDCTRIBE!AC221</f>
        <v>837476.24333520012</v>
      </c>
      <c r="O212" s="9"/>
      <c r="P212" s="1"/>
      <c r="Q212" s="1"/>
      <c r="R212" s="1"/>
      <c r="S212" s="1"/>
      <c r="T212" s="1"/>
      <c r="U212" s="1"/>
      <c r="V212" s="9"/>
      <c r="W212" s="3"/>
      <c r="X212" s="4"/>
      <c r="Y212" s="1"/>
      <c r="Z212" s="1"/>
      <c r="AA212" s="1"/>
      <c r="AB212" s="1"/>
      <c r="AC212" s="1"/>
      <c r="AD212" s="3"/>
      <c r="AE212" s="3"/>
      <c r="AF212" s="5"/>
      <c r="AG212" s="5"/>
      <c r="AH212" s="5"/>
      <c r="AI212" s="5"/>
      <c r="AJ212" s="6"/>
      <c r="AK212" s="6"/>
      <c r="AL212" s="12"/>
      <c r="AM212" s="12"/>
      <c r="AN212" s="12"/>
      <c r="AO212" s="12"/>
      <c r="AP212" s="12"/>
    </row>
    <row r="213" spans="1:42" ht="15" x14ac:dyDescent="0.25">
      <c r="A213" s="82" t="str">
        <f>TDCTRIBE!I222</f>
        <v>Alaska</v>
      </c>
      <c r="B213" s="82" t="str">
        <f>TDCTRIBE!B222</f>
        <v>AK</v>
      </c>
      <c r="C213" s="82" t="str">
        <f>TDCTRIBE!F222</f>
        <v>Takotna</v>
      </c>
      <c r="D213" s="83">
        <f>TDCTRIBE!Y222</f>
        <v>573912.50187599997</v>
      </c>
      <c r="E213" s="83">
        <f>TDCTRIBE!Z222</f>
        <v>633906.89508719998</v>
      </c>
      <c r="F213" s="83">
        <f>TDCTRIBE!AA222</f>
        <v>715983.34034640016</v>
      </c>
      <c r="G213" s="83">
        <f>TDCTRIBE!AB222</f>
        <v>775980.51116880018</v>
      </c>
      <c r="H213" s="83">
        <f>TDCTRIBE!AC222</f>
        <v>837476.24333520012</v>
      </c>
      <c r="O213" s="9"/>
      <c r="P213" s="1"/>
      <c r="Q213" s="1"/>
      <c r="R213" s="1"/>
      <c r="S213" s="1"/>
      <c r="T213" s="1"/>
      <c r="U213" s="1"/>
      <c r="V213" s="9"/>
      <c r="W213" s="3"/>
      <c r="X213" s="4"/>
      <c r="Y213" s="1"/>
      <c r="Z213" s="1"/>
      <c r="AA213" s="1"/>
      <c r="AB213" s="1"/>
      <c r="AC213" s="1"/>
      <c r="AD213" s="3"/>
      <c r="AE213" s="3"/>
      <c r="AF213" s="5"/>
      <c r="AG213" s="5"/>
      <c r="AH213" s="5"/>
      <c r="AI213" s="5"/>
      <c r="AJ213" s="6"/>
      <c r="AK213" s="6"/>
      <c r="AL213" s="12"/>
      <c r="AM213" s="12"/>
      <c r="AN213" s="12"/>
      <c r="AO213" s="12"/>
      <c r="AP213" s="12"/>
    </row>
    <row r="214" spans="1:42" ht="15" x14ac:dyDescent="0.25">
      <c r="A214" s="82" t="str">
        <f>TDCTRIBE!I223</f>
        <v>Alaska</v>
      </c>
      <c r="B214" s="82" t="str">
        <f>TDCTRIBE!B223</f>
        <v>AK</v>
      </c>
      <c r="C214" s="82" t="str">
        <f>TDCTRIBE!F223</f>
        <v>Tanacross</v>
      </c>
      <c r="D214" s="83">
        <f>TDCTRIBE!Y223</f>
        <v>537627.23286300001</v>
      </c>
      <c r="E214" s="83">
        <f>TDCTRIBE!Z223</f>
        <v>593892.8539060998</v>
      </c>
      <c r="F214" s="83">
        <f>TDCTRIBE!AA223</f>
        <v>670883.01826070005</v>
      </c>
      <c r="G214" s="83">
        <f>TDCTRIBE!AB223</f>
        <v>727154.03193440009</v>
      </c>
      <c r="H214" s="83">
        <f>TDCTRIBE!AC223</f>
        <v>784795.42359260004</v>
      </c>
      <c r="O214" s="9"/>
      <c r="P214" s="1"/>
      <c r="Q214" s="1"/>
      <c r="R214" s="1"/>
      <c r="S214" s="1"/>
      <c r="T214" s="1"/>
      <c r="U214" s="1"/>
      <c r="V214" s="9"/>
      <c r="W214" s="3"/>
      <c r="X214" s="4"/>
      <c r="Y214" s="1"/>
      <c r="Z214" s="1"/>
      <c r="AA214" s="1"/>
      <c r="AB214" s="1"/>
      <c r="AC214" s="1"/>
      <c r="AD214" s="3"/>
      <c r="AE214" s="3"/>
      <c r="AF214" s="5"/>
      <c r="AG214" s="5"/>
      <c r="AH214" s="5"/>
      <c r="AI214" s="5"/>
      <c r="AJ214" s="6"/>
      <c r="AK214" s="6"/>
      <c r="AL214" s="12"/>
      <c r="AM214" s="12"/>
      <c r="AN214" s="12"/>
      <c r="AO214" s="12"/>
      <c r="AP214" s="12"/>
    </row>
    <row r="215" spans="1:42" ht="15" x14ac:dyDescent="0.25">
      <c r="A215" s="82" t="str">
        <f>TDCTRIBE!I224</f>
        <v>Alaska</v>
      </c>
      <c r="B215" s="82" t="str">
        <f>TDCTRIBE!B224</f>
        <v>AK</v>
      </c>
      <c r="C215" s="82" t="str">
        <f>TDCTRIBE!F224</f>
        <v>Tanana</v>
      </c>
      <c r="D215" s="83">
        <f>TDCTRIBE!Y224</f>
        <v>573912.50187599997</v>
      </c>
      <c r="E215" s="83">
        <f>TDCTRIBE!Z224</f>
        <v>633906.89508719998</v>
      </c>
      <c r="F215" s="83">
        <f>TDCTRIBE!AA224</f>
        <v>715983.34034640016</v>
      </c>
      <c r="G215" s="83">
        <f>TDCTRIBE!AB224</f>
        <v>775980.51116880018</v>
      </c>
      <c r="H215" s="83">
        <f>TDCTRIBE!AC224</f>
        <v>837476.24333520012</v>
      </c>
      <c r="O215" s="9"/>
      <c r="P215" s="1"/>
      <c r="Q215" s="1"/>
      <c r="R215" s="1"/>
      <c r="S215" s="1"/>
      <c r="T215" s="1"/>
      <c r="U215" s="1"/>
      <c r="V215" s="9"/>
      <c r="W215" s="3"/>
      <c r="X215" s="4"/>
      <c r="Y215" s="1"/>
      <c r="Z215" s="1"/>
      <c r="AA215" s="1"/>
      <c r="AB215" s="1"/>
      <c r="AC215" s="1"/>
      <c r="AD215" s="3"/>
      <c r="AE215" s="3"/>
      <c r="AF215" s="5"/>
      <c r="AG215" s="5"/>
      <c r="AH215" s="5"/>
      <c r="AI215" s="5"/>
      <c r="AJ215" s="6"/>
      <c r="AK215" s="6"/>
      <c r="AL215" s="12"/>
      <c r="AM215" s="12"/>
      <c r="AN215" s="12"/>
      <c r="AO215" s="12"/>
      <c r="AP215" s="12"/>
    </row>
    <row r="216" spans="1:42" ht="15" x14ac:dyDescent="0.25">
      <c r="A216" s="82" t="str">
        <f>TDCTRIBE!I225</f>
        <v>Alaska</v>
      </c>
      <c r="B216" s="82" t="str">
        <f>TDCTRIBE!B225</f>
        <v>AK</v>
      </c>
      <c r="C216" s="82" t="str">
        <f>TDCTRIBE!F225</f>
        <v>Tangirnaq Native Village</v>
      </c>
      <c r="D216" s="83">
        <f>TDCTRIBE!Y225</f>
        <v>537627.23286300001</v>
      </c>
      <c r="E216" s="83">
        <f>TDCTRIBE!Z225</f>
        <v>593892.8539060998</v>
      </c>
      <c r="F216" s="83">
        <f>TDCTRIBE!AA225</f>
        <v>670883.01826070005</v>
      </c>
      <c r="G216" s="83">
        <f>TDCTRIBE!AB225</f>
        <v>727154.03193440009</v>
      </c>
      <c r="H216" s="83">
        <f>TDCTRIBE!AC225</f>
        <v>784795.42359260004</v>
      </c>
      <c r="O216" s="9"/>
      <c r="P216" s="1"/>
      <c r="Q216" s="1"/>
      <c r="R216" s="1"/>
      <c r="S216" s="1"/>
      <c r="T216" s="1"/>
      <c r="U216" s="1"/>
      <c r="V216" s="9"/>
      <c r="W216" s="3"/>
      <c r="X216" s="4"/>
      <c r="Y216" s="1"/>
      <c r="Z216" s="1"/>
      <c r="AA216" s="1"/>
      <c r="AB216" s="1"/>
      <c r="AC216" s="1"/>
      <c r="AD216" s="3"/>
      <c r="AE216" s="3"/>
      <c r="AF216" s="5"/>
      <c r="AG216" s="5"/>
      <c r="AH216" s="5"/>
      <c r="AI216" s="5"/>
      <c r="AJ216" s="6"/>
      <c r="AK216" s="6"/>
      <c r="AL216" s="12"/>
      <c r="AM216" s="12"/>
      <c r="AN216" s="12"/>
      <c r="AO216" s="12"/>
      <c r="AP216" s="12"/>
    </row>
    <row r="217" spans="1:42" ht="15" x14ac:dyDescent="0.25">
      <c r="A217" s="82" t="str">
        <f>TDCTRIBE!I226</f>
        <v>Alaska</v>
      </c>
      <c r="B217" s="82" t="str">
        <f>TDCTRIBE!B226</f>
        <v>AK</v>
      </c>
      <c r="C217" s="82" t="str">
        <f>TDCTRIBE!F226</f>
        <v>Tatitlek</v>
      </c>
      <c r="D217" s="83">
        <f>TDCTRIBE!Y226</f>
        <v>465666.31849500001</v>
      </c>
      <c r="E217" s="83">
        <f>TDCTRIBE!Z226</f>
        <v>514428.62433899997</v>
      </c>
      <c r="F217" s="83">
        <f>TDCTRIBE!AA226</f>
        <v>581158.19019300013</v>
      </c>
      <c r="G217" s="83">
        <f>TDCTRIBE!AB226</f>
        <v>629926.37213100016</v>
      </c>
      <c r="H217" s="83">
        <f>TDCTRIBE!AC226</f>
        <v>679867.06659900001</v>
      </c>
      <c r="O217" s="9"/>
      <c r="P217" s="1"/>
      <c r="Q217" s="1"/>
      <c r="R217" s="1"/>
      <c r="S217" s="1"/>
      <c r="T217" s="1"/>
      <c r="U217" s="1"/>
      <c r="V217" s="9"/>
      <c r="W217" s="3"/>
      <c r="X217" s="4"/>
      <c r="Y217" s="1"/>
      <c r="Z217" s="1"/>
      <c r="AA217" s="1"/>
      <c r="AB217" s="1"/>
      <c r="AC217" s="1"/>
      <c r="AD217" s="3"/>
      <c r="AE217" s="3"/>
      <c r="AF217" s="5"/>
      <c r="AG217" s="5"/>
      <c r="AH217" s="5"/>
      <c r="AI217" s="5"/>
      <c r="AJ217" s="6"/>
      <c r="AK217" s="6"/>
      <c r="AL217" s="12"/>
      <c r="AM217" s="12"/>
      <c r="AN217" s="12"/>
      <c r="AO217" s="12"/>
      <c r="AP217" s="12"/>
    </row>
    <row r="218" spans="1:42" ht="15" x14ac:dyDescent="0.25">
      <c r="A218" s="82" t="str">
        <f>TDCTRIBE!I227</f>
        <v>Alaska</v>
      </c>
      <c r="B218" s="82" t="str">
        <f>TDCTRIBE!B227</f>
        <v>AK</v>
      </c>
      <c r="C218" s="82" t="str">
        <f>TDCTRIBE!F227</f>
        <v>Tazlina</v>
      </c>
      <c r="D218" s="83">
        <f>TDCTRIBE!Y227</f>
        <v>465666.31849500001</v>
      </c>
      <c r="E218" s="83">
        <f>TDCTRIBE!Z227</f>
        <v>514428.62433899997</v>
      </c>
      <c r="F218" s="83">
        <f>TDCTRIBE!AA227</f>
        <v>581158.19019300013</v>
      </c>
      <c r="G218" s="83">
        <f>TDCTRIBE!AB227</f>
        <v>629926.37213100016</v>
      </c>
      <c r="H218" s="83">
        <f>TDCTRIBE!AC227</f>
        <v>679867.06659900001</v>
      </c>
      <c r="O218" s="9"/>
      <c r="P218" s="1"/>
      <c r="Q218" s="1"/>
      <c r="R218" s="1"/>
      <c r="S218" s="1"/>
      <c r="T218" s="1"/>
      <c r="U218" s="1"/>
      <c r="V218" s="9"/>
      <c r="W218" s="3"/>
      <c r="X218" s="4"/>
      <c r="Y218" s="1"/>
      <c r="Z218" s="1"/>
      <c r="AA218" s="1"/>
      <c r="AB218" s="1"/>
      <c r="AC218" s="1"/>
      <c r="AD218" s="3"/>
      <c r="AE218" s="3"/>
      <c r="AF218" s="5"/>
      <c r="AG218" s="5"/>
      <c r="AH218" s="5"/>
      <c r="AI218" s="5"/>
      <c r="AJ218" s="6"/>
      <c r="AK218" s="6"/>
      <c r="AL218" s="12"/>
      <c r="AM218" s="12"/>
      <c r="AN218" s="12"/>
      <c r="AO218" s="12"/>
      <c r="AP218" s="12"/>
    </row>
    <row r="219" spans="1:42" ht="15" x14ac:dyDescent="0.25">
      <c r="A219" s="82" t="str">
        <f>TDCTRIBE!I228</f>
        <v>Alaska</v>
      </c>
      <c r="B219" s="82" t="str">
        <f>TDCTRIBE!B228</f>
        <v>AK</v>
      </c>
      <c r="C219" s="82" t="str">
        <f>TDCTRIBE!F228</f>
        <v>Telida</v>
      </c>
      <c r="D219" s="83">
        <f>TDCTRIBE!Y228</f>
        <v>573912.50187599997</v>
      </c>
      <c r="E219" s="83">
        <f>TDCTRIBE!Z228</f>
        <v>633906.89508719998</v>
      </c>
      <c r="F219" s="83">
        <f>TDCTRIBE!AA228</f>
        <v>715983.34034640016</v>
      </c>
      <c r="G219" s="83">
        <f>TDCTRIBE!AB228</f>
        <v>775980.51116880018</v>
      </c>
      <c r="H219" s="83">
        <f>TDCTRIBE!AC228</f>
        <v>837476.24333520012</v>
      </c>
      <c r="O219" s="9"/>
      <c r="P219" s="1"/>
      <c r="Q219" s="1"/>
      <c r="R219" s="1"/>
      <c r="S219" s="1"/>
      <c r="T219" s="1"/>
      <c r="U219" s="1"/>
      <c r="V219" s="9"/>
      <c r="W219" s="3"/>
      <c r="X219" s="4"/>
      <c r="Y219" s="1"/>
      <c r="Z219" s="1"/>
      <c r="AA219" s="1"/>
      <c r="AB219" s="1"/>
      <c r="AC219" s="1"/>
      <c r="AD219" s="3"/>
      <c r="AE219" s="3"/>
      <c r="AF219" s="5"/>
      <c r="AG219" s="5"/>
      <c r="AH219" s="5"/>
      <c r="AI219" s="5"/>
      <c r="AJ219" s="6"/>
      <c r="AK219" s="6"/>
      <c r="AL219" s="12"/>
      <c r="AM219" s="12"/>
      <c r="AN219" s="12"/>
      <c r="AO219" s="12"/>
      <c r="AP219" s="12"/>
    </row>
    <row r="220" spans="1:42" ht="15" x14ac:dyDescent="0.25">
      <c r="A220" s="82" t="str">
        <f>TDCTRIBE!I229</f>
        <v>Alaska</v>
      </c>
      <c r="B220" s="82" t="str">
        <f>TDCTRIBE!B229</f>
        <v>AK</v>
      </c>
      <c r="C220" s="82" t="str">
        <f>TDCTRIBE!F229</f>
        <v>Teller</v>
      </c>
      <c r="D220" s="83">
        <f>TDCTRIBE!Y229</f>
        <v>537627.23286300001</v>
      </c>
      <c r="E220" s="83">
        <f>TDCTRIBE!Z229</f>
        <v>593892.8539060998</v>
      </c>
      <c r="F220" s="83">
        <f>TDCTRIBE!AA229</f>
        <v>670883.01826070005</v>
      </c>
      <c r="G220" s="83">
        <f>TDCTRIBE!AB229</f>
        <v>727154.03193440009</v>
      </c>
      <c r="H220" s="83">
        <f>TDCTRIBE!AC229</f>
        <v>784795.42359260004</v>
      </c>
      <c r="O220" s="9"/>
      <c r="P220" s="1"/>
      <c r="Q220" s="1"/>
      <c r="R220" s="1"/>
      <c r="S220" s="1"/>
      <c r="T220" s="1"/>
      <c r="U220" s="1"/>
      <c r="V220" s="9"/>
      <c r="W220" s="3"/>
      <c r="X220" s="4"/>
      <c r="Y220" s="1"/>
      <c r="Z220" s="1"/>
      <c r="AA220" s="1"/>
      <c r="AB220" s="1"/>
      <c r="AC220" s="1"/>
      <c r="AD220" s="3"/>
      <c r="AE220" s="3"/>
      <c r="AF220" s="5"/>
      <c r="AG220" s="5"/>
      <c r="AH220" s="5"/>
      <c r="AI220" s="5"/>
      <c r="AJ220" s="6"/>
      <c r="AK220" s="6"/>
      <c r="AL220" s="12"/>
      <c r="AM220" s="12"/>
      <c r="AN220" s="12"/>
      <c r="AO220" s="12"/>
      <c r="AP220" s="12"/>
    </row>
    <row r="221" spans="1:42" ht="15" x14ac:dyDescent="0.25">
      <c r="A221" s="82" t="str">
        <f>TDCTRIBE!I230</f>
        <v>Alaska</v>
      </c>
      <c r="B221" s="82" t="str">
        <f>TDCTRIBE!B230</f>
        <v>AK</v>
      </c>
      <c r="C221" s="82" t="str">
        <f>TDCTRIBE!F230</f>
        <v>Tetlin</v>
      </c>
      <c r="D221" s="83">
        <f>TDCTRIBE!Y230</f>
        <v>537627.23286300001</v>
      </c>
      <c r="E221" s="83">
        <f>TDCTRIBE!Z230</f>
        <v>593892.8539060998</v>
      </c>
      <c r="F221" s="83">
        <f>TDCTRIBE!AA230</f>
        <v>670883.01826070005</v>
      </c>
      <c r="G221" s="83">
        <f>TDCTRIBE!AB230</f>
        <v>727154.03193440009</v>
      </c>
      <c r="H221" s="83">
        <f>TDCTRIBE!AC230</f>
        <v>784795.42359260004</v>
      </c>
      <c r="O221" s="9"/>
      <c r="P221" s="1"/>
      <c r="Q221" s="1"/>
      <c r="R221" s="1"/>
      <c r="S221" s="1"/>
      <c r="T221" s="1"/>
      <c r="U221" s="1"/>
      <c r="V221" s="9"/>
      <c r="W221" s="3"/>
      <c r="X221" s="4"/>
      <c r="Y221" s="1"/>
      <c r="Z221" s="1"/>
      <c r="AA221" s="1"/>
      <c r="AB221" s="1"/>
      <c r="AC221" s="1"/>
      <c r="AD221" s="3"/>
      <c r="AE221" s="3"/>
      <c r="AF221" s="5"/>
      <c r="AG221" s="5"/>
      <c r="AH221" s="5"/>
      <c r="AI221" s="5"/>
      <c r="AJ221" s="6"/>
      <c r="AK221" s="6"/>
      <c r="AL221" s="12"/>
      <c r="AM221" s="12"/>
      <c r="AN221" s="12"/>
      <c r="AO221" s="12"/>
      <c r="AP221" s="12"/>
    </row>
    <row r="222" spans="1:42" ht="15" x14ac:dyDescent="0.25">
      <c r="A222" s="82" t="str">
        <f>TDCTRIBE!I231</f>
        <v>Alaska</v>
      </c>
      <c r="B222" s="82" t="str">
        <f>TDCTRIBE!B231</f>
        <v>AK</v>
      </c>
      <c r="C222" s="82" t="str">
        <f>TDCTRIBE!F231</f>
        <v>Tlingit and Haida</v>
      </c>
      <c r="D222" s="83">
        <f>TDCTRIBE!Y231</f>
        <v>465666.31849500001</v>
      </c>
      <c r="E222" s="83">
        <f>TDCTRIBE!Z231</f>
        <v>514428.62433899997</v>
      </c>
      <c r="F222" s="83">
        <f>TDCTRIBE!AA231</f>
        <v>581158.19019300013</v>
      </c>
      <c r="G222" s="83">
        <f>TDCTRIBE!AB231</f>
        <v>629926.37213100016</v>
      </c>
      <c r="H222" s="83">
        <f>TDCTRIBE!AC231</f>
        <v>679867.06659900001</v>
      </c>
      <c r="O222" s="9"/>
      <c r="P222" s="1"/>
      <c r="Q222" s="1"/>
      <c r="R222" s="1"/>
      <c r="S222" s="1"/>
      <c r="T222" s="1"/>
      <c r="U222" s="1"/>
      <c r="V222" s="9"/>
      <c r="W222" s="3"/>
      <c r="X222" s="4"/>
      <c r="Y222" s="1"/>
      <c r="Z222" s="1"/>
      <c r="AA222" s="1"/>
      <c r="AB222" s="1"/>
      <c r="AC222" s="1"/>
      <c r="AD222" s="3"/>
      <c r="AE222" s="3"/>
      <c r="AF222" s="5"/>
      <c r="AG222" s="5"/>
      <c r="AH222" s="5"/>
      <c r="AI222" s="5"/>
      <c r="AJ222" s="6"/>
      <c r="AK222" s="6"/>
      <c r="AL222" s="12"/>
      <c r="AM222" s="12"/>
      <c r="AN222" s="12"/>
      <c r="AO222" s="12"/>
      <c r="AP222" s="12"/>
    </row>
    <row r="223" spans="1:42" ht="15" x14ac:dyDescent="0.25">
      <c r="A223" s="82" t="str">
        <f>TDCTRIBE!I232</f>
        <v>Alaska</v>
      </c>
      <c r="B223" s="82" t="str">
        <f>TDCTRIBE!B232</f>
        <v>AK</v>
      </c>
      <c r="C223" s="82" t="str">
        <f>TDCTRIBE!F232</f>
        <v>Togiak</v>
      </c>
      <c r="D223" s="83">
        <f>TDCTRIBE!Y232</f>
        <v>537627.23286300001</v>
      </c>
      <c r="E223" s="83">
        <f>TDCTRIBE!Z232</f>
        <v>593892.8539060998</v>
      </c>
      <c r="F223" s="83">
        <f>TDCTRIBE!AA232</f>
        <v>670883.01826070005</v>
      </c>
      <c r="G223" s="83">
        <f>TDCTRIBE!AB232</f>
        <v>727154.03193440009</v>
      </c>
      <c r="H223" s="83">
        <f>TDCTRIBE!AC232</f>
        <v>784795.42359260004</v>
      </c>
      <c r="O223" s="9"/>
      <c r="P223" s="1"/>
      <c r="Q223" s="1"/>
      <c r="R223" s="1"/>
      <c r="S223" s="1"/>
      <c r="T223" s="1"/>
      <c r="U223" s="1"/>
      <c r="V223" s="9"/>
      <c r="W223" s="3"/>
      <c r="X223" s="4"/>
      <c r="Y223" s="1"/>
      <c r="Z223" s="1"/>
      <c r="AA223" s="1"/>
      <c r="AB223" s="1"/>
      <c r="AC223" s="1"/>
      <c r="AD223" s="3"/>
      <c r="AE223" s="3"/>
      <c r="AF223" s="5"/>
      <c r="AG223" s="5"/>
      <c r="AH223" s="5"/>
      <c r="AI223" s="5"/>
      <c r="AJ223" s="6"/>
      <c r="AK223" s="6"/>
      <c r="AL223" s="12"/>
      <c r="AM223" s="12"/>
      <c r="AN223" s="12"/>
      <c r="AO223" s="12"/>
      <c r="AP223" s="12"/>
    </row>
    <row r="224" spans="1:42" ht="15" x14ac:dyDescent="0.25">
      <c r="A224" s="82" t="str">
        <f>TDCTRIBE!I233</f>
        <v>Alaska</v>
      </c>
      <c r="B224" s="82" t="str">
        <f>TDCTRIBE!B233</f>
        <v>AK</v>
      </c>
      <c r="C224" s="82" t="str">
        <f>TDCTRIBE!F233</f>
        <v>Toksook Bay</v>
      </c>
      <c r="D224" s="83">
        <f>TDCTRIBE!Y233</f>
        <v>537627.23286300001</v>
      </c>
      <c r="E224" s="83">
        <f>TDCTRIBE!Z233</f>
        <v>593892.8539060998</v>
      </c>
      <c r="F224" s="83">
        <f>TDCTRIBE!AA233</f>
        <v>670883.01826070005</v>
      </c>
      <c r="G224" s="83">
        <f>TDCTRIBE!AB233</f>
        <v>727154.03193440009</v>
      </c>
      <c r="H224" s="83">
        <f>TDCTRIBE!AC233</f>
        <v>784795.42359260004</v>
      </c>
      <c r="O224" s="9"/>
      <c r="P224" s="1"/>
      <c r="Q224" s="1"/>
      <c r="R224" s="1"/>
      <c r="S224" s="1"/>
      <c r="T224" s="1"/>
      <c r="U224" s="1"/>
      <c r="V224" s="9"/>
      <c r="W224" s="3"/>
      <c r="X224" s="4"/>
      <c r="Y224" s="1"/>
      <c r="Z224" s="1"/>
      <c r="AA224" s="1"/>
      <c r="AB224" s="1"/>
      <c r="AC224" s="1"/>
      <c r="AD224" s="3"/>
      <c r="AE224" s="3"/>
      <c r="AF224" s="5"/>
      <c r="AG224" s="5"/>
      <c r="AH224" s="5"/>
      <c r="AI224" s="5"/>
      <c r="AJ224" s="6"/>
      <c r="AK224" s="6"/>
      <c r="AL224" s="12"/>
      <c r="AM224" s="12"/>
      <c r="AN224" s="12"/>
      <c r="AO224" s="12"/>
      <c r="AP224" s="12"/>
    </row>
    <row r="225" spans="1:42" ht="15" x14ac:dyDescent="0.25">
      <c r="A225" s="82" t="str">
        <f>TDCTRIBE!I234</f>
        <v>Alaska</v>
      </c>
      <c r="B225" s="82" t="str">
        <f>TDCTRIBE!B234</f>
        <v>AK</v>
      </c>
      <c r="C225" s="82" t="str">
        <f>TDCTRIBE!F234</f>
        <v>Tuluksak</v>
      </c>
      <c r="D225" s="83">
        <f>TDCTRIBE!Y234</f>
        <v>537627.23286300001</v>
      </c>
      <c r="E225" s="83">
        <f>TDCTRIBE!Z234</f>
        <v>593892.8539060998</v>
      </c>
      <c r="F225" s="83">
        <f>TDCTRIBE!AA234</f>
        <v>670883.01826070005</v>
      </c>
      <c r="G225" s="83">
        <f>TDCTRIBE!AB234</f>
        <v>727154.03193440009</v>
      </c>
      <c r="H225" s="83">
        <f>TDCTRIBE!AC234</f>
        <v>784795.42359260004</v>
      </c>
      <c r="O225" s="9"/>
      <c r="P225" s="1"/>
      <c r="Q225" s="1"/>
      <c r="R225" s="1"/>
      <c r="S225" s="1"/>
      <c r="T225" s="1"/>
      <c r="U225" s="1"/>
      <c r="V225" s="9"/>
      <c r="W225" s="3"/>
      <c r="X225" s="4"/>
      <c r="Y225" s="1"/>
      <c r="Z225" s="1"/>
      <c r="AA225" s="1"/>
      <c r="AB225" s="1"/>
      <c r="AC225" s="1"/>
      <c r="AD225" s="3"/>
      <c r="AE225" s="3"/>
      <c r="AF225" s="5"/>
      <c r="AG225" s="5"/>
      <c r="AH225" s="5"/>
      <c r="AI225" s="5"/>
      <c r="AJ225" s="6"/>
      <c r="AK225" s="6"/>
      <c r="AL225" s="12"/>
      <c r="AM225" s="12"/>
      <c r="AN225" s="12"/>
      <c r="AO225" s="12"/>
      <c r="AP225" s="12"/>
    </row>
    <row r="226" spans="1:42" ht="15" x14ac:dyDescent="0.25">
      <c r="A226" s="82" t="str">
        <f>TDCTRIBE!I235</f>
        <v>Alaska</v>
      </c>
      <c r="B226" s="82" t="str">
        <f>TDCTRIBE!B235</f>
        <v>AK</v>
      </c>
      <c r="C226" s="82" t="str">
        <f>TDCTRIBE!F235</f>
        <v>Tuntutuliak</v>
      </c>
      <c r="D226" s="83">
        <f>TDCTRIBE!Y235</f>
        <v>537627.23286300001</v>
      </c>
      <c r="E226" s="83">
        <f>TDCTRIBE!Z235</f>
        <v>593892.8539060998</v>
      </c>
      <c r="F226" s="83">
        <f>TDCTRIBE!AA235</f>
        <v>670883.01826070005</v>
      </c>
      <c r="G226" s="83">
        <f>TDCTRIBE!AB235</f>
        <v>727154.03193440009</v>
      </c>
      <c r="H226" s="83">
        <f>TDCTRIBE!AC235</f>
        <v>784795.42359260004</v>
      </c>
      <c r="O226" s="9"/>
      <c r="P226" s="1"/>
      <c r="Q226" s="1"/>
      <c r="R226" s="1"/>
      <c r="S226" s="1"/>
      <c r="T226" s="1"/>
      <c r="U226" s="1"/>
      <c r="V226" s="9"/>
      <c r="W226" s="3"/>
      <c r="X226" s="4"/>
      <c r="Y226" s="1"/>
      <c r="Z226" s="1"/>
      <c r="AA226" s="1"/>
      <c r="AB226" s="1"/>
      <c r="AC226" s="1"/>
      <c r="AD226" s="3"/>
      <c r="AE226" s="3"/>
      <c r="AF226" s="5"/>
      <c r="AG226" s="5"/>
      <c r="AH226" s="5"/>
      <c r="AI226" s="5"/>
      <c r="AJ226" s="6"/>
      <c r="AK226" s="6"/>
      <c r="AL226" s="12"/>
      <c r="AM226" s="12"/>
      <c r="AN226" s="12"/>
      <c r="AO226" s="12"/>
      <c r="AP226" s="12"/>
    </row>
    <row r="227" spans="1:42" ht="15" x14ac:dyDescent="0.25">
      <c r="A227" s="82" t="str">
        <f>TDCTRIBE!I236</f>
        <v>Alaska</v>
      </c>
      <c r="B227" s="82" t="str">
        <f>TDCTRIBE!B236</f>
        <v>AK</v>
      </c>
      <c r="C227" s="82" t="str">
        <f>TDCTRIBE!F236</f>
        <v>Tununak</v>
      </c>
      <c r="D227" s="83">
        <f>TDCTRIBE!Y236</f>
        <v>537627.23286300001</v>
      </c>
      <c r="E227" s="83">
        <f>TDCTRIBE!Z236</f>
        <v>593892.8539060998</v>
      </c>
      <c r="F227" s="83">
        <f>TDCTRIBE!AA236</f>
        <v>670883.01826070005</v>
      </c>
      <c r="G227" s="83">
        <f>TDCTRIBE!AB236</f>
        <v>727154.03193440009</v>
      </c>
      <c r="H227" s="83">
        <f>TDCTRIBE!AC236</f>
        <v>784795.42359260004</v>
      </c>
      <c r="O227" s="9"/>
      <c r="P227" s="1"/>
      <c r="Q227" s="1"/>
      <c r="R227" s="1"/>
      <c r="S227" s="1"/>
      <c r="T227" s="1"/>
      <c r="U227" s="1"/>
      <c r="V227" s="9"/>
      <c r="W227" s="3"/>
      <c r="X227" s="4"/>
      <c r="Y227" s="1"/>
      <c r="Z227" s="1"/>
      <c r="AA227" s="1"/>
      <c r="AB227" s="1"/>
      <c r="AC227" s="1"/>
      <c r="AD227" s="3"/>
      <c r="AE227" s="3"/>
      <c r="AF227" s="5"/>
      <c r="AG227" s="5"/>
      <c r="AH227" s="5"/>
      <c r="AI227" s="5"/>
      <c r="AJ227" s="6"/>
      <c r="AK227" s="6"/>
      <c r="AL227" s="12"/>
      <c r="AM227" s="12"/>
      <c r="AN227" s="12"/>
      <c r="AO227" s="12"/>
      <c r="AP227" s="12"/>
    </row>
    <row r="228" spans="1:42" ht="15" x14ac:dyDescent="0.25">
      <c r="A228" s="82" t="str">
        <f>TDCTRIBE!I237</f>
        <v>Alaska</v>
      </c>
      <c r="B228" s="82" t="str">
        <f>TDCTRIBE!B237</f>
        <v>AK</v>
      </c>
      <c r="C228" s="82" t="str">
        <f>TDCTRIBE!F237</f>
        <v>Twin Hills</v>
      </c>
      <c r="D228" s="83">
        <f>TDCTRIBE!Y237</f>
        <v>537627.23286300001</v>
      </c>
      <c r="E228" s="83">
        <f>TDCTRIBE!Z237</f>
        <v>593892.8539060998</v>
      </c>
      <c r="F228" s="83">
        <f>TDCTRIBE!AA237</f>
        <v>670883.01826070005</v>
      </c>
      <c r="G228" s="83">
        <f>TDCTRIBE!AB237</f>
        <v>727154.03193440009</v>
      </c>
      <c r="H228" s="83">
        <f>TDCTRIBE!AC237</f>
        <v>784795.42359260004</v>
      </c>
      <c r="O228" s="9"/>
      <c r="P228" s="1"/>
      <c r="Q228" s="1"/>
      <c r="R228" s="1"/>
      <c r="S228" s="1"/>
      <c r="T228" s="1"/>
      <c r="U228" s="1"/>
      <c r="V228" s="9"/>
      <c r="W228" s="3"/>
      <c r="X228" s="4"/>
      <c r="Y228" s="1"/>
      <c r="Z228" s="1"/>
      <c r="AA228" s="1"/>
      <c r="AB228" s="1"/>
      <c r="AC228" s="1"/>
      <c r="AD228" s="3"/>
      <c r="AE228" s="3"/>
      <c r="AF228" s="5"/>
      <c r="AG228" s="5"/>
      <c r="AH228" s="5"/>
      <c r="AI228" s="5"/>
      <c r="AJ228" s="6"/>
      <c r="AK228" s="6"/>
      <c r="AL228" s="12"/>
      <c r="AM228" s="12"/>
      <c r="AN228" s="12"/>
      <c r="AO228" s="12"/>
      <c r="AP228" s="12"/>
    </row>
    <row r="229" spans="1:42" ht="15" x14ac:dyDescent="0.25">
      <c r="A229" s="82" t="str">
        <f>TDCTRIBE!I238</f>
        <v>Alaska</v>
      </c>
      <c r="B229" s="82" t="str">
        <f>TDCTRIBE!B238</f>
        <v>AK</v>
      </c>
      <c r="C229" s="82" t="str">
        <f>TDCTRIBE!F238</f>
        <v>Tyonek</v>
      </c>
      <c r="D229" s="83">
        <f>TDCTRIBE!Y238</f>
        <v>537627.23286300001</v>
      </c>
      <c r="E229" s="83">
        <f>TDCTRIBE!Z238</f>
        <v>593892.8539060998</v>
      </c>
      <c r="F229" s="83">
        <f>TDCTRIBE!AA238</f>
        <v>670883.01826070005</v>
      </c>
      <c r="G229" s="83">
        <f>TDCTRIBE!AB238</f>
        <v>727154.03193440009</v>
      </c>
      <c r="H229" s="83">
        <f>TDCTRIBE!AC238</f>
        <v>784795.42359260004</v>
      </c>
      <c r="O229" s="9"/>
      <c r="P229" s="1"/>
      <c r="Q229" s="1"/>
      <c r="R229" s="1"/>
      <c r="S229" s="1"/>
      <c r="T229" s="1"/>
      <c r="U229" s="1"/>
      <c r="V229" s="9"/>
      <c r="W229" s="3"/>
      <c r="X229" s="4"/>
      <c r="Y229" s="1"/>
      <c r="Z229" s="1"/>
      <c r="AA229" s="1"/>
      <c r="AB229" s="1"/>
      <c r="AC229" s="1"/>
      <c r="AD229" s="3"/>
      <c r="AE229" s="3"/>
      <c r="AF229" s="5"/>
      <c r="AG229" s="5"/>
      <c r="AH229" s="5"/>
      <c r="AI229" s="5"/>
      <c r="AJ229" s="6"/>
      <c r="AK229" s="6"/>
      <c r="AL229" s="12"/>
      <c r="AM229" s="12"/>
      <c r="AN229" s="12"/>
      <c r="AO229" s="12"/>
      <c r="AP229" s="12"/>
    </row>
    <row r="230" spans="1:42" ht="15" x14ac:dyDescent="0.25">
      <c r="A230" s="82" t="str">
        <f>TDCTRIBE!I239</f>
        <v>Alaska</v>
      </c>
      <c r="B230" s="82" t="str">
        <f>TDCTRIBE!B239</f>
        <v>AK</v>
      </c>
      <c r="C230" s="82" t="str">
        <f>TDCTRIBE!F239</f>
        <v>Ugashik</v>
      </c>
      <c r="D230" s="83">
        <f>TDCTRIBE!Y239</f>
        <v>537627.23286300001</v>
      </c>
      <c r="E230" s="83">
        <f>TDCTRIBE!Z239</f>
        <v>593892.8539060998</v>
      </c>
      <c r="F230" s="83">
        <f>TDCTRIBE!AA239</f>
        <v>670883.01826070005</v>
      </c>
      <c r="G230" s="83">
        <f>TDCTRIBE!AB239</f>
        <v>727154.03193440009</v>
      </c>
      <c r="H230" s="83">
        <f>TDCTRIBE!AC239</f>
        <v>784795.42359260004</v>
      </c>
      <c r="O230" s="9"/>
      <c r="P230" s="1"/>
      <c r="Q230" s="1"/>
      <c r="R230" s="1"/>
      <c r="S230" s="1"/>
      <c r="T230" s="1"/>
      <c r="U230" s="1"/>
      <c r="V230" s="9"/>
      <c r="W230" s="3"/>
      <c r="X230" s="4"/>
      <c r="Y230" s="1"/>
      <c r="Z230" s="1"/>
      <c r="AA230" s="1"/>
      <c r="AB230" s="1"/>
      <c r="AC230" s="1"/>
      <c r="AD230" s="3"/>
      <c r="AE230" s="3"/>
      <c r="AF230" s="5"/>
      <c r="AG230" s="5"/>
      <c r="AH230" s="5"/>
      <c r="AI230" s="5"/>
      <c r="AJ230" s="6"/>
      <c r="AK230" s="6"/>
      <c r="AL230" s="12"/>
      <c r="AM230" s="12"/>
      <c r="AN230" s="12"/>
      <c r="AO230" s="12"/>
      <c r="AP230" s="12"/>
    </row>
    <row r="231" spans="1:42" ht="15" x14ac:dyDescent="0.25">
      <c r="A231" s="82" t="str">
        <f>TDCTRIBE!I240</f>
        <v>Alaska</v>
      </c>
      <c r="B231" s="82" t="str">
        <f>TDCTRIBE!B240</f>
        <v>AK</v>
      </c>
      <c r="C231" s="82" t="str">
        <f>TDCTRIBE!F240</f>
        <v>Umkumiute</v>
      </c>
      <c r="D231" s="83">
        <f>TDCTRIBE!Y240</f>
        <v>537627.23286300001</v>
      </c>
      <c r="E231" s="83">
        <f>TDCTRIBE!Z240</f>
        <v>593892.8539060998</v>
      </c>
      <c r="F231" s="83">
        <f>TDCTRIBE!AA240</f>
        <v>670883.01826070005</v>
      </c>
      <c r="G231" s="83">
        <f>TDCTRIBE!AB240</f>
        <v>727154.03193440009</v>
      </c>
      <c r="H231" s="83">
        <f>TDCTRIBE!AC240</f>
        <v>784795.42359260004</v>
      </c>
      <c r="O231" s="9"/>
      <c r="P231" s="1"/>
      <c r="Q231" s="1"/>
      <c r="R231" s="1"/>
      <c r="S231" s="1"/>
      <c r="T231" s="1"/>
      <c r="U231" s="1"/>
      <c r="V231" s="9"/>
      <c r="W231" s="3"/>
      <c r="X231" s="4"/>
      <c r="Y231" s="1"/>
      <c r="Z231" s="1"/>
      <c r="AA231" s="1"/>
      <c r="AB231" s="1"/>
      <c r="AC231" s="1"/>
      <c r="AD231" s="3"/>
      <c r="AE231" s="3"/>
      <c r="AF231" s="5"/>
      <c r="AG231" s="5"/>
      <c r="AH231" s="5"/>
      <c r="AI231" s="5"/>
      <c r="AJ231" s="6"/>
      <c r="AK231" s="6"/>
      <c r="AL231" s="12"/>
      <c r="AM231" s="12"/>
      <c r="AN231" s="12"/>
      <c r="AO231" s="12"/>
      <c r="AP231" s="12"/>
    </row>
    <row r="232" spans="1:42" ht="15" x14ac:dyDescent="0.25">
      <c r="A232" s="82" t="str">
        <f>TDCTRIBE!I241</f>
        <v>Alaska</v>
      </c>
      <c r="B232" s="82" t="str">
        <f>TDCTRIBE!B241</f>
        <v>AK</v>
      </c>
      <c r="C232" s="82" t="str">
        <f>TDCTRIBE!F241</f>
        <v>Unalakleet</v>
      </c>
      <c r="D232" s="83">
        <f>TDCTRIBE!Y241</f>
        <v>537627.23286300001</v>
      </c>
      <c r="E232" s="83">
        <f>TDCTRIBE!Z241</f>
        <v>593892.8539060998</v>
      </c>
      <c r="F232" s="83">
        <f>TDCTRIBE!AA241</f>
        <v>670883.01826070005</v>
      </c>
      <c r="G232" s="83">
        <f>TDCTRIBE!AB241</f>
        <v>727154.03193440009</v>
      </c>
      <c r="H232" s="83">
        <f>TDCTRIBE!AC241</f>
        <v>784795.42359260004</v>
      </c>
      <c r="O232" s="9"/>
      <c r="P232" s="1"/>
      <c r="Q232" s="1"/>
      <c r="R232" s="1"/>
      <c r="S232" s="1"/>
      <c r="T232" s="1"/>
      <c r="U232" s="1"/>
      <c r="V232" s="9"/>
      <c r="W232" s="3"/>
      <c r="X232" s="4"/>
      <c r="Y232" s="1"/>
      <c r="Z232" s="1"/>
      <c r="AA232" s="1"/>
      <c r="AB232" s="1"/>
      <c r="AC232" s="1"/>
      <c r="AD232" s="3"/>
      <c r="AE232" s="3"/>
      <c r="AF232" s="5"/>
      <c r="AG232" s="5"/>
      <c r="AH232" s="5"/>
      <c r="AI232" s="5"/>
      <c r="AJ232" s="6"/>
      <c r="AK232" s="6"/>
      <c r="AL232" s="12"/>
      <c r="AM232" s="12"/>
      <c r="AN232" s="12"/>
      <c r="AO232" s="12"/>
      <c r="AP232" s="12"/>
    </row>
    <row r="233" spans="1:42" ht="15" x14ac:dyDescent="0.25">
      <c r="A233" s="82" t="str">
        <f>TDCTRIBE!I242</f>
        <v>Alaska</v>
      </c>
      <c r="B233" s="82" t="str">
        <f>TDCTRIBE!B242</f>
        <v>AK</v>
      </c>
      <c r="C233" s="82" t="str">
        <f>TDCTRIBE!F242</f>
        <v>Unga</v>
      </c>
      <c r="D233" s="83">
        <f>TDCTRIBE!Y242</f>
        <v>537627.23286300001</v>
      </c>
      <c r="E233" s="83">
        <f>TDCTRIBE!Z242</f>
        <v>593892.8539060998</v>
      </c>
      <c r="F233" s="83">
        <f>TDCTRIBE!AA242</f>
        <v>670883.01826070005</v>
      </c>
      <c r="G233" s="83">
        <f>TDCTRIBE!AB242</f>
        <v>727154.03193440009</v>
      </c>
      <c r="H233" s="83">
        <f>TDCTRIBE!AC242</f>
        <v>784795.42359260004</v>
      </c>
      <c r="O233" s="9"/>
      <c r="P233" s="1"/>
      <c r="Q233" s="1"/>
      <c r="R233" s="1"/>
      <c r="S233" s="1"/>
      <c r="T233" s="1"/>
      <c r="U233" s="1"/>
      <c r="V233" s="9"/>
      <c r="W233" s="3"/>
      <c r="X233" s="4"/>
      <c r="Y233" s="1"/>
      <c r="Z233" s="1"/>
      <c r="AA233" s="1"/>
      <c r="AB233" s="1"/>
      <c r="AC233" s="1"/>
      <c r="AD233" s="3"/>
      <c r="AE233" s="3"/>
      <c r="AF233" s="5"/>
      <c r="AG233" s="5"/>
      <c r="AH233" s="5"/>
      <c r="AI233" s="5"/>
      <c r="AJ233" s="6"/>
      <c r="AK233" s="6"/>
      <c r="AL233" s="12"/>
      <c r="AM233" s="12"/>
      <c r="AN233" s="12"/>
      <c r="AO233" s="12"/>
      <c r="AP233" s="12"/>
    </row>
    <row r="234" spans="1:42" ht="15" x14ac:dyDescent="0.25">
      <c r="A234" s="82" t="str">
        <f>TDCTRIBE!I243</f>
        <v>Alaska</v>
      </c>
      <c r="B234" s="82" t="str">
        <f>TDCTRIBE!B243</f>
        <v>AK</v>
      </c>
      <c r="C234" s="82" t="str">
        <f>TDCTRIBE!F243</f>
        <v>Venetie</v>
      </c>
      <c r="D234" s="83">
        <f>TDCTRIBE!Y243</f>
        <v>537627.23286300001</v>
      </c>
      <c r="E234" s="83">
        <f>TDCTRIBE!Z243</f>
        <v>593892.8539060998</v>
      </c>
      <c r="F234" s="83">
        <f>TDCTRIBE!AA243</f>
        <v>670883.01826070005</v>
      </c>
      <c r="G234" s="83">
        <f>TDCTRIBE!AB243</f>
        <v>727154.03193440009</v>
      </c>
      <c r="H234" s="83">
        <f>TDCTRIBE!AC243</f>
        <v>784795.42359260004</v>
      </c>
      <c r="O234" s="9"/>
      <c r="P234" s="1"/>
      <c r="Q234" s="1"/>
      <c r="R234" s="1"/>
      <c r="S234" s="1"/>
      <c r="T234" s="1"/>
      <c r="U234" s="1"/>
      <c r="V234" s="9"/>
      <c r="W234" s="3"/>
      <c r="X234" s="4"/>
      <c r="Y234" s="1"/>
      <c r="Z234" s="1"/>
      <c r="AA234" s="1"/>
      <c r="AB234" s="1"/>
      <c r="AC234" s="1"/>
      <c r="AD234" s="3"/>
      <c r="AE234" s="3"/>
      <c r="AF234" s="5"/>
      <c r="AG234" s="5"/>
      <c r="AH234" s="5"/>
      <c r="AI234" s="5"/>
      <c r="AJ234" s="6"/>
      <c r="AK234" s="6"/>
      <c r="AL234" s="12"/>
      <c r="AM234" s="12"/>
      <c r="AN234" s="12"/>
      <c r="AO234" s="12"/>
      <c r="AP234" s="12"/>
    </row>
    <row r="235" spans="1:42" ht="15" x14ac:dyDescent="0.25">
      <c r="A235" s="82" t="str">
        <f>TDCTRIBE!I244</f>
        <v>Alaska</v>
      </c>
      <c r="B235" s="82" t="str">
        <f>TDCTRIBE!B244</f>
        <v>AK</v>
      </c>
      <c r="C235" s="82" t="str">
        <f>TDCTRIBE!F244</f>
        <v>Wainwright</v>
      </c>
      <c r="D235" s="83">
        <f>TDCTRIBE!Y244</f>
        <v>573912.50187599997</v>
      </c>
      <c r="E235" s="83">
        <f>TDCTRIBE!Z244</f>
        <v>633906.89508719998</v>
      </c>
      <c r="F235" s="83">
        <f>TDCTRIBE!AA244</f>
        <v>715983.34034640016</v>
      </c>
      <c r="G235" s="83">
        <f>TDCTRIBE!AB244</f>
        <v>775980.51116880018</v>
      </c>
      <c r="H235" s="83">
        <f>TDCTRIBE!AC244</f>
        <v>837476.24333520012</v>
      </c>
      <c r="O235" s="9"/>
      <c r="P235" s="1"/>
      <c r="Q235" s="1"/>
      <c r="R235" s="1"/>
      <c r="S235" s="1"/>
      <c r="T235" s="1"/>
      <c r="U235" s="1"/>
      <c r="V235" s="9"/>
      <c r="W235" s="3"/>
      <c r="X235" s="4"/>
      <c r="Y235" s="1"/>
      <c r="Z235" s="1"/>
      <c r="AA235" s="1"/>
      <c r="AB235" s="1"/>
      <c r="AC235" s="1"/>
      <c r="AD235" s="3"/>
      <c r="AE235" s="3"/>
      <c r="AF235" s="5"/>
      <c r="AG235" s="5"/>
      <c r="AH235" s="5"/>
      <c r="AI235" s="5"/>
      <c r="AJ235" s="6"/>
      <c r="AK235" s="6"/>
      <c r="AL235" s="12"/>
      <c r="AM235" s="12"/>
      <c r="AN235" s="12"/>
      <c r="AO235" s="12"/>
      <c r="AP235" s="12"/>
    </row>
    <row r="236" spans="1:42" ht="15" x14ac:dyDescent="0.25">
      <c r="A236" s="82" t="str">
        <f>TDCTRIBE!I245</f>
        <v>Alaska</v>
      </c>
      <c r="B236" s="82" t="str">
        <f>TDCTRIBE!B245</f>
        <v>AK</v>
      </c>
      <c r="C236" s="82" t="str">
        <f>TDCTRIBE!F245</f>
        <v>Wales</v>
      </c>
      <c r="D236" s="83">
        <f>TDCTRIBE!Y245</f>
        <v>537627.23286300001</v>
      </c>
      <c r="E236" s="83">
        <f>TDCTRIBE!Z245</f>
        <v>593892.8539060998</v>
      </c>
      <c r="F236" s="83">
        <f>TDCTRIBE!AA245</f>
        <v>670883.01826070005</v>
      </c>
      <c r="G236" s="83">
        <f>TDCTRIBE!AB245</f>
        <v>727154.03193440009</v>
      </c>
      <c r="H236" s="83">
        <f>TDCTRIBE!AC245</f>
        <v>784795.42359260004</v>
      </c>
      <c r="O236" s="9"/>
      <c r="P236" s="1"/>
      <c r="Q236" s="1"/>
      <c r="R236" s="1"/>
      <c r="S236" s="1"/>
      <c r="T236" s="1"/>
      <c r="U236" s="1"/>
      <c r="V236" s="9"/>
      <c r="W236" s="3"/>
      <c r="X236" s="4"/>
      <c r="Y236" s="1"/>
      <c r="Z236" s="1"/>
      <c r="AA236" s="1"/>
      <c r="AB236" s="1"/>
      <c r="AC236" s="1"/>
      <c r="AD236" s="3"/>
      <c r="AE236" s="3"/>
      <c r="AF236" s="5"/>
      <c r="AG236" s="5"/>
      <c r="AH236" s="5"/>
      <c r="AI236" s="5"/>
      <c r="AJ236" s="6"/>
      <c r="AK236" s="6"/>
      <c r="AL236" s="12"/>
      <c r="AM236" s="12"/>
      <c r="AN236" s="12"/>
      <c r="AO236" s="12"/>
      <c r="AP236" s="12"/>
    </row>
    <row r="237" spans="1:42" ht="15" x14ac:dyDescent="0.25">
      <c r="A237" s="82" t="str">
        <f>TDCTRIBE!I246</f>
        <v>Alaska</v>
      </c>
      <c r="B237" s="82" t="str">
        <f>TDCTRIBE!B246</f>
        <v>AK</v>
      </c>
      <c r="C237" s="82" t="str">
        <f>TDCTRIBE!F246</f>
        <v>White Mountain</v>
      </c>
      <c r="D237" s="83">
        <f>TDCTRIBE!Y246</f>
        <v>537627.23286300001</v>
      </c>
      <c r="E237" s="83">
        <f>TDCTRIBE!Z246</f>
        <v>593892.8539060998</v>
      </c>
      <c r="F237" s="83">
        <f>TDCTRIBE!AA246</f>
        <v>670883.01826070005</v>
      </c>
      <c r="G237" s="83">
        <f>TDCTRIBE!AB246</f>
        <v>727154.03193440009</v>
      </c>
      <c r="H237" s="83">
        <f>TDCTRIBE!AC246</f>
        <v>784795.42359260004</v>
      </c>
      <c r="O237" s="9"/>
      <c r="P237" s="1"/>
      <c r="Q237" s="1"/>
      <c r="R237" s="1"/>
      <c r="S237" s="1"/>
      <c r="T237" s="1"/>
      <c r="U237" s="1"/>
      <c r="V237" s="9"/>
      <c r="W237" s="3"/>
      <c r="X237" s="4"/>
      <c r="Y237" s="1"/>
      <c r="Z237" s="1"/>
      <c r="AA237" s="1"/>
      <c r="AB237" s="1"/>
      <c r="AC237" s="1"/>
      <c r="AD237" s="3"/>
      <c r="AE237" s="3"/>
      <c r="AF237" s="5"/>
      <c r="AG237" s="5"/>
      <c r="AH237" s="5"/>
      <c r="AI237" s="5"/>
      <c r="AJ237" s="6"/>
      <c r="AK237" s="6"/>
      <c r="AL237" s="12"/>
      <c r="AM237" s="12"/>
      <c r="AN237" s="12"/>
      <c r="AO237" s="12"/>
      <c r="AP237" s="12"/>
    </row>
    <row r="238" spans="1:42" ht="15" x14ac:dyDescent="0.25">
      <c r="A238" s="82" t="str">
        <f>TDCTRIBE!I247</f>
        <v>Alaska</v>
      </c>
      <c r="B238" s="82" t="str">
        <f>TDCTRIBE!B247</f>
        <v>AK</v>
      </c>
      <c r="C238" s="82" t="str">
        <f>TDCTRIBE!F247</f>
        <v>Wrangell</v>
      </c>
      <c r="D238" s="83">
        <f>TDCTRIBE!Y247</f>
        <v>465666.31849500001</v>
      </c>
      <c r="E238" s="83">
        <f>TDCTRIBE!Z247</f>
        <v>514428.62433899997</v>
      </c>
      <c r="F238" s="83">
        <f>TDCTRIBE!AA247</f>
        <v>581158.19019300013</v>
      </c>
      <c r="G238" s="83">
        <f>TDCTRIBE!AB247</f>
        <v>629926.37213100016</v>
      </c>
      <c r="H238" s="83">
        <f>TDCTRIBE!AC247</f>
        <v>679867.06659900001</v>
      </c>
      <c r="O238" s="9"/>
      <c r="P238" s="1"/>
      <c r="Q238" s="1"/>
      <c r="R238" s="1"/>
      <c r="S238" s="1"/>
      <c r="T238" s="1"/>
      <c r="U238" s="1"/>
      <c r="V238" s="9"/>
      <c r="W238" s="3"/>
      <c r="X238" s="4"/>
      <c r="Y238" s="1"/>
      <c r="Z238" s="1"/>
      <c r="AA238" s="1"/>
      <c r="AB238" s="1"/>
      <c r="AC238" s="1"/>
      <c r="AD238" s="3"/>
      <c r="AE238" s="3"/>
      <c r="AF238" s="5"/>
      <c r="AG238" s="5"/>
      <c r="AH238" s="5"/>
      <c r="AI238" s="5"/>
      <c r="AJ238" s="6"/>
      <c r="AK238" s="6"/>
      <c r="AL238" s="12"/>
      <c r="AM238" s="12"/>
      <c r="AN238" s="12"/>
      <c r="AO238" s="12"/>
      <c r="AP238" s="12"/>
    </row>
    <row r="239" spans="1:42" ht="15" x14ac:dyDescent="0.25">
      <c r="A239" s="82" t="str">
        <f>TDCTRIBE!I248</f>
        <v>Alaska</v>
      </c>
      <c r="B239" s="82" t="str">
        <f>TDCTRIBE!B248</f>
        <v>AK</v>
      </c>
      <c r="C239" s="82" t="str">
        <f>TDCTRIBE!F248</f>
        <v>Yakutat</v>
      </c>
      <c r="D239" s="83">
        <f>TDCTRIBE!Y248</f>
        <v>465666.31849500001</v>
      </c>
      <c r="E239" s="83">
        <f>TDCTRIBE!Z248</f>
        <v>514428.62433899997</v>
      </c>
      <c r="F239" s="83">
        <f>TDCTRIBE!AA248</f>
        <v>581158.19019300013</v>
      </c>
      <c r="G239" s="83">
        <f>TDCTRIBE!AB248</f>
        <v>629926.37213100016</v>
      </c>
      <c r="H239" s="83">
        <f>TDCTRIBE!AC248</f>
        <v>679867.06659900001</v>
      </c>
      <c r="O239" s="9"/>
      <c r="P239" s="1"/>
      <c r="Q239" s="1"/>
      <c r="R239" s="1"/>
      <c r="S239" s="1"/>
      <c r="T239" s="1"/>
      <c r="U239" s="1"/>
      <c r="V239" s="9"/>
      <c r="W239" s="3"/>
      <c r="X239" s="4"/>
      <c r="Y239" s="1"/>
      <c r="Z239" s="1"/>
      <c r="AA239" s="1"/>
      <c r="AB239" s="1"/>
      <c r="AC239" s="1"/>
      <c r="AD239" s="3"/>
      <c r="AE239" s="3"/>
      <c r="AF239" s="5"/>
      <c r="AG239" s="5"/>
      <c r="AH239" s="5"/>
      <c r="AI239" s="5"/>
      <c r="AJ239" s="6"/>
      <c r="AK239" s="6"/>
      <c r="AL239" s="12"/>
      <c r="AM239" s="12"/>
      <c r="AN239" s="12"/>
      <c r="AO239" s="12"/>
      <c r="AP239" s="12"/>
    </row>
    <row r="240" spans="1:42" ht="15" x14ac:dyDescent="0.25">
      <c r="A240" s="82" t="str">
        <f>TDCTRIBE!I249</f>
        <v>Eastern/Woodlands</v>
      </c>
      <c r="B240" s="82" t="str">
        <f>TDCTRIBE!B249</f>
        <v>AL</v>
      </c>
      <c r="C240" s="82" t="str">
        <f>TDCTRIBE!F249</f>
        <v>MOWA Band of Choctaw Indians</v>
      </c>
      <c r="D240" s="83">
        <f>TDCTRIBE!Y249</f>
        <v>260708.75221999999</v>
      </c>
      <c r="E240" s="83">
        <f>TDCTRIBE!Z249</f>
        <v>289094.40246399998</v>
      </c>
      <c r="F240" s="83">
        <f>TDCTRIBE!AA249</f>
        <v>334868.88461600005</v>
      </c>
      <c r="G240" s="83">
        <f>TDCTRIBE!AB249</f>
        <v>361724.51179199998</v>
      </c>
      <c r="H240" s="83">
        <f>TDCTRIBE!AC249</f>
        <v>390077.89452799998</v>
      </c>
      <c r="O240" s="9"/>
      <c r="P240" s="1"/>
      <c r="Q240" s="1"/>
      <c r="R240" s="1"/>
      <c r="S240" s="1"/>
      <c r="T240" s="1"/>
      <c r="U240" s="1"/>
      <c r="V240" s="9"/>
      <c r="W240" s="3"/>
      <c r="X240" s="4"/>
      <c r="Y240" s="1"/>
      <c r="Z240" s="1"/>
      <c r="AA240" s="1"/>
      <c r="AB240" s="1"/>
      <c r="AC240" s="1"/>
      <c r="AD240" s="3"/>
      <c r="AE240" s="3"/>
      <c r="AF240" s="5"/>
      <c r="AG240" s="5"/>
      <c r="AH240" s="5"/>
      <c r="AI240" s="5"/>
      <c r="AJ240" s="6"/>
      <c r="AK240" s="6"/>
      <c r="AL240" s="12"/>
      <c r="AM240" s="12"/>
      <c r="AN240" s="12"/>
      <c r="AO240" s="12"/>
      <c r="AP240" s="12"/>
    </row>
    <row r="241" spans="1:42" ht="15" x14ac:dyDescent="0.25">
      <c r="A241" s="82" t="str">
        <f>TDCTRIBE!I250</f>
        <v>Eastern/Woodlands</v>
      </c>
      <c r="B241" s="82" t="str">
        <f>TDCTRIBE!B250</f>
        <v>AL</v>
      </c>
      <c r="C241" s="82" t="str">
        <f>TDCTRIBE!F250</f>
        <v>Poarch Band of Creek Indians</v>
      </c>
      <c r="D241" s="83">
        <f>TDCTRIBE!Y250</f>
        <v>260708.75221999999</v>
      </c>
      <c r="E241" s="83">
        <f>TDCTRIBE!Z250</f>
        <v>289094.40246399998</v>
      </c>
      <c r="F241" s="83">
        <f>TDCTRIBE!AA250</f>
        <v>334868.88461600005</v>
      </c>
      <c r="G241" s="83">
        <f>TDCTRIBE!AB250</f>
        <v>361724.51179199998</v>
      </c>
      <c r="H241" s="83">
        <f>TDCTRIBE!AC250</f>
        <v>390077.89452799998</v>
      </c>
      <c r="O241" s="9"/>
      <c r="P241" s="1"/>
      <c r="Q241" s="1"/>
      <c r="R241" s="1"/>
      <c r="S241" s="1"/>
      <c r="T241" s="1"/>
      <c r="U241" s="1"/>
      <c r="V241" s="9"/>
      <c r="W241" s="3"/>
      <c r="X241" s="4"/>
      <c r="Y241" s="1"/>
      <c r="Z241" s="1"/>
      <c r="AA241" s="1"/>
      <c r="AB241" s="1"/>
      <c r="AC241" s="1"/>
      <c r="AD241" s="3"/>
      <c r="AE241" s="3"/>
      <c r="AF241" s="5"/>
      <c r="AG241" s="5"/>
      <c r="AH241" s="5"/>
      <c r="AI241" s="5"/>
      <c r="AJ241" s="6"/>
      <c r="AK241" s="6"/>
      <c r="AL241" s="12"/>
      <c r="AM241" s="12"/>
      <c r="AN241" s="12"/>
      <c r="AO241" s="12"/>
      <c r="AP241" s="12"/>
    </row>
    <row r="242" spans="1:42" ht="15" x14ac:dyDescent="0.25">
      <c r="A242" s="82" t="str">
        <f>TDCTRIBE!I251</f>
        <v>Eastern/Woodlands</v>
      </c>
      <c r="B242" s="82" t="str">
        <f>TDCTRIBE!B251</f>
        <v>CT</v>
      </c>
      <c r="C242" s="82" t="str">
        <f>TDCTRIBE!F251</f>
        <v>Mashantucket Pequot Tribe</v>
      </c>
      <c r="D242" s="83">
        <f>TDCTRIBE!Y251</f>
        <v>349980.83967000002</v>
      </c>
      <c r="E242" s="83">
        <f>TDCTRIBE!Z251</f>
        <v>386627.83370399999</v>
      </c>
      <c r="F242" s="83">
        <f>TDCTRIBE!AA251</f>
        <v>446823.27387600008</v>
      </c>
      <c r="G242" s="83">
        <f>TDCTRIBE!AB251</f>
        <v>484012.04506200005</v>
      </c>
      <c r="H242" s="83">
        <f>TDCTRIBE!AC251</f>
        <v>521782.07265800005</v>
      </c>
      <c r="O242" s="9"/>
      <c r="P242" s="1"/>
      <c r="Q242" s="1"/>
      <c r="R242" s="1"/>
      <c r="S242" s="1"/>
      <c r="T242" s="7"/>
      <c r="U242" s="1"/>
      <c r="V242" s="9"/>
      <c r="W242" s="3"/>
      <c r="X242" s="4"/>
      <c r="Y242" s="1"/>
      <c r="Z242" s="1"/>
      <c r="AA242" s="1"/>
      <c r="AB242" s="1"/>
      <c r="AC242" s="1"/>
      <c r="AD242" s="3"/>
      <c r="AE242" s="3"/>
      <c r="AF242" s="5"/>
      <c r="AG242" s="5"/>
      <c r="AH242" s="5"/>
      <c r="AI242" s="5"/>
      <c r="AJ242" s="6"/>
      <c r="AK242" s="6"/>
      <c r="AL242" s="12"/>
      <c r="AM242" s="12"/>
      <c r="AN242" s="12"/>
      <c r="AO242" s="12"/>
      <c r="AP242" s="12"/>
    </row>
    <row r="243" spans="1:42" ht="15" x14ac:dyDescent="0.25">
      <c r="A243" s="82" t="str">
        <f>TDCTRIBE!I252</f>
        <v>Eastern/Woodlands</v>
      </c>
      <c r="B243" s="82" t="str">
        <f>TDCTRIBE!B252</f>
        <v>CT</v>
      </c>
      <c r="C243" s="82" t="str">
        <f>TDCTRIBE!F252</f>
        <v>Mohegan Tribe of Connecticut</v>
      </c>
      <c r="D243" s="83">
        <f>TDCTRIBE!Y252</f>
        <v>349980.83967000002</v>
      </c>
      <c r="E243" s="83">
        <f>TDCTRIBE!Z252</f>
        <v>386627.83370399999</v>
      </c>
      <c r="F243" s="83">
        <f>TDCTRIBE!AA252</f>
        <v>446823.27387600008</v>
      </c>
      <c r="G243" s="83">
        <f>TDCTRIBE!AB252</f>
        <v>484012.04506200005</v>
      </c>
      <c r="H243" s="83">
        <f>TDCTRIBE!AC252</f>
        <v>521782.07265800005</v>
      </c>
      <c r="O243" s="9"/>
      <c r="P243" s="1"/>
      <c r="Q243" s="1"/>
      <c r="R243" s="1"/>
      <c r="S243" s="7"/>
      <c r="T243" s="1"/>
      <c r="U243" s="1"/>
      <c r="V243" s="9"/>
      <c r="W243" s="3"/>
      <c r="X243" s="4"/>
      <c r="Y243" s="1"/>
      <c r="Z243" s="1"/>
      <c r="AA243" s="1"/>
      <c r="AB243" s="1"/>
      <c r="AC243" s="1"/>
      <c r="AD243" s="3"/>
      <c r="AE243" s="3"/>
      <c r="AF243" s="5"/>
      <c r="AG243" s="5"/>
      <c r="AH243" s="5"/>
      <c r="AI243" s="5"/>
      <c r="AJ243" s="6"/>
      <c r="AK243" s="6"/>
      <c r="AL243" s="12"/>
      <c r="AM243" s="12"/>
      <c r="AN243" s="12"/>
      <c r="AO243" s="12"/>
      <c r="AP243" s="12"/>
    </row>
    <row r="244" spans="1:42" ht="15" x14ac:dyDescent="0.25">
      <c r="A244" s="82" t="str">
        <f>TDCTRIBE!I253</f>
        <v>Eastern/Woodlands</v>
      </c>
      <c r="B244" s="82" t="str">
        <f>TDCTRIBE!B253</f>
        <v>FL</v>
      </c>
      <c r="C244" s="82" t="str">
        <f>TDCTRIBE!F253</f>
        <v>Miccosukee Tribe (Miami Dade)</v>
      </c>
      <c r="D244" s="83">
        <f>TDCTRIBE!Y253</f>
        <v>266283.77989499999</v>
      </c>
      <c r="E244" s="83">
        <f>TDCTRIBE!Z253</f>
        <v>295403.93334899994</v>
      </c>
      <c r="F244" s="83">
        <f>TDCTRIBE!AA253</f>
        <v>342607.43673100008</v>
      </c>
      <c r="G244" s="83">
        <f>TDCTRIBE!AB253</f>
        <v>370202.59217199998</v>
      </c>
      <c r="H244" s="83">
        <f>TDCTRIBE!AC253</f>
        <v>399234.003448</v>
      </c>
      <c r="O244" s="9"/>
      <c r="P244" s="1"/>
      <c r="Q244" s="1"/>
      <c r="R244" s="1"/>
      <c r="S244" s="7"/>
      <c r="T244" s="1"/>
      <c r="U244" s="1"/>
      <c r="V244" s="9"/>
      <c r="W244" s="3"/>
      <c r="X244" s="4"/>
      <c r="Y244" s="1"/>
      <c r="Z244" s="1"/>
      <c r="AA244" s="1"/>
      <c r="AB244" s="1"/>
      <c r="AC244" s="1"/>
      <c r="AD244" s="3"/>
      <c r="AE244" s="3"/>
      <c r="AF244" s="5"/>
      <c r="AG244" s="5"/>
      <c r="AH244" s="5"/>
      <c r="AI244" s="5"/>
      <c r="AJ244" s="6"/>
      <c r="AK244" s="6"/>
      <c r="AL244" s="12"/>
      <c r="AM244" s="12"/>
      <c r="AN244" s="12"/>
      <c r="AO244" s="12"/>
      <c r="AP244" s="12"/>
    </row>
    <row r="245" spans="1:42" ht="15" x14ac:dyDescent="0.25">
      <c r="A245" s="82" t="str">
        <f>TDCTRIBE!I254</f>
        <v>Eastern/Woodlands</v>
      </c>
      <c r="B245" s="82" t="str">
        <f>TDCTRIBE!B254</f>
        <v>FL</v>
      </c>
      <c r="C245" s="82" t="str">
        <f>TDCTRIBE!F254</f>
        <v>Seminole Tribe - Hollywood (Broward Co.)</v>
      </c>
      <c r="D245" s="83">
        <f>TDCTRIBE!Y254</f>
        <v>269288.76442999998</v>
      </c>
      <c r="E245" s="83">
        <f>TDCTRIBE!Z254</f>
        <v>298733.55706599995</v>
      </c>
      <c r="F245" s="83">
        <f>TDCTRIBE!AA254</f>
        <v>346455.69925400009</v>
      </c>
      <c r="G245" s="83">
        <f>TDCTRIBE!AB254</f>
        <v>374357.10664799996</v>
      </c>
      <c r="H245" s="83">
        <f>TDCTRIBE!AC254</f>
        <v>403713.89643199998</v>
      </c>
      <c r="O245" s="9"/>
      <c r="P245" s="1"/>
      <c r="Q245" s="1"/>
      <c r="R245" s="1"/>
      <c r="S245" s="1"/>
      <c r="T245" s="1"/>
      <c r="U245" s="1"/>
      <c r="V245" s="9"/>
      <c r="W245" s="3"/>
      <c r="X245" s="4"/>
      <c r="Y245" s="1"/>
      <c r="Z245" s="1"/>
      <c r="AA245" s="1"/>
      <c r="AB245" s="1"/>
      <c r="AC245" s="1"/>
      <c r="AD245" s="3"/>
      <c r="AE245" s="3"/>
      <c r="AF245" s="5"/>
      <c r="AG245" s="5"/>
      <c r="AH245" s="5"/>
      <c r="AI245" s="5"/>
      <c r="AJ245" s="6"/>
      <c r="AK245" s="6"/>
      <c r="AL245" s="12"/>
      <c r="AM245" s="12"/>
      <c r="AN245" s="12"/>
      <c r="AO245" s="12"/>
      <c r="AP245" s="12"/>
    </row>
    <row r="246" spans="1:42" ht="15" x14ac:dyDescent="0.25">
      <c r="A246" s="82" t="str">
        <f>TDCTRIBE!I255</f>
        <v>Eastern/Woodlands</v>
      </c>
      <c r="B246" s="82" t="str">
        <f>TDCTRIBE!B255</f>
        <v>FL</v>
      </c>
      <c r="C246" s="82" t="str">
        <f>TDCTRIBE!F255</f>
        <v>Seminole Tribe - Tampa (Hillsborough Co.)</v>
      </c>
      <c r="D246" s="83">
        <f>TDCTRIBE!Y255</f>
        <v>267713.78193</v>
      </c>
      <c r="E246" s="83">
        <f>TDCTRIBE!Z255</f>
        <v>297010.45911599998</v>
      </c>
      <c r="F246" s="83">
        <f>TDCTRIBE!AA255</f>
        <v>344538.5725040001</v>
      </c>
      <c r="G246" s="83">
        <f>TDCTRIBE!AB255</f>
        <v>372308.02464800002</v>
      </c>
      <c r="H246" s="83">
        <f>TDCTRIBE!AC255</f>
        <v>401506.67043200001</v>
      </c>
      <c r="O246" s="9"/>
      <c r="P246" s="1"/>
      <c r="Q246" s="1"/>
      <c r="R246" s="1"/>
      <c r="S246" s="1"/>
      <c r="T246" s="1"/>
      <c r="U246" s="1"/>
      <c r="V246" s="9"/>
      <c r="W246" s="3"/>
      <c r="X246" s="4"/>
      <c r="Y246" s="1"/>
      <c r="Z246" s="1"/>
      <c r="AA246" s="1"/>
      <c r="AB246" s="1"/>
      <c r="AC246" s="1"/>
      <c r="AD246" s="3"/>
      <c r="AE246" s="3"/>
      <c r="AF246" s="5"/>
      <c r="AG246" s="5"/>
      <c r="AH246" s="5"/>
      <c r="AI246" s="5"/>
      <c r="AJ246" s="6"/>
      <c r="AK246" s="6"/>
      <c r="AL246" s="12"/>
      <c r="AM246" s="12"/>
      <c r="AN246" s="12"/>
      <c r="AO246" s="12"/>
      <c r="AP246" s="12"/>
    </row>
    <row r="247" spans="1:42" ht="15" x14ac:dyDescent="0.25">
      <c r="A247" s="82" t="str">
        <f>TDCTRIBE!I256</f>
        <v>Eastern/Woodlands</v>
      </c>
      <c r="B247" s="82" t="str">
        <f>TDCTRIBE!B256</f>
        <v>FL</v>
      </c>
      <c r="C247" s="82" t="str">
        <f>TDCTRIBE!F256</f>
        <v>Brighton Reservation (Glades Co.)</v>
      </c>
      <c r="D247" s="83">
        <f>TDCTRIBE!Y256</f>
        <v>260418.79128999996</v>
      </c>
      <c r="E247" s="83">
        <f>TDCTRIBE!Z256</f>
        <v>288861.25809800002</v>
      </c>
      <c r="F247" s="83">
        <f>TDCTRIBE!AA256</f>
        <v>334896.90266200004</v>
      </c>
      <c r="G247" s="83">
        <f>TDCTRIBE!AB256</f>
        <v>361837.21274400002</v>
      </c>
      <c r="H247" s="83">
        <f>TDCTRIBE!AC256</f>
        <v>390208.77649600001</v>
      </c>
      <c r="O247" s="9"/>
      <c r="P247" s="1"/>
      <c r="Q247" s="1"/>
      <c r="R247" s="1"/>
      <c r="S247" s="1"/>
      <c r="T247" s="1"/>
      <c r="U247" s="1"/>
      <c r="V247" s="9"/>
      <c r="W247" s="3"/>
      <c r="X247" s="4"/>
      <c r="Y247" s="1"/>
      <c r="Z247" s="1"/>
      <c r="AA247" s="1"/>
      <c r="AB247" s="1"/>
      <c r="AC247" s="1"/>
      <c r="AD247" s="3"/>
      <c r="AE247" s="3"/>
      <c r="AF247" s="5"/>
      <c r="AG247" s="5"/>
      <c r="AH247" s="5"/>
      <c r="AI247" s="5"/>
      <c r="AJ247" s="6"/>
      <c r="AK247" s="6"/>
      <c r="AL247" s="12"/>
      <c r="AM247" s="12"/>
      <c r="AN247" s="12"/>
      <c r="AO247" s="12"/>
      <c r="AP247" s="12"/>
    </row>
    <row r="248" spans="1:42" ht="15" x14ac:dyDescent="0.25">
      <c r="A248" s="82" t="str">
        <f>TDCTRIBE!I257</f>
        <v>Eastern/Woodlands</v>
      </c>
      <c r="B248" s="82" t="str">
        <f>TDCTRIBE!B257</f>
        <v>FL</v>
      </c>
      <c r="C248" s="82" t="str">
        <f>TDCTRIBE!F257</f>
        <v>Immokalee Reservation (Collier Co.)</v>
      </c>
      <c r="D248" s="83">
        <f>TDCTRIBE!Y257</f>
        <v>260418.79128999996</v>
      </c>
      <c r="E248" s="83">
        <f>TDCTRIBE!Z257</f>
        <v>288861.25809800002</v>
      </c>
      <c r="F248" s="83">
        <f>TDCTRIBE!AA257</f>
        <v>334896.90266200004</v>
      </c>
      <c r="G248" s="83">
        <f>TDCTRIBE!AB257</f>
        <v>361837.21274400002</v>
      </c>
      <c r="H248" s="83">
        <f>TDCTRIBE!AC257</f>
        <v>390208.77649600001</v>
      </c>
      <c r="O248" s="9"/>
      <c r="P248" s="1"/>
      <c r="Q248" s="1"/>
      <c r="R248" s="1"/>
      <c r="S248" s="1"/>
      <c r="T248" s="1"/>
      <c r="U248" s="1"/>
      <c r="V248" s="9"/>
      <c r="W248" s="3"/>
      <c r="X248" s="4"/>
      <c r="Y248" s="1"/>
      <c r="Z248" s="1"/>
      <c r="AA248" s="1"/>
      <c r="AB248" s="1"/>
      <c r="AC248" s="1"/>
      <c r="AD248" s="3"/>
      <c r="AE248" s="3"/>
      <c r="AF248" s="5"/>
      <c r="AG248" s="5"/>
      <c r="AH248" s="5"/>
      <c r="AI248" s="5"/>
      <c r="AJ248" s="6"/>
      <c r="AK248" s="6"/>
      <c r="AL248" s="12"/>
      <c r="AM248" s="12"/>
      <c r="AN248" s="12"/>
      <c r="AO248" s="12"/>
      <c r="AP248" s="12"/>
    </row>
    <row r="249" spans="1:42" ht="15" x14ac:dyDescent="0.25">
      <c r="A249" s="82" t="str">
        <f>TDCTRIBE!I258</f>
        <v>Eastern/Woodlands</v>
      </c>
      <c r="B249" s="82" t="str">
        <f>TDCTRIBE!B258</f>
        <v>FL</v>
      </c>
      <c r="C249" s="82" t="str">
        <f>TDCTRIBE!F258</f>
        <v>Big Cypress Reservation (Broward/Hendry/PB Co.)</v>
      </c>
      <c r="D249" s="83">
        <f>TDCTRIBE!Y258</f>
        <v>269288.76442999998</v>
      </c>
      <c r="E249" s="83">
        <f>TDCTRIBE!Z258</f>
        <v>298733.55706599995</v>
      </c>
      <c r="F249" s="83">
        <f>TDCTRIBE!AA258</f>
        <v>346455.69925400009</v>
      </c>
      <c r="G249" s="83">
        <f>TDCTRIBE!AB258</f>
        <v>374357.10664799996</v>
      </c>
      <c r="H249" s="83">
        <f>TDCTRIBE!AC258</f>
        <v>403713.89643199998</v>
      </c>
      <c r="O249" s="9"/>
      <c r="P249" s="1"/>
      <c r="Q249" s="1"/>
      <c r="R249" s="1"/>
      <c r="S249" s="1"/>
      <c r="T249" s="1"/>
      <c r="U249" s="1"/>
      <c r="V249" s="9"/>
      <c r="W249" s="3"/>
      <c r="X249" s="4"/>
      <c r="Y249" s="1"/>
      <c r="Z249" s="1"/>
      <c r="AA249" s="1"/>
      <c r="AB249" s="1"/>
      <c r="AC249" s="1"/>
      <c r="AD249" s="3"/>
      <c r="AE249" s="3"/>
      <c r="AF249" s="5"/>
      <c r="AG249" s="5"/>
      <c r="AH249" s="5"/>
      <c r="AI249" s="5"/>
      <c r="AJ249" s="6"/>
      <c r="AK249" s="6"/>
      <c r="AL249" s="12"/>
      <c r="AM249" s="12"/>
      <c r="AN249" s="12"/>
      <c r="AO249" s="12"/>
      <c r="AP249" s="12"/>
    </row>
    <row r="250" spans="1:42" ht="15" x14ac:dyDescent="0.25">
      <c r="A250" s="82" t="str">
        <f>TDCTRIBE!I259</f>
        <v>Eastern/Woodlands</v>
      </c>
      <c r="B250" s="82" t="str">
        <f>TDCTRIBE!B259</f>
        <v>FL</v>
      </c>
      <c r="C250" s="82" t="str">
        <f>TDCTRIBE!F259</f>
        <v>Fort Pierce (St. Lucie Co.)</v>
      </c>
      <c r="D250" s="83">
        <f>TDCTRIBE!Y259</f>
        <v>270718.76646499999</v>
      </c>
      <c r="E250" s="83">
        <f>TDCTRIBE!Z259</f>
        <v>300340.08283299999</v>
      </c>
      <c r="F250" s="83">
        <f>TDCTRIBE!AA259</f>
        <v>348386.83502699999</v>
      </c>
      <c r="G250" s="83">
        <f>TDCTRIBE!AB259</f>
        <v>376462.53912399994</v>
      </c>
      <c r="H250" s="83">
        <f>TDCTRIBE!AC259</f>
        <v>405986.56341599999</v>
      </c>
      <c r="O250" s="9"/>
      <c r="P250" s="1"/>
      <c r="Q250" s="1"/>
      <c r="R250" s="1"/>
      <c r="S250" s="1"/>
      <c r="T250" s="1"/>
      <c r="U250" s="1"/>
      <c r="V250" s="9"/>
      <c r="W250" s="3"/>
      <c r="X250" s="4"/>
      <c r="Y250" s="1"/>
      <c r="Z250" s="1"/>
      <c r="AA250" s="1"/>
      <c r="AB250" s="1"/>
      <c r="AC250" s="1"/>
      <c r="AD250" s="3"/>
      <c r="AE250" s="3"/>
      <c r="AF250" s="5"/>
      <c r="AG250" s="5"/>
      <c r="AH250" s="5"/>
      <c r="AI250" s="5"/>
      <c r="AJ250" s="6"/>
      <c r="AK250" s="6"/>
      <c r="AL250" s="12"/>
      <c r="AM250" s="12"/>
      <c r="AN250" s="12"/>
      <c r="AO250" s="12"/>
      <c r="AP250" s="12"/>
    </row>
    <row r="251" spans="1:42" ht="15" x14ac:dyDescent="0.25">
      <c r="A251" s="82" t="str">
        <f>TDCTRIBE!I260</f>
        <v>Eastern/Woodlands</v>
      </c>
      <c r="B251" s="82" t="str">
        <f>TDCTRIBE!B260</f>
        <v>IA</v>
      </c>
      <c r="C251" s="82" t="str">
        <f>TDCTRIBE!F260</f>
        <v>Sac &amp; Fox Tribe</v>
      </c>
      <c r="D251" s="83">
        <f>TDCTRIBE!Y260</f>
        <v>302435.02789500001</v>
      </c>
      <c r="E251" s="83">
        <f>TDCTRIBE!Z260</f>
        <v>334113.76569899998</v>
      </c>
      <c r="F251" s="83">
        <f>TDCTRIBE!AA260</f>
        <v>374787.74185650004</v>
      </c>
      <c r="G251" s="83">
        <f>TDCTRIBE!AB260</f>
        <v>405872.391603</v>
      </c>
      <c r="H251" s="83">
        <f>TDCTRIBE!AC260</f>
        <v>437525.74432699999</v>
      </c>
      <c r="O251" s="9"/>
      <c r="P251" s="1"/>
      <c r="Q251" s="1"/>
      <c r="R251" s="1"/>
      <c r="S251" s="1"/>
      <c r="T251" s="1"/>
      <c r="U251" s="1"/>
      <c r="V251" s="9"/>
      <c r="W251" s="3"/>
      <c r="X251" s="4"/>
      <c r="Y251" s="1"/>
      <c r="Z251" s="1"/>
      <c r="AA251" s="1"/>
      <c r="AB251" s="1"/>
      <c r="AC251" s="1"/>
      <c r="AD251" s="3"/>
      <c r="AE251" s="3"/>
      <c r="AF251" s="5"/>
      <c r="AG251" s="5"/>
      <c r="AH251" s="5"/>
      <c r="AI251" s="5"/>
      <c r="AJ251" s="6"/>
      <c r="AK251" s="6"/>
      <c r="AL251" s="12"/>
      <c r="AM251" s="12"/>
      <c r="AN251" s="12"/>
      <c r="AO251" s="12"/>
      <c r="AP251" s="12"/>
    </row>
    <row r="252" spans="1:42" ht="15" x14ac:dyDescent="0.25">
      <c r="A252" s="82" t="str">
        <f>TDCTRIBE!I261</f>
        <v>Eastern/Woodlands</v>
      </c>
      <c r="B252" s="82" t="str">
        <f>TDCTRIBE!B261</f>
        <v>IN</v>
      </c>
      <c r="C252" s="82" t="str">
        <f>TDCTRIBE!F261</f>
        <v>Pokagon Band of Potawatomi</v>
      </c>
      <c r="D252" s="83">
        <f>TDCTRIBE!Y261</f>
        <v>354862.64352000004</v>
      </c>
      <c r="E252" s="83">
        <f>TDCTRIBE!Z261</f>
        <v>392425.43957400002</v>
      </c>
      <c r="F252" s="83">
        <f>TDCTRIBE!AA261</f>
        <v>440466.64036900009</v>
      </c>
      <c r="G252" s="83">
        <f>TDCTRIBE!AB261</f>
        <v>477314.27312799997</v>
      </c>
      <c r="H252" s="83">
        <f>TDCTRIBE!AC261</f>
        <v>514594.53805200005</v>
      </c>
      <c r="O252" s="9"/>
      <c r="P252" s="1"/>
      <c r="Q252" s="1"/>
      <c r="R252" s="1"/>
      <c r="S252" s="1"/>
      <c r="T252" s="1"/>
      <c r="U252" s="1"/>
      <c r="V252" s="9"/>
      <c r="W252" s="3"/>
      <c r="X252" s="4"/>
      <c r="Y252" s="1"/>
      <c r="Z252" s="1"/>
      <c r="AA252" s="1"/>
      <c r="AB252" s="1"/>
      <c r="AC252" s="1"/>
      <c r="AD252" s="3"/>
      <c r="AE252" s="3"/>
      <c r="AF252" s="5"/>
      <c r="AG252" s="5"/>
      <c r="AH252" s="5"/>
      <c r="AI252" s="5"/>
      <c r="AJ252" s="6"/>
      <c r="AK252" s="6"/>
      <c r="AL252" s="12"/>
      <c r="AM252" s="12"/>
      <c r="AN252" s="12"/>
      <c r="AO252" s="12"/>
      <c r="AP252" s="12"/>
    </row>
    <row r="253" spans="1:42" ht="15" x14ac:dyDescent="0.25">
      <c r="A253" s="82" t="str">
        <f>TDCTRIBE!I262</f>
        <v>Eastern/Woodlands</v>
      </c>
      <c r="B253" s="82" t="str">
        <f>TDCTRIBE!B262</f>
        <v>MA</v>
      </c>
      <c r="C253" s="82" t="str">
        <f>TDCTRIBE!F262</f>
        <v>Wampanoag Tribe - Aquinnah</v>
      </c>
      <c r="D253" s="83">
        <f>TDCTRIBE!Y262</f>
        <v>450090.92060625</v>
      </c>
      <c r="E253" s="83">
        <f>TDCTRIBE!Z262</f>
        <v>497566.47588374995</v>
      </c>
      <c r="F253" s="83">
        <f>TDCTRIBE!AA262</f>
        <v>576105.28374437499</v>
      </c>
      <c r="G253" s="83">
        <f>TDCTRIBE!AB262</f>
        <v>624340.77871375007</v>
      </c>
      <c r="H253" s="83">
        <f>TDCTRIBE!AC262</f>
        <v>673111.59192375001</v>
      </c>
      <c r="O253" s="9"/>
      <c r="P253" s="1"/>
      <c r="Q253" s="1"/>
      <c r="R253" s="1"/>
      <c r="S253" s="7"/>
      <c r="T253" s="1"/>
      <c r="U253" s="1"/>
      <c r="V253" s="9"/>
      <c r="W253" s="3"/>
      <c r="X253" s="4"/>
      <c r="Y253" s="1"/>
      <c r="Z253" s="1"/>
      <c r="AA253" s="1"/>
      <c r="AB253" s="1"/>
      <c r="AC253" s="7"/>
      <c r="AD253" s="3"/>
      <c r="AE253" s="3"/>
      <c r="AF253" s="5"/>
      <c r="AG253" s="5"/>
      <c r="AH253" s="5"/>
      <c r="AI253" s="5"/>
      <c r="AJ253" s="6"/>
      <c r="AK253" s="6"/>
      <c r="AL253" s="12"/>
      <c r="AM253" s="12"/>
      <c r="AN253" s="12"/>
      <c r="AO253" s="12"/>
      <c r="AP253" s="12"/>
    </row>
    <row r="254" spans="1:42" ht="15" x14ac:dyDescent="0.25">
      <c r="A254" s="82" t="str">
        <f>TDCTRIBE!I263</f>
        <v>Eastern/Woodlands</v>
      </c>
      <c r="B254" s="82" t="str">
        <f>TDCTRIBE!B263</f>
        <v>MA</v>
      </c>
      <c r="C254" s="82" t="str">
        <f>TDCTRIBE!F263</f>
        <v>Wampanoag Tribe - Mashpee</v>
      </c>
      <c r="D254" s="83">
        <f>TDCTRIBE!Y263</f>
        <v>358761.18316499999</v>
      </c>
      <c r="E254" s="83">
        <f>TDCTRIBE!Z263</f>
        <v>396528.51237299998</v>
      </c>
      <c r="F254" s="83">
        <f>TDCTRIBE!AA263</f>
        <v>458887.54802450002</v>
      </c>
      <c r="G254" s="83">
        <f>TDCTRIBE!AB263</f>
        <v>497246.95451900002</v>
      </c>
      <c r="H254" s="83">
        <f>TDCTRIBE!AC263</f>
        <v>536078.92837099999</v>
      </c>
      <c r="O254" s="9"/>
      <c r="P254" s="1"/>
      <c r="Q254" s="1"/>
      <c r="R254" s="1"/>
      <c r="S254" s="7"/>
      <c r="T254" s="1"/>
      <c r="U254" s="1"/>
      <c r="V254" s="9"/>
      <c r="W254" s="3"/>
      <c r="X254" s="4"/>
      <c r="Y254" s="1"/>
      <c r="Z254" s="1"/>
      <c r="AA254" s="1"/>
      <c r="AB254" s="1"/>
      <c r="AC254" s="1"/>
      <c r="AD254" s="3"/>
      <c r="AE254" s="3"/>
      <c r="AF254" s="5"/>
      <c r="AG254" s="5"/>
      <c r="AH254" s="5"/>
      <c r="AI254" s="5"/>
      <c r="AJ254" s="6"/>
      <c r="AK254" s="6"/>
      <c r="AL254" s="12"/>
      <c r="AM254" s="12"/>
      <c r="AN254" s="12"/>
      <c r="AO254" s="12"/>
      <c r="AP254" s="12"/>
    </row>
    <row r="255" spans="1:42" ht="15" x14ac:dyDescent="0.25">
      <c r="A255" s="82" t="str">
        <f>TDCTRIBE!I264</f>
        <v>Eastern/Woodlands</v>
      </c>
      <c r="B255" s="82" t="str">
        <f>TDCTRIBE!B264</f>
        <v>ME</v>
      </c>
      <c r="C255" s="82" t="str">
        <f>TDCTRIBE!F264</f>
        <v>Aroostook Band of Micmac</v>
      </c>
      <c r="D255" s="83">
        <f>TDCTRIBE!Y264</f>
        <v>289391.73532500002</v>
      </c>
      <c r="E255" s="83">
        <f>TDCTRIBE!Z264</f>
        <v>319808.94676499994</v>
      </c>
      <c r="F255" s="83">
        <f>TDCTRIBE!AA264</f>
        <v>369955.90917250002</v>
      </c>
      <c r="G255" s="83">
        <f>TDCTRIBE!AB264</f>
        <v>400842.038695</v>
      </c>
      <c r="H255" s="83">
        <f>TDCTRIBE!AC264</f>
        <v>432138.49675499997</v>
      </c>
      <c r="O255" s="9"/>
      <c r="P255" s="1"/>
      <c r="Q255" s="1"/>
      <c r="R255" s="1"/>
      <c r="S255" s="1"/>
      <c r="T255" s="1"/>
      <c r="U255" s="1"/>
      <c r="V255" s="9"/>
      <c r="W255" s="3"/>
      <c r="X255" s="4"/>
      <c r="Y255" s="1"/>
      <c r="Z255" s="1"/>
      <c r="AA255" s="1"/>
      <c r="AB255" s="1"/>
      <c r="AC255" s="1"/>
      <c r="AD255" s="3"/>
      <c r="AE255" s="3"/>
      <c r="AF255" s="5"/>
      <c r="AG255" s="5"/>
      <c r="AH255" s="5"/>
      <c r="AI255" s="5"/>
      <c r="AJ255" s="6"/>
      <c r="AK255" s="6"/>
      <c r="AL255" s="12"/>
      <c r="AM255" s="12"/>
      <c r="AN255" s="12"/>
      <c r="AO255" s="12"/>
      <c r="AP255" s="12"/>
    </row>
    <row r="256" spans="1:42" ht="15" x14ac:dyDescent="0.25">
      <c r="A256" s="82" t="str">
        <f>TDCTRIBE!I265</f>
        <v>Eastern/Woodlands</v>
      </c>
      <c r="B256" s="82" t="str">
        <f>TDCTRIBE!B265</f>
        <v>ME</v>
      </c>
      <c r="C256" s="82" t="str">
        <f>TDCTRIBE!F265</f>
        <v>Houlton Band of Maliseets</v>
      </c>
      <c r="D256" s="83">
        <f>TDCTRIBE!Y265</f>
        <v>289391.73532500002</v>
      </c>
      <c r="E256" s="83">
        <f>TDCTRIBE!Z265</f>
        <v>319808.94676499994</v>
      </c>
      <c r="F256" s="83">
        <f>TDCTRIBE!AA265</f>
        <v>369955.90917250002</v>
      </c>
      <c r="G256" s="83">
        <f>TDCTRIBE!AB265</f>
        <v>400842.038695</v>
      </c>
      <c r="H256" s="83">
        <f>TDCTRIBE!AC265</f>
        <v>432138.49675499997</v>
      </c>
      <c r="O256" s="9"/>
      <c r="P256" s="1"/>
      <c r="Q256" s="1"/>
      <c r="R256" s="1"/>
      <c r="S256" s="1"/>
      <c r="T256" s="1"/>
      <c r="U256" s="1"/>
      <c r="V256" s="9"/>
      <c r="W256" s="3"/>
      <c r="X256" s="4"/>
      <c r="Y256" s="1"/>
      <c r="Z256" s="1"/>
      <c r="AA256" s="1"/>
      <c r="AB256" s="1"/>
      <c r="AC256" s="1"/>
      <c r="AD256" s="3"/>
      <c r="AE256" s="3"/>
      <c r="AF256" s="5"/>
      <c r="AG256" s="5"/>
      <c r="AH256" s="5"/>
      <c r="AI256" s="5"/>
      <c r="AJ256" s="6"/>
      <c r="AK256" s="6"/>
      <c r="AL256" s="12"/>
      <c r="AM256" s="12"/>
      <c r="AN256" s="12"/>
      <c r="AO256" s="12"/>
      <c r="AP256" s="12"/>
    </row>
    <row r="257" spans="1:42" ht="15" x14ac:dyDescent="0.25">
      <c r="A257" s="82" t="str">
        <f>TDCTRIBE!I266</f>
        <v>Eastern/Woodlands</v>
      </c>
      <c r="B257" s="82" t="str">
        <f>TDCTRIBE!B266</f>
        <v>ME</v>
      </c>
      <c r="C257" s="82" t="str">
        <f>TDCTRIBE!F266</f>
        <v>Indian Township Passamaquody</v>
      </c>
      <c r="D257" s="83">
        <f>TDCTRIBE!Y266</f>
        <v>300212.451</v>
      </c>
      <c r="E257" s="83">
        <f>TDCTRIBE!Z266</f>
        <v>331836.42870000005</v>
      </c>
      <c r="F257" s="83">
        <f>TDCTRIBE!AA266</f>
        <v>384084.22255000006</v>
      </c>
      <c r="G257" s="83">
        <f>TDCTRIBE!AB266</f>
        <v>416207.33560000005</v>
      </c>
      <c r="H257" s="83">
        <f>TDCTRIBE!AC266</f>
        <v>448713.52540000004</v>
      </c>
      <c r="O257" s="9"/>
      <c r="P257" s="1"/>
      <c r="Q257" s="1"/>
      <c r="R257" s="1"/>
      <c r="S257" s="7"/>
      <c r="T257" s="1"/>
      <c r="U257" s="1"/>
      <c r="V257" s="9"/>
      <c r="W257" s="3"/>
      <c r="X257" s="4"/>
      <c r="Y257" s="1"/>
      <c r="Z257" s="1"/>
      <c r="AA257" s="1"/>
      <c r="AB257" s="1"/>
      <c r="AC257" s="1"/>
      <c r="AD257" s="3"/>
      <c r="AE257" s="3"/>
      <c r="AF257" s="5"/>
      <c r="AG257" s="5"/>
      <c r="AH257" s="5"/>
      <c r="AI257" s="5"/>
      <c r="AJ257" s="6"/>
      <c r="AK257" s="6"/>
      <c r="AL257" s="12"/>
      <c r="AM257" s="12"/>
      <c r="AN257" s="12"/>
      <c r="AO257" s="12"/>
      <c r="AP257" s="12"/>
    </row>
    <row r="258" spans="1:42" ht="15" x14ac:dyDescent="0.25">
      <c r="A258" s="82" t="str">
        <f>TDCTRIBE!I267</f>
        <v>Eastern/Woodlands</v>
      </c>
      <c r="B258" s="82" t="str">
        <f>TDCTRIBE!B267</f>
        <v>ME</v>
      </c>
      <c r="C258" s="82" t="str">
        <f>TDCTRIBE!F267</f>
        <v>Penobscot Tribe</v>
      </c>
      <c r="D258" s="83">
        <f>TDCTRIBE!Y267</f>
        <v>300212.451</v>
      </c>
      <c r="E258" s="83">
        <f>TDCTRIBE!Z267</f>
        <v>331836.42870000005</v>
      </c>
      <c r="F258" s="83">
        <f>TDCTRIBE!AA267</f>
        <v>384084.22255000006</v>
      </c>
      <c r="G258" s="83">
        <f>TDCTRIBE!AB267</f>
        <v>416207.33560000005</v>
      </c>
      <c r="H258" s="83">
        <f>TDCTRIBE!AC267</f>
        <v>448713.52540000004</v>
      </c>
      <c r="O258" s="9"/>
      <c r="P258" s="1"/>
      <c r="Q258" s="1"/>
      <c r="R258" s="1"/>
      <c r="S258" s="1"/>
      <c r="T258" s="1"/>
      <c r="U258" s="1"/>
      <c r="V258" s="9"/>
      <c r="W258" s="3"/>
      <c r="X258" s="4"/>
      <c r="Y258" s="1"/>
      <c r="Z258" s="1"/>
      <c r="AA258" s="1"/>
      <c r="AB258" s="1"/>
      <c r="AC258" s="1"/>
      <c r="AD258" s="3"/>
      <c r="AE258" s="3"/>
      <c r="AF258" s="5"/>
      <c r="AG258" s="5"/>
      <c r="AH258" s="5"/>
      <c r="AI258" s="5"/>
      <c r="AJ258" s="6"/>
      <c r="AK258" s="6"/>
      <c r="AL258" s="12"/>
      <c r="AM258" s="12"/>
      <c r="AN258" s="12"/>
      <c r="AO258" s="12"/>
      <c r="AP258" s="12"/>
    </row>
    <row r="259" spans="1:42" ht="15" x14ac:dyDescent="0.25">
      <c r="A259" s="82" t="str">
        <f>TDCTRIBE!I268</f>
        <v>Eastern/Woodlands</v>
      </c>
      <c r="B259" s="82" t="str">
        <f>TDCTRIBE!B268</f>
        <v>ME</v>
      </c>
      <c r="C259" s="82" t="str">
        <f>TDCTRIBE!F268</f>
        <v>Pleasant Point Passamaquody</v>
      </c>
      <c r="D259" s="83">
        <f>TDCTRIBE!Y268</f>
        <v>300212.451</v>
      </c>
      <c r="E259" s="83">
        <f>TDCTRIBE!Z268</f>
        <v>331836.42870000005</v>
      </c>
      <c r="F259" s="83">
        <f>TDCTRIBE!AA268</f>
        <v>384084.22255000006</v>
      </c>
      <c r="G259" s="83">
        <f>TDCTRIBE!AB268</f>
        <v>416207.33560000005</v>
      </c>
      <c r="H259" s="83">
        <f>TDCTRIBE!AC268</f>
        <v>448713.52540000004</v>
      </c>
      <c r="O259" s="9"/>
      <c r="P259" s="1"/>
      <c r="Q259" s="1"/>
      <c r="R259" s="1"/>
      <c r="S259" s="7"/>
      <c r="T259" s="1"/>
      <c r="U259" s="1"/>
      <c r="V259" s="9"/>
      <c r="W259" s="3"/>
      <c r="X259" s="4"/>
      <c r="Y259" s="1"/>
      <c r="Z259" s="1"/>
      <c r="AA259" s="1"/>
      <c r="AB259" s="1"/>
      <c r="AC259" s="1"/>
      <c r="AD259" s="3"/>
      <c r="AE259" s="3"/>
      <c r="AF259" s="5"/>
      <c r="AG259" s="5"/>
      <c r="AH259" s="5"/>
      <c r="AI259" s="5"/>
      <c r="AJ259" s="6"/>
      <c r="AK259" s="6"/>
      <c r="AL259" s="12"/>
      <c r="AM259" s="12"/>
      <c r="AN259" s="12"/>
      <c r="AO259" s="12"/>
      <c r="AP259" s="12"/>
    </row>
    <row r="260" spans="1:42" ht="15" x14ac:dyDescent="0.25">
      <c r="A260" s="82" t="str">
        <f>TDCTRIBE!I269</f>
        <v>Eastern/Woodlands</v>
      </c>
      <c r="B260" s="82" t="str">
        <f>TDCTRIBE!B269</f>
        <v>MI</v>
      </c>
      <c r="C260" s="82" t="str">
        <f>TDCTRIBE!F269</f>
        <v>Bay Mills Indian Community</v>
      </c>
      <c r="D260" s="83">
        <f>TDCTRIBE!Y269</f>
        <v>292014.84196499997</v>
      </c>
      <c r="E260" s="83">
        <f>TDCTRIBE!Z269</f>
        <v>322858.28343300003</v>
      </c>
      <c r="F260" s="83">
        <f>TDCTRIBE!AA269</f>
        <v>362337.32238550007</v>
      </c>
      <c r="G260" s="83">
        <f>TDCTRIBE!AB269</f>
        <v>392595.33840100002</v>
      </c>
      <c r="H260" s="83">
        <f>TDCTRIBE!AC269</f>
        <v>423249.30890899996</v>
      </c>
      <c r="O260" s="9"/>
      <c r="P260" s="1"/>
      <c r="Q260" s="1"/>
      <c r="R260" s="1"/>
      <c r="S260" s="1"/>
      <c r="T260" s="1"/>
      <c r="U260" s="1"/>
      <c r="V260" s="9"/>
      <c r="W260" s="3"/>
      <c r="X260" s="4"/>
      <c r="Y260" s="1"/>
      <c r="Z260" s="1"/>
      <c r="AA260" s="1"/>
      <c r="AB260" s="1"/>
      <c r="AC260" s="1"/>
      <c r="AD260" s="3"/>
      <c r="AE260" s="3"/>
      <c r="AF260" s="5"/>
      <c r="AG260" s="5"/>
      <c r="AH260" s="5"/>
      <c r="AI260" s="5"/>
      <c r="AJ260" s="6"/>
      <c r="AK260" s="6"/>
      <c r="AL260" s="12"/>
      <c r="AM260" s="12"/>
      <c r="AN260" s="12"/>
      <c r="AO260" s="12"/>
      <c r="AP260" s="12"/>
    </row>
    <row r="261" spans="1:42" ht="15" x14ac:dyDescent="0.25">
      <c r="A261" s="82" t="str">
        <f>TDCTRIBE!I270</f>
        <v>Eastern/Woodlands</v>
      </c>
      <c r="B261" s="82" t="str">
        <f>TDCTRIBE!B270</f>
        <v>MI</v>
      </c>
      <c r="C261" s="82" t="str">
        <f>TDCTRIBE!F270</f>
        <v>Grand Traverse Band</v>
      </c>
      <c r="D261" s="83">
        <f>TDCTRIBE!Y270</f>
        <v>286804.74900000001</v>
      </c>
      <c r="E261" s="83">
        <f>TDCTRIBE!Z270</f>
        <v>317230.54229999997</v>
      </c>
      <c r="F261" s="83">
        <f>TDCTRIBE!AA270</f>
        <v>356112.11264999997</v>
      </c>
      <c r="G261" s="83">
        <f>TDCTRIBE!AB270</f>
        <v>385956.81179999997</v>
      </c>
      <c r="H261" s="83">
        <f>TDCTRIBE!AC270</f>
        <v>416111.09119999997</v>
      </c>
      <c r="O261" s="9"/>
      <c r="P261" s="1"/>
      <c r="Q261" s="1"/>
      <c r="R261" s="1"/>
      <c r="S261" s="1"/>
      <c r="T261" s="1"/>
      <c r="U261" s="1"/>
      <c r="V261" s="9"/>
      <c r="W261" s="3"/>
      <c r="X261" s="4"/>
      <c r="Y261" s="1"/>
      <c r="Z261" s="1"/>
      <c r="AA261" s="1"/>
      <c r="AB261" s="1"/>
      <c r="AC261" s="1"/>
      <c r="AD261" s="3"/>
      <c r="AE261" s="3"/>
      <c r="AF261" s="5"/>
      <c r="AG261" s="5"/>
      <c r="AH261" s="5"/>
      <c r="AI261" s="5"/>
      <c r="AJ261" s="6"/>
      <c r="AK261" s="6"/>
      <c r="AL261" s="12"/>
      <c r="AM261" s="12"/>
      <c r="AN261" s="12"/>
      <c r="AO261" s="12"/>
      <c r="AP261" s="12"/>
    </row>
    <row r="262" spans="1:42" ht="15" x14ac:dyDescent="0.25">
      <c r="A262" s="82" t="str">
        <f>TDCTRIBE!I271</f>
        <v>Eastern/Woodlands</v>
      </c>
      <c r="B262" s="82" t="str">
        <f>TDCTRIBE!B271</f>
        <v>MI</v>
      </c>
      <c r="C262" s="82" t="str">
        <f>TDCTRIBE!F271</f>
        <v>Hannahville Community</v>
      </c>
      <c r="D262" s="83">
        <f>TDCTRIBE!Y271</f>
        <v>289027.32589500002</v>
      </c>
      <c r="E262" s="83">
        <f>TDCTRIBE!Z271</f>
        <v>319507.87929899996</v>
      </c>
      <c r="F262" s="83">
        <f>TDCTRIBE!AA271</f>
        <v>358544.86905650003</v>
      </c>
      <c r="G262" s="83">
        <f>TDCTRIBE!AB271</f>
        <v>388448.16800300003</v>
      </c>
      <c r="H262" s="83">
        <f>TDCTRIBE!AC271</f>
        <v>418771.67192699999</v>
      </c>
      <c r="O262" s="9"/>
      <c r="P262" s="1"/>
      <c r="Q262" s="1"/>
      <c r="R262" s="1"/>
      <c r="S262" s="1"/>
      <c r="T262" s="1"/>
      <c r="U262" s="1"/>
      <c r="V262" s="9"/>
      <c r="W262" s="3"/>
      <c r="X262" s="4"/>
      <c r="Y262" s="1"/>
      <c r="Z262" s="1"/>
      <c r="AA262" s="1"/>
      <c r="AB262" s="1"/>
      <c r="AC262" s="1"/>
      <c r="AD262" s="3"/>
      <c r="AE262" s="3"/>
      <c r="AF262" s="5"/>
      <c r="AG262" s="5"/>
      <c r="AH262" s="5"/>
      <c r="AI262" s="5"/>
      <c r="AJ262" s="6"/>
      <c r="AK262" s="6"/>
      <c r="AL262" s="12"/>
      <c r="AM262" s="12"/>
      <c r="AN262" s="12"/>
      <c r="AO262" s="12"/>
      <c r="AP262" s="12"/>
    </row>
    <row r="263" spans="1:42" ht="15" x14ac:dyDescent="0.25">
      <c r="A263" s="82" t="str">
        <f>TDCTRIBE!I272</f>
        <v>Eastern/Woodlands</v>
      </c>
      <c r="B263" s="82" t="str">
        <f>TDCTRIBE!B272</f>
        <v>MI</v>
      </c>
      <c r="C263" s="82" t="str">
        <f>TDCTRIBE!F272</f>
        <v>Huron Band of Potawatomi</v>
      </c>
      <c r="D263" s="83">
        <f>TDCTRIBE!Y272</f>
        <v>298354.283535</v>
      </c>
      <c r="E263" s="83">
        <f>TDCTRIBE!Z272</f>
        <v>329860.15916699998</v>
      </c>
      <c r="F263" s="83">
        <f>TDCTRIBE!AA272</f>
        <v>370190.4939145</v>
      </c>
      <c r="G263" s="83">
        <f>TDCTRIBE!AB272</f>
        <v>401098.56469900004</v>
      </c>
      <c r="H263" s="83">
        <f>TDCTRIBE!AC272</f>
        <v>432415.46399100003</v>
      </c>
      <c r="O263" s="9"/>
      <c r="P263" s="1"/>
      <c r="Q263" s="1"/>
      <c r="R263" s="1"/>
      <c r="S263" s="1"/>
      <c r="T263" s="1"/>
      <c r="U263" s="1"/>
      <c r="V263" s="9"/>
      <c r="W263" s="3"/>
      <c r="X263" s="4"/>
      <c r="Y263" s="1"/>
      <c r="Z263" s="1"/>
      <c r="AA263" s="1"/>
      <c r="AB263" s="1"/>
      <c r="AC263" s="1"/>
      <c r="AD263" s="3"/>
      <c r="AE263" s="3"/>
      <c r="AF263" s="5"/>
      <c r="AG263" s="5"/>
      <c r="AH263" s="5"/>
      <c r="AI263" s="5"/>
      <c r="AJ263" s="6"/>
      <c r="AK263" s="6"/>
      <c r="AL263" s="12"/>
      <c r="AM263" s="12"/>
      <c r="AN263" s="12"/>
      <c r="AO263" s="12"/>
      <c r="AP263" s="12"/>
    </row>
    <row r="264" spans="1:42" ht="15" x14ac:dyDescent="0.25">
      <c r="A264" s="82" t="str">
        <f>TDCTRIBE!I273</f>
        <v>Eastern/Woodlands</v>
      </c>
      <c r="B264" s="82" t="str">
        <f>TDCTRIBE!B273</f>
        <v>MI</v>
      </c>
      <c r="C264" s="82" t="str">
        <f>TDCTRIBE!F273</f>
        <v>Keweenaw Bay Indian Community</v>
      </c>
      <c r="D264" s="83">
        <f>TDCTRIBE!Y273</f>
        <v>292014.84196499997</v>
      </c>
      <c r="E264" s="83">
        <f>TDCTRIBE!Z273</f>
        <v>322858.28343300003</v>
      </c>
      <c r="F264" s="83">
        <f>TDCTRIBE!AA273</f>
        <v>362337.32238550007</v>
      </c>
      <c r="G264" s="83">
        <f>TDCTRIBE!AB273</f>
        <v>392595.33840100002</v>
      </c>
      <c r="H264" s="83">
        <f>TDCTRIBE!AC273</f>
        <v>423249.30890899996</v>
      </c>
      <c r="O264" s="9"/>
      <c r="P264" s="1"/>
      <c r="Q264" s="1"/>
      <c r="R264" s="1"/>
      <c r="S264" s="1"/>
      <c r="T264" s="1"/>
      <c r="U264" s="1"/>
      <c r="V264" s="9"/>
      <c r="W264" s="3"/>
      <c r="X264" s="4"/>
      <c r="Y264" s="1"/>
      <c r="Z264" s="7"/>
      <c r="AA264" s="1"/>
      <c r="AB264" s="1"/>
      <c r="AC264" s="1"/>
      <c r="AD264" s="3"/>
      <c r="AE264" s="3"/>
      <c r="AF264" s="5"/>
      <c r="AG264" s="5"/>
      <c r="AH264" s="5"/>
      <c r="AI264" s="5"/>
      <c r="AJ264" s="6"/>
      <c r="AK264" s="6"/>
      <c r="AL264" s="12"/>
      <c r="AM264" s="12"/>
      <c r="AN264" s="12"/>
      <c r="AO264" s="12"/>
      <c r="AP264" s="12"/>
    </row>
    <row r="265" spans="1:42" ht="15" x14ac:dyDescent="0.25">
      <c r="A265" s="82" t="str">
        <f>TDCTRIBE!I274</f>
        <v>Eastern/Woodlands</v>
      </c>
      <c r="B265" s="82" t="str">
        <f>TDCTRIBE!B274</f>
        <v>MI</v>
      </c>
      <c r="C265" s="82" t="str">
        <f>TDCTRIBE!F274</f>
        <v>Lac Vieux Desert Band</v>
      </c>
      <c r="D265" s="83">
        <f>TDCTRIBE!Y274</f>
        <v>292014.84196499997</v>
      </c>
      <c r="E265" s="83">
        <f>TDCTRIBE!Z274</f>
        <v>322858.28343300003</v>
      </c>
      <c r="F265" s="83">
        <f>TDCTRIBE!AA274</f>
        <v>362337.32238550007</v>
      </c>
      <c r="G265" s="83">
        <f>TDCTRIBE!AB274</f>
        <v>392595.33840100002</v>
      </c>
      <c r="H265" s="83">
        <f>TDCTRIBE!AC274</f>
        <v>423249.30890899996</v>
      </c>
      <c r="O265" s="9"/>
      <c r="P265" s="1"/>
      <c r="Q265" s="1"/>
      <c r="R265" s="1"/>
      <c r="S265" s="1"/>
      <c r="T265" s="1"/>
      <c r="U265" s="1"/>
      <c r="V265" s="9"/>
      <c r="W265" s="3"/>
      <c r="X265" s="4"/>
      <c r="Y265" s="1"/>
      <c r="Z265" s="1"/>
      <c r="AA265" s="1"/>
      <c r="AB265" s="1"/>
      <c r="AC265" s="1"/>
      <c r="AD265" s="3"/>
      <c r="AE265" s="3"/>
      <c r="AF265" s="5"/>
      <c r="AG265" s="5"/>
      <c r="AH265" s="5"/>
      <c r="AI265" s="5"/>
      <c r="AJ265" s="6"/>
      <c r="AK265" s="6"/>
      <c r="AL265" s="12"/>
      <c r="AM265" s="12"/>
      <c r="AN265" s="12"/>
      <c r="AO265" s="12"/>
      <c r="AP265" s="12"/>
    </row>
    <row r="266" spans="1:42" ht="15" x14ac:dyDescent="0.25">
      <c r="A266" s="82" t="str">
        <f>TDCTRIBE!I275</f>
        <v>Eastern/Woodlands</v>
      </c>
      <c r="B266" s="82" t="str">
        <f>TDCTRIBE!B275</f>
        <v>MI</v>
      </c>
      <c r="C266" s="82" t="str">
        <f>TDCTRIBE!F275</f>
        <v>Little River Band of Ottawa</v>
      </c>
      <c r="D266" s="83">
        <f>TDCTRIBE!Y275</f>
        <v>286804.74900000001</v>
      </c>
      <c r="E266" s="83">
        <f>TDCTRIBE!Z275</f>
        <v>317230.54229999997</v>
      </c>
      <c r="F266" s="83">
        <f>TDCTRIBE!AA275</f>
        <v>356112.11264999997</v>
      </c>
      <c r="G266" s="83">
        <f>TDCTRIBE!AB275</f>
        <v>385956.81179999997</v>
      </c>
      <c r="H266" s="83">
        <f>TDCTRIBE!AC275</f>
        <v>416111.09119999997</v>
      </c>
      <c r="O266" s="9"/>
      <c r="P266" s="1"/>
      <c r="Q266" s="1"/>
      <c r="R266" s="1"/>
      <c r="S266" s="1"/>
      <c r="T266" s="1"/>
      <c r="U266" s="1"/>
      <c r="V266" s="9"/>
      <c r="W266" s="3"/>
      <c r="X266" s="4"/>
      <c r="Y266" s="7"/>
      <c r="Z266" s="1"/>
      <c r="AA266" s="1"/>
      <c r="AB266" s="1"/>
      <c r="AC266" s="1"/>
      <c r="AD266" s="3"/>
      <c r="AE266" s="3"/>
      <c r="AF266" s="5"/>
      <c r="AG266" s="5"/>
      <c r="AH266" s="5"/>
      <c r="AI266" s="5"/>
      <c r="AJ266" s="6"/>
      <c r="AK266" s="6"/>
      <c r="AL266" s="12"/>
      <c r="AM266" s="12"/>
      <c r="AN266" s="12"/>
      <c r="AO266" s="12"/>
      <c r="AP266" s="12"/>
    </row>
    <row r="267" spans="1:42" ht="15" x14ac:dyDescent="0.25">
      <c r="A267" s="82" t="str">
        <f>TDCTRIBE!I276</f>
        <v>Eastern/Woodlands</v>
      </c>
      <c r="B267" s="82" t="str">
        <f>TDCTRIBE!B276</f>
        <v>MI</v>
      </c>
      <c r="C267" s="82" t="str">
        <f>TDCTRIBE!F276</f>
        <v>Little Traverse Bay Band</v>
      </c>
      <c r="D267" s="83">
        <f>TDCTRIBE!Y276</f>
        <v>293508.60000000003</v>
      </c>
      <c r="E267" s="83">
        <f>TDCTRIBE!Z276</f>
        <v>324533.48550000001</v>
      </c>
      <c r="F267" s="83">
        <f>TDCTRIBE!AA276</f>
        <v>364233.54905000003</v>
      </c>
      <c r="G267" s="83">
        <f>TDCTRIBE!AB276</f>
        <v>394668.92359999998</v>
      </c>
      <c r="H267" s="83">
        <f>TDCTRIBE!AC276</f>
        <v>425488.1274</v>
      </c>
      <c r="O267" s="9"/>
      <c r="P267" s="1"/>
      <c r="Q267" s="1"/>
      <c r="R267" s="1"/>
      <c r="S267" s="1"/>
      <c r="T267" s="1"/>
      <c r="U267" s="1"/>
      <c r="V267" s="9"/>
      <c r="W267" s="3"/>
      <c r="X267" s="4"/>
      <c r="Y267" s="1"/>
      <c r="Z267" s="1"/>
      <c r="AA267" s="1"/>
      <c r="AB267" s="1"/>
      <c r="AC267" s="1"/>
      <c r="AD267" s="3"/>
      <c r="AE267" s="3"/>
      <c r="AF267" s="5"/>
      <c r="AG267" s="5"/>
      <c r="AH267" s="5"/>
      <c r="AI267" s="5"/>
      <c r="AJ267" s="6"/>
      <c r="AK267" s="6"/>
      <c r="AL267" s="12"/>
      <c r="AM267" s="12"/>
      <c r="AN267" s="12"/>
      <c r="AO267" s="12"/>
      <c r="AP267" s="12"/>
    </row>
    <row r="268" spans="1:42" ht="15" x14ac:dyDescent="0.25">
      <c r="A268" s="82" t="str">
        <f>TDCTRIBE!I277</f>
        <v>Eastern/Woodlands</v>
      </c>
      <c r="B268" s="82" t="str">
        <f>TDCTRIBE!B277</f>
        <v>MI</v>
      </c>
      <c r="C268" s="82" t="str">
        <f>TDCTRIBE!F277</f>
        <v>Match-E-Be-NASH-She-Wish Band</v>
      </c>
      <c r="D268" s="83">
        <f>TDCTRIBE!Y277</f>
        <v>296860.52549999999</v>
      </c>
      <c r="E268" s="83">
        <f>TDCTRIBE!Z277</f>
        <v>328184.9571</v>
      </c>
      <c r="F268" s="83">
        <f>TDCTRIBE!AA277</f>
        <v>368294.26725000003</v>
      </c>
      <c r="G268" s="83">
        <f>TDCTRIBE!AB277</f>
        <v>399024.97950000002</v>
      </c>
      <c r="H268" s="83">
        <f>TDCTRIBE!AC277</f>
        <v>430176.64549999998</v>
      </c>
      <c r="O268" s="9"/>
      <c r="P268" s="1"/>
      <c r="Q268" s="1"/>
      <c r="R268" s="1"/>
      <c r="S268" s="1"/>
      <c r="T268" s="1"/>
      <c r="U268" s="1"/>
      <c r="V268" s="9"/>
      <c r="W268" s="3"/>
      <c r="X268" s="4"/>
      <c r="Y268" s="1"/>
      <c r="Z268" s="1"/>
      <c r="AA268" s="1"/>
      <c r="AB268" s="1"/>
      <c r="AC268" s="1"/>
      <c r="AD268" s="3"/>
      <c r="AE268" s="3"/>
      <c r="AF268" s="5"/>
      <c r="AG268" s="5"/>
      <c r="AH268" s="5"/>
      <c r="AI268" s="5"/>
      <c r="AJ268" s="6"/>
      <c r="AK268" s="6"/>
      <c r="AL268" s="12"/>
      <c r="AM268" s="12"/>
      <c r="AN268" s="12"/>
      <c r="AO268" s="12"/>
      <c r="AP268" s="12"/>
    </row>
    <row r="269" spans="1:42" ht="15" x14ac:dyDescent="0.25">
      <c r="A269" s="82" t="str">
        <f>TDCTRIBE!I278</f>
        <v>Eastern/Woodlands</v>
      </c>
      <c r="B269" s="82" t="str">
        <f>TDCTRIBE!B278</f>
        <v>MI</v>
      </c>
      <c r="C269" s="82" t="str">
        <f>TDCTRIBE!F278</f>
        <v>Pokagon Band of Potawatomi</v>
      </c>
      <c r="D269" s="83">
        <f>TDCTRIBE!Y278</f>
        <v>307316.83174499997</v>
      </c>
      <c r="E269" s="83">
        <f>TDCTRIBE!Z278</f>
        <v>339911.37156900001</v>
      </c>
      <c r="F269" s="83">
        <f>TDCTRIBE!AA278</f>
        <v>381567.85390150012</v>
      </c>
      <c r="G269" s="83">
        <f>TDCTRIBE!AB278</f>
        <v>413540.075893</v>
      </c>
      <c r="H269" s="83">
        <f>TDCTRIBE!AC278</f>
        <v>445848.37493700004</v>
      </c>
      <c r="O269" s="9"/>
      <c r="P269" s="1"/>
      <c r="Q269" s="1"/>
      <c r="R269" s="1"/>
      <c r="S269" s="1"/>
      <c r="T269" s="1"/>
      <c r="U269" s="1"/>
      <c r="V269" s="9"/>
      <c r="W269" s="3"/>
      <c r="X269" s="4"/>
      <c r="Y269" s="1"/>
      <c r="Z269" s="1"/>
      <c r="AA269" s="1"/>
      <c r="AB269" s="1"/>
      <c r="AC269" s="1"/>
      <c r="AD269" s="3"/>
      <c r="AE269" s="3"/>
      <c r="AF269" s="5"/>
      <c r="AG269" s="5"/>
      <c r="AH269" s="5"/>
      <c r="AI269" s="5"/>
      <c r="AJ269" s="6"/>
      <c r="AK269" s="6"/>
      <c r="AL269" s="12"/>
      <c r="AM269" s="12"/>
      <c r="AN269" s="12"/>
      <c r="AO269" s="12"/>
      <c r="AP269" s="12"/>
    </row>
    <row r="270" spans="1:42" ht="15" x14ac:dyDescent="0.25">
      <c r="A270" s="82" t="str">
        <f>TDCTRIBE!I279</f>
        <v>Eastern/Woodlands</v>
      </c>
      <c r="B270" s="82" t="str">
        <f>TDCTRIBE!B279</f>
        <v>MI</v>
      </c>
      <c r="C270" s="82" t="str">
        <f>TDCTRIBE!F279</f>
        <v>Saginaw Chippewa</v>
      </c>
      <c r="D270" s="83">
        <f>TDCTRIBE!Y279</f>
        <v>304511.52039000002</v>
      </c>
      <c r="E270" s="83">
        <f>TDCTRIBE!Z279</f>
        <v>336711.50116799999</v>
      </c>
      <c r="F270" s="83">
        <f>TDCTRIBE!AA279</f>
        <v>377909.53300800006</v>
      </c>
      <c r="G270" s="83">
        <f>TDCTRIBE!AB279</f>
        <v>409497.34824600001</v>
      </c>
      <c r="H270" s="83">
        <f>TDCTRIBE!AC279</f>
        <v>441476.17851400003</v>
      </c>
      <c r="O270" s="9"/>
      <c r="P270" s="1"/>
      <c r="Q270" s="1"/>
      <c r="R270" s="1"/>
      <c r="S270" s="1"/>
      <c r="T270" s="1"/>
      <c r="U270" s="1"/>
      <c r="V270" s="9"/>
      <c r="W270" s="3"/>
      <c r="X270" s="4"/>
      <c r="Y270" s="1"/>
      <c r="Z270" s="1"/>
      <c r="AA270" s="1"/>
      <c r="AB270" s="1"/>
      <c r="AC270" s="1"/>
      <c r="AD270" s="3"/>
      <c r="AE270" s="3"/>
      <c r="AF270" s="5"/>
      <c r="AG270" s="5"/>
      <c r="AH270" s="5"/>
      <c r="AI270" s="5"/>
      <c r="AJ270" s="6"/>
      <c r="AK270" s="6"/>
      <c r="AL270" s="12"/>
      <c r="AM270" s="12"/>
      <c r="AN270" s="12"/>
      <c r="AO270" s="12"/>
      <c r="AP270" s="12"/>
    </row>
    <row r="271" spans="1:42" ht="15" x14ac:dyDescent="0.25">
      <c r="A271" s="82" t="str">
        <f>TDCTRIBE!I280</f>
        <v>Eastern/Woodlands</v>
      </c>
      <c r="B271" s="82" t="str">
        <f>TDCTRIBE!B280</f>
        <v>MI</v>
      </c>
      <c r="C271" s="82" t="str">
        <f>TDCTRIBE!F280</f>
        <v>Sault Ste. Marie Tribe</v>
      </c>
      <c r="D271" s="83">
        <f>TDCTRIBE!Y280</f>
        <v>292014.84196499997</v>
      </c>
      <c r="E271" s="83">
        <f>TDCTRIBE!Z280</f>
        <v>322858.28343300003</v>
      </c>
      <c r="F271" s="83">
        <f>TDCTRIBE!AA280</f>
        <v>362337.32238550007</v>
      </c>
      <c r="G271" s="83">
        <f>TDCTRIBE!AB280</f>
        <v>392595.33840100002</v>
      </c>
      <c r="H271" s="83">
        <f>TDCTRIBE!AC280</f>
        <v>423249.30890899996</v>
      </c>
      <c r="O271" s="9"/>
      <c r="P271" s="1"/>
      <c r="Q271" s="1"/>
      <c r="R271" s="1"/>
      <c r="S271" s="7"/>
      <c r="T271" s="1"/>
      <c r="U271" s="1"/>
      <c r="V271" s="9"/>
      <c r="W271" s="3"/>
      <c r="X271" s="4"/>
      <c r="Y271" s="1"/>
      <c r="Z271" s="1"/>
      <c r="AA271" s="1"/>
      <c r="AB271" s="1"/>
      <c r="AC271" s="1"/>
      <c r="AD271" s="3"/>
      <c r="AE271" s="3"/>
      <c r="AF271" s="5"/>
      <c r="AG271" s="5"/>
      <c r="AH271" s="5"/>
      <c r="AI271" s="5"/>
      <c r="AJ271" s="6"/>
      <c r="AK271" s="6"/>
      <c r="AL271" s="12"/>
      <c r="AM271" s="12"/>
      <c r="AN271" s="12"/>
      <c r="AO271" s="12"/>
      <c r="AP271" s="12"/>
    </row>
    <row r="272" spans="1:42" ht="15" x14ac:dyDescent="0.25">
      <c r="A272" s="82" t="str">
        <f>TDCTRIBE!I281</f>
        <v>Eastern/Woodlands</v>
      </c>
      <c r="B272" s="82" t="str">
        <f>TDCTRIBE!B281</f>
        <v>MI</v>
      </c>
      <c r="C272" s="82" t="str">
        <f>TDCTRIBE!F281</f>
        <v>Sault Ste. Marie Tribe - Marquette</v>
      </c>
      <c r="D272" s="83">
        <f>TDCTRIBE!Y281</f>
        <v>292014.84196499997</v>
      </c>
      <c r="E272" s="83">
        <f>TDCTRIBE!Z281</f>
        <v>322858.28343300003</v>
      </c>
      <c r="F272" s="83">
        <f>TDCTRIBE!AA281</f>
        <v>362337.32238550007</v>
      </c>
      <c r="G272" s="83">
        <f>TDCTRIBE!AB281</f>
        <v>392595.33840100002</v>
      </c>
      <c r="H272" s="83">
        <f>TDCTRIBE!AC281</f>
        <v>423249.30890899996</v>
      </c>
      <c r="O272" s="9"/>
      <c r="P272" s="1"/>
      <c r="Q272" s="1"/>
      <c r="R272" s="1"/>
      <c r="S272" s="7"/>
      <c r="T272" s="1"/>
      <c r="U272" s="1"/>
      <c r="V272" s="9"/>
      <c r="W272" s="3"/>
      <c r="X272" s="4"/>
      <c r="Y272" s="1"/>
      <c r="Z272" s="1"/>
      <c r="AA272" s="1"/>
      <c r="AB272" s="1"/>
      <c r="AC272" s="1"/>
      <c r="AD272" s="3"/>
      <c r="AE272" s="3"/>
      <c r="AF272" s="5"/>
      <c r="AG272" s="5"/>
      <c r="AH272" s="5"/>
      <c r="AI272" s="5"/>
      <c r="AJ272" s="6"/>
      <c r="AK272" s="6"/>
      <c r="AL272" s="12"/>
      <c r="AM272" s="12"/>
      <c r="AN272" s="12"/>
      <c r="AO272" s="12"/>
      <c r="AP272" s="12"/>
    </row>
    <row r="273" spans="1:42" ht="15" x14ac:dyDescent="0.25">
      <c r="A273" s="82" t="str">
        <f>TDCTRIBE!I282</f>
        <v>Eastern/Woodlands</v>
      </c>
      <c r="B273" s="82" t="str">
        <f>TDCTRIBE!B282</f>
        <v>MI</v>
      </c>
      <c r="C273" s="82" t="str">
        <f>TDCTRIBE!F282</f>
        <v>Sault Ste. Marie Tribe -Escanaba</v>
      </c>
      <c r="D273" s="83">
        <f>TDCTRIBE!Y282</f>
        <v>289027.32589500002</v>
      </c>
      <c r="E273" s="83">
        <f>TDCTRIBE!Z282</f>
        <v>319507.87929899996</v>
      </c>
      <c r="F273" s="83">
        <f>TDCTRIBE!AA282</f>
        <v>358544.86905650003</v>
      </c>
      <c r="G273" s="83">
        <f>TDCTRIBE!AB282</f>
        <v>388448.16800300003</v>
      </c>
      <c r="H273" s="83">
        <f>TDCTRIBE!AC282</f>
        <v>418771.67192699999</v>
      </c>
      <c r="O273" s="9"/>
      <c r="P273" s="1"/>
      <c r="Q273" s="1"/>
      <c r="R273" s="1"/>
      <c r="S273" s="1"/>
      <c r="T273" s="1"/>
      <c r="U273" s="1"/>
      <c r="V273" s="9"/>
      <c r="W273" s="3"/>
      <c r="X273" s="4"/>
      <c r="Y273" s="1"/>
      <c r="Z273" s="1"/>
      <c r="AA273" s="1"/>
      <c r="AB273" s="1"/>
      <c r="AC273" s="1"/>
      <c r="AD273" s="3"/>
      <c r="AE273" s="3"/>
      <c r="AF273" s="5"/>
      <c r="AG273" s="5"/>
      <c r="AH273" s="5"/>
      <c r="AI273" s="5"/>
      <c r="AJ273" s="6"/>
      <c r="AK273" s="6"/>
      <c r="AL273" s="12"/>
      <c r="AM273" s="12"/>
      <c r="AN273" s="12"/>
      <c r="AO273" s="12"/>
      <c r="AP273" s="12"/>
    </row>
    <row r="274" spans="1:42" ht="15" x14ac:dyDescent="0.25">
      <c r="A274" s="82" t="str">
        <f>TDCTRIBE!I283</f>
        <v>Eastern/Woodlands</v>
      </c>
      <c r="B274" s="82" t="str">
        <f>TDCTRIBE!B283</f>
        <v>MN</v>
      </c>
      <c r="C274" s="82" t="str">
        <f>TDCTRIBE!F283</f>
        <v>Bois Forte Band of Minnesota Chippewa</v>
      </c>
      <c r="D274" s="83">
        <f>TDCTRIBE!Y283</f>
        <v>321271.14789000002</v>
      </c>
      <c r="E274" s="83">
        <f>TDCTRIBE!Z283</f>
        <v>354968.85916799994</v>
      </c>
      <c r="F274" s="83">
        <f>TDCTRIBE!AA283</f>
        <v>398213.12400800007</v>
      </c>
      <c r="G274" s="83">
        <f>TDCTRIBE!AB283</f>
        <v>431277.62774600001</v>
      </c>
      <c r="H274" s="83">
        <f>TDCTRIBE!AC283</f>
        <v>464918.76901400002</v>
      </c>
      <c r="O274" s="9"/>
      <c r="P274" s="1"/>
      <c r="Q274" s="1"/>
      <c r="R274" s="1"/>
      <c r="S274" s="1"/>
      <c r="T274" s="1"/>
      <c r="U274" s="1"/>
      <c r="V274" s="9"/>
      <c r="W274" s="3"/>
      <c r="X274" s="4"/>
      <c r="Y274" s="1"/>
      <c r="Z274" s="1"/>
      <c r="AA274" s="1"/>
      <c r="AB274" s="1"/>
      <c r="AC274" s="1"/>
      <c r="AD274" s="3"/>
      <c r="AE274" s="3"/>
      <c r="AF274" s="5"/>
      <c r="AG274" s="5"/>
      <c r="AH274" s="5"/>
      <c r="AI274" s="5"/>
      <c r="AJ274" s="6"/>
      <c r="AK274" s="6"/>
      <c r="AL274" s="12"/>
      <c r="AM274" s="12"/>
      <c r="AN274" s="12"/>
      <c r="AO274" s="12"/>
      <c r="AP274" s="12"/>
    </row>
    <row r="275" spans="1:42" ht="15" x14ac:dyDescent="0.25">
      <c r="A275" s="82" t="str">
        <f>TDCTRIBE!I284</f>
        <v>Eastern/Woodlands</v>
      </c>
      <c r="B275" s="82" t="str">
        <f>TDCTRIBE!B284</f>
        <v>MN</v>
      </c>
      <c r="C275" s="82" t="str">
        <f>TDCTRIBE!F284</f>
        <v>Fond Du Lac Band of Minn. Chippewa</v>
      </c>
      <c r="D275" s="83">
        <f>TDCTRIBE!Y284</f>
        <v>327246.18002999999</v>
      </c>
      <c r="E275" s="83">
        <f>TDCTRIBE!Z284</f>
        <v>361669.66743600002</v>
      </c>
      <c r="F275" s="83">
        <f>TDCTRIBE!AA284</f>
        <v>405798.03066600004</v>
      </c>
      <c r="G275" s="83">
        <f>TDCTRIBE!AB284</f>
        <v>439571.96854200005</v>
      </c>
      <c r="H275" s="83">
        <f>TDCTRIBE!AC284</f>
        <v>473874.04297800007</v>
      </c>
      <c r="O275" s="9"/>
      <c r="P275" s="1"/>
      <c r="Q275" s="1"/>
      <c r="R275" s="1"/>
      <c r="S275" s="1"/>
      <c r="T275" s="1"/>
      <c r="U275" s="1"/>
      <c r="V275" s="9"/>
      <c r="W275" s="3"/>
      <c r="X275" s="4"/>
      <c r="Y275" s="1"/>
      <c r="Z275" s="1"/>
      <c r="AA275" s="1"/>
      <c r="AB275" s="1"/>
      <c r="AC275" s="1"/>
      <c r="AD275" s="3"/>
      <c r="AE275" s="3"/>
      <c r="AF275" s="5"/>
      <c r="AG275" s="5"/>
      <c r="AH275" s="5"/>
      <c r="AI275" s="5"/>
      <c r="AJ275" s="6"/>
      <c r="AK275" s="6"/>
      <c r="AL275" s="12"/>
      <c r="AM275" s="12"/>
      <c r="AN275" s="12"/>
      <c r="AO275" s="12"/>
      <c r="AP275" s="12"/>
    </row>
    <row r="276" spans="1:42" ht="15" x14ac:dyDescent="0.25">
      <c r="A276" s="82" t="str">
        <f>TDCTRIBE!I285</f>
        <v>Eastern/Woodlands</v>
      </c>
      <c r="B276" s="82" t="str">
        <f>TDCTRIBE!B285</f>
        <v>MN</v>
      </c>
      <c r="C276" s="82" t="str">
        <f>TDCTRIBE!F285</f>
        <v>Grand Portage Band of Minn. Chippewa</v>
      </c>
      <c r="D276" s="83">
        <f>TDCTRIBE!Y285</f>
        <v>327246.18002999999</v>
      </c>
      <c r="E276" s="83">
        <f>TDCTRIBE!Z285</f>
        <v>361669.66743600002</v>
      </c>
      <c r="F276" s="83">
        <f>TDCTRIBE!AA285</f>
        <v>405798.03066600004</v>
      </c>
      <c r="G276" s="83">
        <f>TDCTRIBE!AB285</f>
        <v>439571.96854200005</v>
      </c>
      <c r="H276" s="83">
        <f>TDCTRIBE!AC285</f>
        <v>473874.04297800007</v>
      </c>
      <c r="O276" s="9"/>
      <c r="P276" s="1"/>
      <c r="Q276" s="1"/>
      <c r="R276" s="1"/>
      <c r="S276" s="1"/>
      <c r="T276" s="1"/>
      <c r="U276" s="1"/>
      <c r="V276" s="9"/>
      <c r="W276" s="3"/>
      <c r="X276" s="4"/>
      <c r="Y276" s="1"/>
      <c r="Z276" s="1"/>
      <c r="AA276" s="1"/>
      <c r="AB276" s="1"/>
      <c r="AC276" s="1"/>
      <c r="AD276" s="3"/>
      <c r="AE276" s="3"/>
      <c r="AF276" s="5"/>
      <c r="AG276" s="5"/>
      <c r="AH276" s="5"/>
      <c r="AI276" s="5"/>
      <c r="AJ276" s="6"/>
      <c r="AK276" s="6"/>
      <c r="AL276" s="12"/>
      <c r="AM276" s="12"/>
      <c r="AN276" s="12"/>
      <c r="AO276" s="12"/>
      <c r="AP276" s="12"/>
    </row>
    <row r="277" spans="1:42" ht="15" x14ac:dyDescent="0.25">
      <c r="A277" s="82" t="str">
        <f>TDCTRIBE!I286</f>
        <v>Eastern/Woodlands</v>
      </c>
      <c r="B277" s="82" t="str">
        <f>TDCTRIBE!B286</f>
        <v>MN</v>
      </c>
      <c r="C277" s="82" t="str">
        <f>TDCTRIBE!F286</f>
        <v>Leech Lake Band of Minnesota Chippewa</v>
      </c>
      <c r="D277" s="83">
        <f>TDCTRIBE!Y286</f>
        <v>307863.44589000003</v>
      </c>
      <c r="E277" s="83">
        <f>TDCTRIBE!Z286</f>
        <v>340362.97276799998</v>
      </c>
      <c r="F277" s="83">
        <f>TDCTRIBE!AA286</f>
        <v>381970.251208</v>
      </c>
      <c r="G277" s="83">
        <f>TDCTRIBE!AB286</f>
        <v>413853.40414600004</v>
      </c>
      <c r="H277" s="83">
        <f>TDCTRIBE!AC286</f>
        <v>446164.69661400001</v>
      </c>
      <c r="O277" s="9"/>
      <c r="P277" s="1"/>
      <c r="Q277" s="1"/>
      <c r="R277" s="1"/>
      <c r="S277" s="1"/>
      <c r="T277" s="1"/>
      <c r="U277" s="1"/>
      <c r="V277" s="9"/>
      <c r="W277" s="3"/>
      <c r="X277" s="4"/>
      <c r="Y277" s="1"/>
      <c r="Z277" s="1"/>
      <c r="AA277" s="1"/>
      <c r="AB277" s="1"/>
      <c r="AC277" s="1"/>
      <c r="AD277" s="3"/>
      <c r="AE277" s="3"/>
      <c r="AF277" s="5"/>
      <c r="AG277" s="5"/>
      <c r="AH277" s="5"/>
      <c r="AI277" s="5"/>
      <c r="AJ277" s="6"/>
      <c r="AK277" s="6"/>
      <c r="AL277" s="12"/>
      <c r="AM277" s="12"/>
      <c r="AN277" s="12"/>
      <c r="AO277" s="12"/>
      <c r="AP277" s="12"/>
    </row>
    <row r="278" spans="1:42" ht="15" x14ac:dyDescent="0.25">
      <c r="A278" s="82" t="str">
        <f>TDCTRIBE!I287</f>
        <v>Eastern/Woodlands</v>
      </c>
      <c r="B278" s="82" t="str">
        <f>TDCTRIBE!B287</f>
        <v>MN</v>
      </c>
      <c r="C278" s="82" t="str">
        <f>TDCTRIBE!F287</f>
        <v>Lower Sioux</v>
      </c>
      <c r="D278" s="83">
        <f>TDCTRIBE!Y287</f>
        <v>312891.33413999993</v>
      </c>
      <c r="E278" s="83">
        <f>TDCTRIBE!Z287</f>
        <v>345840.18016799999</v>
      </c>
      <c r="F278" s="83">
        <f>TDCTRIBE!AA287</f>
        <v>388061.32850800006</v>
      </c>
      <c r="G278" s="83">
        <f>TDCTRIBE!AB287</f>
        <v>420387.48799599998</v>
      </c>
      <c r="H278" s="83">
        <f>TDCTRIBE!AC287</f>
        <v>453197.47376400005</v>
      </c>
      <c r="O278" s="9"/>
      <c r="P278" s="1"/>
      <c r="Q278" s="1"/>
      <c r="R278" s="1"/>
      <c r="S278" s="1"/>
      <c r="T278" s="1"/>
      <c r="U278" s="1"/>
      <c r="V278" s="9"/>
      <c r="W278" s="3"/>
      <c r="X278" s="4"/>
      <c r="Y278" s="1"/>
      <c r="Z278" s="1"/>
      <c r="AA278" s="1"/>
      <c r="AB278" s="1"/>
      <c r="AC278" s="1"/>
      <c r="AD278" s="3"/>
      <c r="AE278" s="3"/>
      <c r="AF278" s="5"/>
      <c r="AG278" s="5"/>
      <c r="AH278" s="5"/>
      <c r="AI278" s="5"/>
      <c r="AJ278" s="6"/>
      <c r="AK278" s="6"/>
      <c r="AL278" s="12"/>
      <c r="AM278" s="12"/>
      <c r="AN278" s="12"/>
      <c r="AO278" s="12"/>
      <c r="AP278" s="12"/>
    </row>
    <row r="279" spans="1:42" ht="15" x14ac:dyDescent="0.25">
      <c r="A279" s="82" t="str">
        <f>TDCTRIBE!I288</f>
        <v>Eastern/Woodlands</v>
      </c>
      <c r="B279" s="82" t="str">
        <f>TDCTRIBE!B288</f>
        <v>MN</v>
      </c>
      <c r="C279" s="82" t="str">
        <f>TDCTRIBE!F288</f>
        <v>Mille Lacs Band of Minnesota Chippewa</v>
      </c>
      <c r="D279" s="83">
        <f>TDCTRIBE!Y288</f>
        <v>332274.06828000001</v>
      </c>
      <c r="E279" s="83">
        <f>TDCTRIBE!Z288</f>
        <v>367146.87483599997</v>
      </c>
      <c r="F279" s="83">
        <f>TDCTRIBE!AA288</f>
        <v>411889.1079660001</v>
      </c>
      <c r="G279" s="83">
        <f>TDCTRIBE!AB288</f>
        <v>446106.05239200004</v>
      </c>
      <c r="H279" s="83">
        <f>TDCTRIBE!AC288</f>
        <v>480906.82012799999</v>
      </c>
      <c r="O279" s="9"/>
      <c r="P279" s="1"/>
      <c r="Q279" s="1"/>
      <c r="R279" s="1"/>
      <c r="S279" s="1"/>
      <c r="T279" s="1"/>
      <c r="U279" s="1"/>
      <c r="V279" s="9"/>
      <c r="W279" s="3"/>
      <c r="X279" s="4"/>
      <c r="Y279" s="1"/>
      <c r="Z279" s="1"/>
      <c r="AA279" s="1"/>
      <c r="AB279" s="1"/>
      <c r="AC279" s="1"/>
      <c r="AD279" s="3"/>
      <c r="AE279" s="3"/>
      <c r="AF279" s="5"/>
      <c r="AG279" s="5"/>
      <c r="AH279" s="5"/>
      <c r="AI279" s="5"/>
      <c r="AJ279" s="6"/>
      <c r="AK279" s="6"/>
      <c r="AL279" s="12"/>
      <c r="AM279" s="12"/>
      <c r="AN279" s="12"/>
      <c r="AO279" s="12"/>
      <c r="AP279" s="12"/>
    </row>
    <row r="280" spans="1:42" ht="15" x14ac:dyDescent="0.25">
      <c r="A280" s="82" t="str">
        <f>TDCTRIBE!I289</f>
        <v>Eastern/Woodlands</v>
      </c>
      <c r="B280" s="82" t="str">
        <f>TDCTRIBE!B289</f>
        <v>MN</v>
      </c>
      <c r="C280" s="82" t="str">
        <f>TDCTRIBE!F289</f>
        <v>Prairie Island Sioux</v>
      </c>
      <c r="D280" s="83">
        <f>TDCTRIBE!Y289</f>
        <v>351110.18827499996</v>
      </c>
      <c r="E280" s="83">
        <f>TDCTRIBE!Z289</f>
        <v>388001.96830499999</v>
      </c>
      <c r="F280" s="83">
        <f>TDCTRIBE!AA289</f>
        <v>435314.49011750001</v>
      </c>
      <c r="G280" s="83">
        <f>TDCTRIBE!AB289</f>
        <v>471511.28853499994</v>
      </c>
      <c r="H280" s="83">
        <f>TDCTRIBE!AC289</f>
        <v>508299.84481499996</v>
      </c>
      <c r="O280" s="9"/>
      <c r="P280" s="1"/>
      <c r="Q280" s="1"/>
      <c r="R280" s="1"/>
      <c r="S280" s="1"/>
      <c r="T280" s="1"/>
      <c r="U280" s="1"/>
      <c r="V280" s="9"/>
      <c r="W280" s="3"/>
      <c r="X280" s="4"/>
      <c r="Y280" s="1"/>
      <c r="Z280" s="1"/>
      <c r="AA280" s="1"/>
      <c r="AB280" s="1"/>
      <c r="AC280" s="1"/>
      <c r="AD280" s="3"/>
      <c r="AE280" s="3"/>
      <c r="AF280" s="5"/>
      <c r="AG280" s="5"/>
      <c r="AH280" s="5"/>
      <c r="AI280" s="5"/>
      <c r="AJ280" s="6"/>
      <c r="AK280" s="6"/>
      <c r="AL280" s="12"/>
      <c r="AM280" s="12"/>
      <c r="AN280" s="12"/>
      <c r="AO280" s="12"/>
      <c r="AP280" s="12"/>
    </row>
    <row r="281" spans="1:42" ht="15" x14ac:dyDescent="0.25">
      <c r="A281" s="82" t="str">
        <f>TDCTRIBE!I290</f>
        <v>Eastern/Woodlands</v>
      </c>
      <c r="B281" s="82" t="str">
        <f>TDCTRIBE!B290</f>
        <v>MN</v>
      </c>
      <c r="C281" s="82" t="str">
        <f>TDCTRIBE!F290</f>
        <v>Red Lake Band of Chippewa</v>
      </c>
      <c r="D281" s="83">
        <f>TDCTRIBE!Y290</f>
        <v>307863.44589000003</v>
      </c>
      <c r="E281" s="83">
        <f>TDCTRIBE!Z290</f>
        <v>340362.97276799998</v>
      </c>
      <c r="F281" s="83">
        <f>TDCTRIBE!AA290</f>
        <v>381970.251208</v>
      </c>
      <c r="G281" s="83">
        <f>TDCTRIBE!AB290</f>
        <v>413853.40414600004</v>
      </c>
      <c r="H281" s="83">
        <f>TDCTRIBE!AC290</f>
        <v>446164.69661400001</v>
      </c>
      <c r="O281" s="9"/>
      <c r="P281" s="1"/>
      <c r="Q281" s="1"/>
      <c r="R281" s="1"/>
      <c r="S281" s="1"/>
      <c r="T281" s="1"/>
      <c r="U281" s="1"/>
      <c r="V281" s="9"/>
      <c r="W281" s="3"/>
      <c r="X281" s="4"/>
      <c r="Y281" s="1"/>
      <c r="Z281" s="1"/>
      <c r="AA281" s="1"/>
      <c r="AB281" s="1"/>
      <c r="AC281" s="1"/>
      <c r="AD281" s="3"/>
      <c r="AE281" s="3"/>
      <c r="AF281" s="5"/>
      <c r="AG281" s="5"/>
      <c r="AH281" s="5"/>
      <c r="AI281" s="5"/>
      <c r="AJ281" s="6"/>
      <c r="AK281" s="6"/>
      <c r="AL281" s="12"/>
      <c r="AM281" s="12"/>
      <c r="AN281" s="12"/>
      <c r="AO281" s="12"/>
      <c r="AP281" s="12"/>
    </row>
    <row r="282" spans="1:42" ht="15" x14ac:dyDescent="0.25">
      <c r="A282" s="82" t="str">
        <f>TDCTRIBE!I291</f>
        <v>Eastern/Woodlands</v>
      </c>
      <c r="B282" s="82" t="str">
        <f>TDCTRIBE!B291</f>
        <v>MN</v>
      </c>
      <c r="C282" s="82" t="str">
        <f>TDCTRIBE!F291</f>
        <v>Shakopee Sioux</v>
      </c>
      <c r="D282" s="83">
        <f>TDCTRIBE!Y291</f>
        <v>352786.15102499997</v>
      </c>
      <c r="E282" s="83">
        <f>TDCTRIBE!Z291</f>
        <v>389827.70410499995</v>
      </c>
      <c r="F282" s="83">
        <f>TDCTRIBE!AA291</f>
        <v>437344.84921750001</v>
      </c>
      <c r="G282" s="83">
        <f>TDCTRIBE!AB291</f>
        <v>473689.31648499996</v>
      </c>
      <c r="H282" s="83">
        <f>TDCTRIBE!AC291</f>
        <v>510644.10386500001</v>
      </c>
      <c r="O282" s="9"/>
      <c r="P282" s="1"/>
      <c r="Q282" s="1"/>
      <c r="R282" s="1"/>
      <c r="S282" s="1"/>
      <c r="T282" s="1"/>
      <c r="U282" s="1"/>
      <c r="V282" s="9"/>
      <c r="W282" s="3"/>
      <c r="X282" s="4"/>
      <c r="Y282" s="1"/>
      <c r="Z282" s="1"/>
      <c r="AA282" s="1"/>
      <c r="AB282" s="1"/>
      <c r="AC282" s="1"/>
      <c r="AD282" s="3"/>
      <c r="AE282" s="3"/>
      <c r="AF282" s="5"/>
      <c r="AG282" s="5"/>
      <c r="AH282" s="5"/>
      <c r="AI282" s="5"/>
      <c r="AJ282" s="6"/>
      <c r="AK282" s="6"/>
      <c r="AL282" s="12"/>
      <c r="AM282" s="12"/>
      <c r="AN282" s="12"/>
      <c r="AO282" s="12"/>
      <c r="AP282" s="12"/>
    </row>
    <row r="283" spans="1:42" ht="15" x14ac:dyDescent="0.25">
      <c r="A283" s="82" t="str">
        <f>TDCTRIBE!I292</f>
        <v>Eastern/Woodlands</v>
      </c>
      <c r="B283" s="82" t="str">
        <f>TDCTRIBE!B292</f>
        <v>MN</v>
      </c>
      <c r="C283" s="82" t="str">
        <f>TDCTRIBE!F292</f>
        <v>Upper Sioux Indian Community</v>
      </c>
      <c r="D283" s="83">
        <f>TDCTRIBE!Y292</f>
        <v>340836.08674500004</v>
      </c>
      <c r="E283" s="83">
        <f>TDCTRIBE!Z292</f>
        <v>376426.08756899997</v>
      </c>
      <c r="F283" s="83">
        <f>TDCTRIBE!AA292</f>
        <v>422175.03590150009</v>
      </c>
      <c r="G283" s="83">
        <f>TDCTRIBE!AB292</f>
        <v>457100.63489300007</v>
      </c>
      <c r="H283" s="83">
        <f>TDCTRIBE!AC292</f>
        <v>492733.55593700003</v>
      </c>
      <c r="O283" s="9"/>
      <c r="P283" s="1"/>
      <c r="Q283" s="1"/>
      <c r="R283" s="1"/>
      <c r="S283" s="1"/>
      <c r="T283" s="1"/>
      <c r="U283" s="1"/>
      <c r="V283" s="9"/>
      <c r="W283" s="3"/>
      <c r="X283" s="4"/>
      <c r="Y283" s="1"/>
      <c r="Z283" s="1"/>
      <c r="AA283" s="1"/>
      <c r="AB283" s="1"/>
      <c r="AC283" s="1"/>
      <c r="AD283" s="3"/>
      <c r="AE283" s="3"/>
      <c r="AF283" s="5"/>
      <c r="AG283" s="5"/>
      <c r="AH283" s="5"/>
      <c r="AI283" s="5"/>
      <c r="AJ283" s="6"/>
      <c r="AK283" s="6"/>
      <c r="AL283" s="12"/>
      <c r="AM283" s="12"/>
      <c r="AN283" s="12"/>
      <c r="AO283" s="12"/>
      <c r="AP283" s="12"/>
    </row>
    <row r="284" spans="1:42" ht="15" x14ac:dyDescent="0.25">
      <c r="A284" s="82" t="str">
        <f>TDCTRIBE!I293</f>
        <v>Eastern/Woodlands</v>
      </c>
      <c r="B284" s="82" t="str">
        <f>TDCTRIBE!B293</f>
        <v>MN</v>
      </c>
      <c r="C284" s="82" t="str">
        <f>TDCTRIBE!F293</f>
        <v>White Earth Band of Minnesota Chippewa</v>
      </c>
      <c r="D284" s="83">
        <f>TDCTRIBE!Y293</f>
        <v>301706.20903500001</v>
      </c>
      <c r="E284" s="83">
        <f>TDCTRIBE!Z293</f>
        <v>333511.63076700002</v>
      </c>
      <c r="F284" s="83">
        <f>TDCTRIBE!AA293</f>
        <v>374251.21211450006</v>
      </c>
      <c r="G284" s="83">
        <f>TDCTRIBE!AB293</f>
        <v>405454.62059900002</v>
      </c>
      <c r="H284" s="83">
        <f>TDCTRIBE!AC293</f>
        <v>437103.98209100001</v>
      </c>
      <c r="O284" s="9"/>
      <c r="P284" s="1"/>
      <c r="Q284" s="1"/>
      <c r="R284" s="1"/>
      <c r="S284" s="1"/>
      <c r="T284" s="1"/>
      <c r="U284" s="1"/>
      <c r="V284" s="9"/>
      <c r="W284" s="3"/>
      <c r="X284" s="4"/>
      <c r="Y284" s="1"/>
      <c r="Z284" s="1"/>
      <c r="AA284" s="1"/>
      <c r="AB284" s="1"/>
      <c r="AC284" s="1"/>
      <c r="AD284" s="3"/>
      <c r="AE284" s="3"/>
      <c r="AF284" s="5"/>
      <c r="AG284" s="5"/>
      <c r="AH284" s="5"/>
      <c r="AI284" s="5"/>
      <c r="AJ284" s="6"/>
      <c r="AK284" s="6"/>
      <c r="AL284" s="12"/>
      <c r="AM284" s="12"/>
      <c r="AN284" s="12"/>
      <c r="AO284" s="12"/>
      <c r="AP284" s="12"/>
    </row>
    <row r="285" spans="1:42" ht="15" x14ac:dyDescent="0.25">
      <c r="A285" s="82" t="str">
        <f>TDCTRIBE!I294</f>
        <v>Eastern/Woodlands</v>
      </c>
      <c r="B285" s="82" t="str">
        <f>TDCTRIBE!B294</f>
        <v>MS</v>
      </c>
      <c r="C285" s="82" t="str">
        <f>TDCTRIBE!F294</f>
        <v>Mississippi Choctaw Tribe</v>
      </c>
      <c r="D285" s="83">
        <f>TDCTRIBE!Y294</f>
        <v>251693.79861500001</v>
      </c>
      <c r="E285" s="83">
        <f>TDCTRIBE!Z294</f>
        <v>279105.53131300001</v>
      </c>
      <c r="F285" s="83">
        <f>TDCTRIBE!AA294</f>
        <v>313312.18925300008</v>
      </c>
      <c r="G285" s="83">
        <f>TDCTRIBE!AB294</f>
        <v>338345.42523600004</v>
      </c>
      <c r="H285" s="83">
        <f>TDCTRIBE!AC294</f>
        <v>364855.65082400001</v>
      </c>
      <c r="O285" s="9"/>
      <c r="P285" s="1"/>
      <c r="Q285" s="1"/>
      <c r="R285" s="1"/>
      <c r="S285" s="1"/>
      <c r="T285" s="1"/>
      <c r="U285" s="1"/>
      <c r="V285" s="9"/>
      <c r="W285" s="3"/>
      <c r="X285" s="4"/>
      <c r="Y285" s="1"/>
      <c r="Z285" s="1"/>
      <c r="AA285" s="1"/>
      <c r="AB285" s="1"/>
      <c r="AC285" s="1"/>
      <c r="AD285" s="3"/>
      <c r="AE285" s="3"/>
      <c r="AF285" s="5"/>
      <c r="AG285" s="5"/>
      <c r="AH285" s="5"/>
      <c r="AI285" s="5"/>
      <c r="AJ285" s="6"/>
      <c r="AK285" s="6"/>
      <c r="AL285" s="12"/>
      <c r="AM285" s="12"/>
      <c r="AN285" s="12"/>
      <c r="AO285" s="12"/>
      <c r="AP285" s="12"/>
    </row>
    <row r="286" spans="1:42" ht="15" x14ac:dyDescent="0.25">
      <c r="A286" s="82" t="str">
        <f>TDCTRIBE!I295</f>
        <v>Eastern/Woodlands</v>
      </c>
      <c r="B286" s="82" t="str">
        <f>TDCTRIBE!B295</f>
        <v>NC</v>
      </c>
      <c r="C286" s="82" t="str">
        <f>TDCTRIBE!F295</f>
        <v>Coharie State Tribe</v>
      </c>
      <c r="D286" s="83">
        <f>TDCTRIBE!Y295</f>
        <v>276603.55768500001</v>
      </c>
      <c r="E286" s="83">
        <f>TDCTRIBE!Z295</f>
        <v>306441.95414700004</v>
      </c>
      <c r="F286" s="83">
        <f>TDCTRIBE!AA295</f>
        <v>354026.14309300005</v>
      </c>
      <c r="G286" s="83">
        <f>TDCTRIBE!AB295</f>
        <v>382158.98131600005</v>
      </c>
      <c r="H286" s="83">
        <f>TDCTRIBE!AC295</f>
        <v>412084.713544</v>
      </c>
      <c r="O286" s="9"/>
      <c r="P286" s="1"/>
      <c r="Q286" s="1"/>
      <c r="R286" s="1"/>
      <c r="S286" s="1"/>
      <c r="T286" s="1"/>
      <c r="U286" s="1"/>
      <c r="V286" s="9"/>
      <c r="W286" s="3"/>
      <c r="X286" s="4"/>
      <c r="Y286" s="1"/>
      <c r="Z286" s="1"/>
      <c r="AA286" s="1"/>
      <c r="AB286" s="1"/>
      <c r="AC286" s="1"/>
      <c r="AD286" s="3"/>
      <c r="AE286" s="3"/>
      <c r="AF286" s="5"/>
      <c r="AG286" s="5"/>
      <c r="AH286" s="5"/>
      <c r="AI286" s="5"/>
      <c r="AJ286" s="6"/>
      <c r="AK286" s="6"/>
      <c r="AL286" s="12"/>
      <c r="AM286" s="12"/>
      <c r="AN286" s="12"/>
      <c r="AO286" s="12"/>
      <c r="AP286" s="12"/>
    </row>
    <row r="287" spans="1:42" ht="15" x14ac:dyDescent="0.25">
      <c r="A287" s="82" t="str">
        <f>TDCTRIBE!I296</f>
        <v>Eastern/Woodlands</v>
      </c>
      <c r="B287" s="82" t="str">
        <f>TDCTRIBE!B296</f>
        <v>NC</v>
      </c>
      <c r="C287" s="82" t="str">
        <f>TDCTRIBE!F296</f>
        <v>Eastern Cherokee</v>
      </c>
      <c r="D287" s="83">
        <f>TDCTRIBE!Y296</f>
        <v>279608.54222</v>
      </c>
      <c r="E287" s="83">
        <f>TDCTRIBE!Z296</f>
        <v>309771.57786399999</v>
      </c>
      <c r="F287" s="83">
        <f>TDCTRIBE!AA296</f>
        <v>357874.40561600006</v>
      </c>
      <c r="G287" s="83">
        <f>TDCTRIBE!AB296</f>
        <v>386313.49579200003</v>
      </c>
      <c r="H287" s="83">
        <f>TDCTRIBE!AC296</f>
        <v>416564.60652800003</v>
      </c>
      <c r="O287" s="9"/>
      <c r="P287" s="1"/>
      <c r="Q287" s="1"/>
      <c r="R287" s="1"/>
      <c r="S287" s="1"/>
      <c r="T287" s="1"/>
      <c r="U287" s="1"/>
      <c r="V287" s="9"/>
      <c r="W287" s="3"/>
      <c r="X287" s="4"/>
      <c r="Y287" s="1"/>
      <c r="Z287" s="1"/>
      <c r="AA287" s="1"/>
      <c r="AB287" s="1"/>
      <c r="AC287" s="1"/>
      <c r="AD287" s="3"/>
      <c r="AE287" s="3"/>
      <c r="AF287" s="5"/>
      <c r="AG287" s="5"/>
      <c r="AH287" s="5"/>
      <c r="AI287" s="5"/>
      <c r="AJ287" s="6"/>
      <c r="AK287" s="6"/>
      <c r="AL287" s="12"/>
      <c r="AM287" s="12"/>
      <c r="AN287" s="12"/>
      <c r="AO287" s="12"/>
      <c r="AP287" s="12"/>
    </row>
    <row r="288" spans="1:42" ht="15" x14ac:dyDescent="0.25">
      <c r="A288" s="82" t="str">
        <f>TDCTRIBE!I297</f>
        <v>Eastern/Woodlands</v>
      </c>
      <c r="B288" s="82" t="str">
        <f>TDCTRIBE!B297</f>
        <v>NC</v>
      </c>
      <c r="C288" s="82" t="str">
        <f>TDCTRIBE!F297</f>
        <v>Haliwa-Saponi State Tribe</v>
      </c>
      <c r="D288" s="83">
        <f>TDCTRIBE!Y297</f>
        <v>279463.56175500003</v>
      </c>
      <c r="E288" s="83">
        <f>TDCTRIBE!Z297</f>
        <v>309655.00568099995</v>
      </c>
      <c r="F288" s="83">
        <f>TDCTRIBE!AA297</f>
        <v>357888.41463900008</v>
      </c>
      <c r="G288" s="83">
        <f>TDCTRIBE!AB297</f>
        <v>386369.84626800002</v>
      </c>
      <c r="H288" s="83">
        <f>TDCTRIBE!AC297</f>
        <v>416630.04751200002</v>
      </c>
      <c r="O288" s="9"/>
      <c r="P288" s="1"/>
      <c r="Q288" s="1"/>
      <c r="R288" s="1"/>
      <c r="S288" s="1"/>
      <c r="T288" s="1"/>
      <c r="U288" s="1"/>
      <c r="V288" s="9"/>
      <c r="W288" s="3"/>
      <c r="X288" s="4"/>
      <c r="Y288" s="1"/>
      <c r="Z288" s="1"/>
      <c r="AA288" s="1"/>
      <c r="AB288" s="1"/>
      <c r="AC288" s="1"/>
      <c r="AD288" s="3"/>
      <c r="AE288" s="3"/>
      <c r="AF288" s="5"/>
      <c r="AG288" s="5"/>
      <c r="AH288" s="5"/>
      <c r="AI288" s="5"/>
      <c r="AJ288" s="6"/>
      <c r="AK288" s="6"/>
      <c r="AL288" s="12"/>
      <c r="AM288" s="12"/>
      <c r="AN288" s="12"/>
      <c r="AO288" s="12"/>
      <c r="AP288" s="12"/>
    </row>
    <row r="289" spans="1:42" ht="15" x14ac:dyDescent="0.25">
      <c r="A289" s="82" t="str">
        <f>TDCTRIBE!I298</f>
        <v>Eastern/Woodlands</v>
      </c>
      <c r="B289" s="82" t="str">
        <f>TDCTRIBE!B298</f>
        <v>NC</v>
      </c>
      <c r="C289" s="82" t="str">
        <f>TDCTRIBE!F298</f>
        <v>Lumbee State Tribe</v>
      </c>
      <c r="D289" s="83">
        <f>TDCTRIBE!Y298</f>
        <v>276603.55768500001</v>
      </c>
      <c r="E289" s="83">
        <f>TDCTRIBE!Z298</f>
        <v>306441.95414700004</v>
      </c>
      <c r="F289" s="83">
        <f>TDCTRIBE!AA298</f>
        <v>354026.14309300005</v>
      </c>
      <c r="G289" s="83">
        <f>TDCTRIBE!AB298</f>
        <v>382158.98131600005</v>
      </c>
      <c r="H289" s="83">
        <f>TDCTRIBE!AC298</f>
        <v>412084.713544</v>
      </c>
      <c r="O289" s="9"/>
      <c r="P289" s="1"/>
      <c r="Q289" s="1"/>
      <c r="R289" s="1"/>
      <c r="S289" s="1"/>
      <c r="T289" s="1"/>
      <c r="U289" s="1"/>
      <c r="V289" s="9"/>
      <c r="W289" s="3"/>
      <c r="X289" s="4"/>
      <c r="Y289" s="1"/>
      <c r="Z289" s="1"/>
      <c r="AA289" s="1"/>
      <c r="AB289" s="1"/>
      <c r="AC289" s="1"/>
      <c r="AD289" s="3"/>
      <c r="AE289" s="3"/>
      <c r="AF289" s="5"/>
      <c r="AG289" s="5"/>
      <c r="AH289" s="5"/>
      <c r="AI289" s="5"/>
      <c r="AJ289" s="6"/>
      <c r="AK289" s="6"/>
      <c r="AL289" s="12"/>
      <c r="AM289" s="12"/>
      <c r="AN289" s="12"/>
      <c r="AO289" s="12"/>
      <c r="AP289" s="12"/>
    </row>
    <row r="290" spans="1:42" ht="15" x14ac:dyDescent="0.25">
      <c r="A290" s="82" t="str">
        <f>TDCTRIBE!I299</f>
        <v>Eastern/Woodlands</v>
      </c>
      <c r="B290" s="82" t="str">
        <f>TDCTRIBE!B299</f>
        <v>NC</v>
      </c>
      <c r="C290" s="82" t="str">
        <f>TDCTRIBE!F299</f>
        <v>Meherrin State Tribe</v>
      </c>
      <c r="D290" s="83">
        <f>TDCTRIBE!Y299</f>
        <v>276603.55768500001</v>
      </c>
      <c r="E290" s="83">
        <f>TDCTRIBE!Z299</f>
        <v>306441.95414700004</v>
      </c>
      <c r="F290" s="83">
        <f>TDCTRIBE!AA299</f>
        <v>354026.14309300005</v>
      </c>
      <c r="G290" s="83">
        <f>TDCTRIBE!AB299</f>
        <v>382158.98131600005</v>
      </c>
      <c r="H290" s="83">
        <f>TDCTRIBE!AC299</f>
        <v>412084.713544</v>
      </c>
      <c r="O290" s="9"/>
      <c r="P290" s="1"/>
      <c r="Q290" s="1"/>
      <c r="R290" s="1"/>
      <c r="S290" s="1"/>
      <c r="T290" s="1"/>
      <c r="U290" s="1"/>
      <c r="V290" s="9"/>
      <c r="W290" s="3"/>
      <c r="X290" s="4"/>
      <c r="Y290" s="1"/>
      <c r="Z290" s="1"/>
      <c r="AA290" s="1"/>
      <c r="AB290" s="1"/>
      <c r="AC290" s="1"/>
      <c r="AD290" s="3"/>
      <c r="AE290" s="3"/>
      <c r="AF290" s="5"/>
      <c r="AG290" s="5"/>
      <c r="AH290" s="5"/>
      <c r="AI290" s="5"/>
      <c r="AJ290" s="6"/>
      <c r="AK290" s="6"/>
      <c r="AL290" s="12"/>
      <c r="AM290" s="12"/>
      <c r="AN290" s="12"/>
      <c r="AO290" s="12"/>
      <c r="AP290" s="12"/>
    </row>
    <row r="291" spans="1:42" ht="15" x14ac:dyDescent="0.25">
      <c r="A291" s="82" t="str">
        <f>TDCTRIBE!I300</f>
        <v>Eastern/Woodlands</v>
      </c>
      <c r="B291" s="82" t="str">
        <f>TDCTRIBE!B300</f>
        <v>NC</v>
      </c>
      <c r="C291" s="82" t="str">
        <f>TDCTRIBE!F300</f>
        <v>Waccamaw Siouan State Tribe</v>
      </c>
      <c r="D291" s="83">
        <f>TDCTRIBE!Y300</f>
        <v>276603.55768500001</v>
      </c>
      <c r="E291" s="83">
        <f>TDCTRIBE!Z300</f>
        <v>306441.95414700004</v>
      </c>
      <c r="F291" s="83">
        <f>TDCTRIBE!AA300</f>
        <v>354026.14309300005</v>
      </c>
      <c r="G291" s="83">
        <f>TDCTRIBE!AB300</f>
        <v>382158.98131600005</v>
      </c>
      <c r="H291" s="83">
        <f>TDCTRIBE!AC300</f>
        <v>412084.713544</v>
      </c>
      <c r="O291" s="9"/>
      <c r="P291" s="1"/>
      <c r="Q291" s="1"/>
      <c r="R291" s="1"/>
      <c r="S291" s="1"/>
      <c r="T291" s="1"/>
      <c r="U291" s="1"/>
      <c r="V291" s="9"/>
      <c r="W291" s="3"/>
      <c r="X291" s="4"/>
      <c r="Y291" s="1"/>
      <c r="Z291" s="1"/>
      <c r="AA291" s="1"/>
      <c r="AB291" s="1"/>
      <c r="AC291" s="1"/>
      <c r="AD291" s="3"/>
      <c r="AE291" s="3"/>
      <c r="AF291" s="5"/>
      <c r="AG291" s="5"/>
      <c r="AH291" s="5"/>
      <c r="AI291" s="5"/>
      <c r="AJ291" s="6"/>
      <c r="AK291" s="6"/>
      <c r="AL291" s="12"/>
      <c r="AM291" s="12"/>
      <c r="AN291" s="12"/>
      <c r="AO291" s="12"/>
      <c r="AP291" s="12"/>
    </row>
    <row r="292" spans="1:42" ht="15" x14ac:dyDescent="0.25">
      <c r="A292" s="82" t="str">
        <f>TDCTRIBE!I301</f>
        <v>Eastern/Woodlands</v>
      </c>
      <c r="B292" s="82" t="str">
        <f>TDCTRIBE!B301</f>
        <v>NY</v>
      </c>
      <c r="C292" s="82" t="str">
        <f>TDCTRIBE!F301</f>
        <v>Cayuga Nation</v>
      </c>
      <c r="D292" s="83">
        <f>TDCTRIBE!Y301</f>
        <v>355955.87180999998</v>
      </c>
      <c r="E292" s="83">
        <f>TDCTRIBE!Z301</f>
        <v>393328.64197199995</v>
      </c>
      <c r="F292" s="83">
        <f>TDCTRIBE!AA301</f>
        <v>454877.35001800006</v>
      </c>
      <c r="G292" s="83">
        <f>TDCTRIBE!AB301</f>
        <v>492819.43786600005</v>
      </c>
      <c r="H292" s="83">
        <f>TDCTRIBE!AC301</f>
        <v>531291.28109399998</v>
      </c>
      <c r="O292" s="9"/>
      <c r="P292" s="1"/>
      <c r="Q292" s="1"/>
      <c r="R292" s="1"/>
      <c r="S292" s="1"/>
      <c r="T292" s="1"/>
      <c r="U292" s="1"/>
      <c r="V292" s="9"/>
      <c r="W292" s="3"/>
      <c r="X292" s="4"/>
      <c r="Y292" s="1"/>
      <c r="Z292" s="1"/>
      <c r="AA292" s="1"/>
      <c r="AB292" s="1"/>
      <c r="AC292" s="1"/>
      <c r="AD292" s="3"/>
      <c r="AE292" s="3"/>
      <c r="AF292" s="5"/>
      <c r="AG292" s="5"/>
      <c r="AH292" s="5"/>
      <c r="AI292" s="5"/>
      <c r="AJ292" s="6"/>
      <c r="AK292" s="6"/>
      <c r="AL292" s="12"/>
      <c r="AM292" s="12"/>
      <c r="AN292" s="12"/>
      <c r="AO292" s="12"/>
      <c r="AP292" s="12"/>
    </row>
    <row r="293" spans="1:42" ht="15" x14ac:dyDescent="0.25">
      <c r="A293" s="82" t="str">
        <f>TDCTRIBE!I302</f>
        <v>Eastern/Woodlands</v>
      </c>
      <c r="B293" s="82" t="str">
        <f>TDCTRIBE!B302</f>
        <v>NY</v>
      </c>
      <c r="C293" s="82" t="str">
        <f>TDCTRIBE!F302</f>
        <v>Oneida Nation of New York</v>
      </c>
      <c r="D293" s="83">
        <f>TDCTRIBE!Y302</f>
        <v>330051.491385</v>
      </c>
      <c r="E293" s="83">
        <f>TDCTRIBE!Z302</f>
        <v>364869.53783699998</v>
      </c>
      <c r="F293" s="83">
        <f>TDCTRIBE!AA302</f>
        <v>422475.80474050005</v>
      </c>
      <c r="G293" s="83">
        <f>TDCTRIBE!AB302</f>
        <v>457851.88941100001</v>
      </c>
      <c r="H293" s="83">
        <f>TDCTRIBE!AC302</f>
        <v>493617.92099900008</v>
      </c>
      <c r="O293" s="9"/>
      <c r="P293" s="1"/>
      <c r="Q293" s="1"/>
      <c r="R293" s="1"/>
      <c r="S293" s="1"/>
      <c r="T293" s="1"/>
      <c r="U293" s="1"/>
      <c r="V293" s="9"/>
      <c r="W293" s="3"/>
      <c r="X293" s="4"/>
      <c r="Y293" s="1"/>
      <c r="Z293" s="1"/>
      <c r="AA293" s="1"/>
      <c r="AB293" s="1"/>
      <c r="AC293" s="1"/>
      <c r="AD293" s="3"/>
      <c r="AE293" s="3"/>
      <c r="AF293" s="5"/>
      <c r="AG293" s="5"/>
      <c r="AH293" s="5"/>
      <c r="AI293" s="5"/>
      <c r="AJ293" s="6"/>
      <c r="AK293" s="6"/>
      <c r="AL293" s="12"/>
      <c r="AM293" s="12"/>
      <c r="AN293" s="12"/>
      <c r="AO293" s="12"/>
      <c r="AP293" s="12"/>
    </row>
    <row r="294" spans="1:42" ht="15" x14ac:dyDescent="0.25">
      <c r="A294" s="82" t="str">
        <f>TDCTRIBE!I303</f>
        <v>Eastern/Woodlands</v>
      </c>
      <c r="B294" s="82" t="str">
        <f>TDCTRIBE!B303</f>
        <v>NY</v>
      </c>
      <c r="C294" s="82" t="str">
        <f>TDCTRIBE!F303</f>
        <v>Onondaga Nation</v>
      </c>
      <c r="D294" s="83">
        <f>TDCTRIBE!Y303</f>
        <v>330051.491385</v>
      </c>
      <c r="E294" s="83">
        <f>TDCTRIBE!Z303</f>
        <v>364869.53783699998</v>
      </c>
      <c r="F294" s="83">
        <f>TDCTRIBE!AA303</f>
        <v>422475.80474050005</v>
      </c>
      <c r="G294" s="83">
        <f>TDCTRIBE!AB303</f>
        <v>457851.88941100001</v>
      </c>
      <c r="H294" s="83">
        <f>TDCTRIBE!AC303</f>
        <v>493617.92099900008</v>
      </c>
      <c r="O294" s="9"/>
      <c r="P294" s="1"/>
      <c r="Q294" s="1"/>
      <c r="R294" s="1"/>
      <c r="S294" s="1"/>
      <c r="T294" s="1"/>
      <c r="U294" s="1"/>
      <c r="V294" s="9"/>
      <c r="W294" s="3"/>
      <c r="X294" s="4"/>
      <c r="Y294" s="1"/>
      <c r="Z294" s="1"/>
      <c r="AA294" s="1"/>
      <c r="AB294" s="1"/>
      <c r="AC294" s="1"/>
      <c r="AD294" s="3"/>
      <c r="AE294" s="3"/>
      <c r="AF294" s="5"/>
      <c r="AG294" s="5"/>
      <c r="AH294" s="5"/>
      <c r="AI294" s="5"/>
      <c r="AJ294" s="6"/>
      <c r="AK294" s="6"/>
      <c r="AL294" s="12"/>
      <c r="AM294" s="12"/>
      <c r="AN294" s="12"/>
      <c r="AO294" s="12"/>
      <c r="AP294" s="12"/>
    </row>
    <row r="295" spans="1:42" ht="15" x14ac:dyDescent="0.25">
      <c r="A295" s="82" t="str">
        <f>TDCTRIBE!I304</f>
        <v>Eastern/Woodlands</v>
      </c>
      <c r="B295" s="82" t="str">
        <f>TDCTRIBE!B304</f>
        <v>NY</v>
      </c>
      <c r="C295" s="82" t="str">
        <f>TDCTRIBE!F304</f>
        <v>Seneca Nation of New York</v>
      </c>
      <c r="D295" s="83">
        <f>TDCTRIBE!Y304</f>
        <v>355955.87180999998</v>
      </c>
      <c r="E295" s="83">
        <f>TDCTRIBE!Z304</f>
        <v>393328.64197199995</v>
      </c>
      <c r="F295" s="83">
        <f>TDCTRIBE!AA304</f>
        <v>454877.35001800006</v>
      </c>
      <c r="G295" s="83">
        <f>TDCTRIBE!AB304</f>
        <v>492819.43786600005</v>
      </c>
      <c r="H295" s="83">
        <f>TDCTRIBE!AC304</f>
        <v>531291.28109399998</v>
      </c>
      <c r="O295" s="9"/>
      <c r="P295" s="1"/>
      <c r="Q295" s="1"/>
      <c r="R295" s="1"/>
      <c r="S295" s="1"/>
      <c r="T295" s="1"/>
      <c r="U295" s="1"/>
      <c r="V295" s="9"/>
      <c r="W295" s="3"/>
      <c r="X295" s="4"/>
      <c r="Y295" s="1"/>
      <c r="Z295" s="1"/>
      <c r="AA295" s="1"/>
      <c r="AB295" s="1"/>
      <c r="AC295" s="1"/>
      <c r="AD295" s="3"/>
      <c r="AE295" s="3"/>
      <c r="AF295" s="5"/>
      <c r="AG295" s="5"/>
      <c r="AH295" s="5"/>
      <c r="AI295" s="5"/>
      <c r="AJ295" s="6"/>
      <c r="AK295" s="6"/>
      <c r="AL295" s="12"/>
      <c r="AM295" s="12"/>
      <c r="AN295" s="12"/>
      <c r="AO295" s="12"/>
      <c r="AP295" s="12"/>
    </row>
    <row r="296" spans="1:42" ht="15" x14ac:dyDescent="0.25">
      <c r="A296" s="82" t="str">
        <f>TDCTRIBE!I305</f>
        <v>Eastern/Woodlands</v>
      </c>
      <c r="B296" s="82" t="str">
        <f>TDCTRIBE!B305</f>
        <v>NY</v>
      </c>
      <c r="C296" s="82" t="str">
        <f>TDCTRIBE!F305</f>
        <v>Shinnecock</v>
      </c>
      <c r="D296" s="83">
        <f>TDCTRIBE!Y305</f>
        <v>416398.89175499999</v>
      </c>
      <c r="E296" s="83">
        <f>TDCTRIBE!Z305</f>
        <v>460467.92738099996</v>
      </c>
      <c r="F296" s="83">
        <f>TDCTRIBE!AA305</f>
        <v>533606.67317650001</v>
      </c>
      <c r="G296" s="83">
        <f>TDCTRIBE!AB305</f>
        <v>578405.67469300004</v>
      </c>
      <c r="H296" s="83">
        <f>TDCTRIBE!AC305</f>
        <v>623609.54663700005</v>
      </c>
      <c r="O296" s="9"/>
      <c r="P296" s="1"/>
      <c r="Q296" s="1"/>
      <c r="R296" s="1"/>
      <c r="S296" s="1"/>
      <c r="T296" s="1"/>
      <c r="U296" s="1"/>
      <c r="V296" s="9"/>
      <c r="W296" s="3"/>
      <c r="X296" s="4"/>
      <c r="Y296" s="1"/>
      <c r="Z296" s="1"/>
      <c r="AA296" s="1"/>
      <c r="AB296" s="1"/>
      <c r="AC296" s="1"/>
      <c r="AD296" s="3"/>
      <c r="AE296" s="3"/>
      <c r="AF296" s="5"/>
      <c r="AG296" s="5"/>
      <c r="AH296" s="5"/>
      <c r="AI296" s="5"/>
      <c r="AJ296" s="6"/>
      <c r="AK296" s="6"/>
      <c r="AL296" s="12"/>
      <c r="AM296" s="12"/>
      <c r="AN296" s="12"/>
      <c r="AO296" s="12"/>
      <c r="AP296" s="12"/>
    </row>
    <row r="297" spans="1:42" ht="15" x14ac:dyDescent="0.25">
      <c r="A297" s="82" t="str">
        <f>TDCTRIBE!I306</f>
        <v>Eastern/Woodlands</v>
      </c>
      <c r="B297" s="82" t="str">
        <f>TDCTRIBE!B306</f>
        <v>NY</v>
      </c>
      <c r="C297" s="82" t="str">
        <f>TDCTRIBE!F306</f>
        <v>St. Regis Mohawk Tribe</v>
      </c>
      <c r="D297" s="83">
        <f>TDCTRIBE!Y306</f>
        <v>316243.25964</v>
      </c>
      <c r="E297" s="83">
        <f>TDCTRIBE!Z306</f>
        <v>349491.65176799998</v>
      </c>
      <c r="F297" s="83">
        <f>TDCTRIBE!AA306</f>
        <v>404320.45329200005</v>
      </c>
      <c r="G297" s="83">
        <f>TDCTRIBE!AB306</f>
        <v>438082.89610400004</v>
      </c>
      <c r="H297" s="83">
        <f>TDCTRIBE!AC306</f>
        <v>472288.28813600005</v>
      </c>
      <c r="O297" s="9"/>
      <c r="P297" s="1"/>
      <c r="Q297" s="1"/>
      <c r="R297" s="1"/>
      <c r="S297" s="1"/>
      <c r="T297" s="1"/>
      <c r="U297" s="1"/>
      <c r="V297" s="9"/>
      <c r="W297" s="3"/>
      <c r="X297" s="4"/>
      <c r="Y297" s="1"/>
      <c r="Z297" s="1"/>
      <c r="AA297" s="1"/>
      <c r="AB297" s="1"/>
      <c r="AC297" s="1"/>
      <c r="AD297" s="3"/>
      <c r="AE297" s="3"/>
      <c r="AF297" s="5"/>
      <c r="AG297" s="5"/>
      <c r="AH297" s="5"/>
      <c r="AI297" s="5"/>
      <c r="AJ297" s="6"/>
      <c r="AK297" s="6"/>
      <c r="AL297" s="12"/>
      <c r="AM297" s="12"/>
      <c r="AN297" s="12"/>
      <c r="AO297" s="12"/>
      <c r="AP297" s="12"/>
    </row>
    <row r="298" spans="1:42" ht="15" x14ac:dyDescent="0.25">
      <c r="A298" s="82" t="str">
        <f>TDCTRIBE!I307</f>
        <v>Eastern/Woodlands</v>
      </c>
      <c r="B298" s="82" t="str">
        <f>TDCTRIBE!B307</f>
        <v>NY</v>
      </c>
      <c r="C298" s="82" t="str">
        <f>TDCTRIBE!F307</f>
        <v>Tonawanda Band of Senecas</v>
      </c>
      <c r="D298" s="83">
        <f>TDCTRIBE!Y307</f>
        <v>355955.87180999998</v>
      </c>
      <c r="E298" s="83">
        <f>TDCTRIBE!Z307</f>
        <v>393328.64197199995</v>
      </c>
      <c r="F298" s="83">
        <f>TDCTRIBE!AA307</f>
        <v>454877.35001800006</v>
      </c>
      <c r="G298" s="83">
        <f>TDCTRIBE!AB307</f>
        <v>492819.43786600005</v>
      </c>
      <c r="H298" s="83">
        <f>TDCTRIBE!AC307</f>
        <v>531291.28109399998</v>
      </c>
      <c r="O298" s="9"/>
      <c r="P298" s="1"/>
      <c r="Q298" s="1"/>
      <c r="R298" s="1"/>
      <c r="S298" s="1"/>
      <c r="T298" s="1"/>
      <c r="U298" s="1"/>
      <c r="V298" s="9"/>
      <c r="W298" s="3"/>
      <c r="X298" s="4"/>
      <c r="Y298" s="1"/>
      <c r="Z298" s="1"/>
      <c r="AA298" s="1"/>
      <c r="AB298" s="1"/>
      <c r="AC298" s="1"/>
      <c r="AD298" s="3"/>
      <c r="AE298" s="3"/>
      <c r="AF298" s="5"/>
      <c r="AG298" s="5"/>
      <c r="AH298" s="5"/>
      <c r="AI298" s="5"/>
      <c r="AJ298" s="6"/>
      <c r="AK298" s="6"/>
      <c r="AL298" s="12"/>
      <c r="AM298" s="12"/>
      <c r="AN298" s="12"/>
      <c r="AO298" s="12"/>
      <c r="AP298" s="12"/>
    </row>
    <row r="299" spans="1:42" ht="15" x14ac:dyDescent="0.25">
      <c r="A299" s="82" t="str">
        <f>TDCTRIBE!I308</f>
        <v>Eastern/Woodlands</v>
      </c>
      <c r="B299" s="82" t="str">
        <f>TDCTRIBE!B308</f>
        <v>NY</v>
      </c>
      <c r="C299" s="82" t="str">
        <f>TDCTRIBE!F308</f>
        <v>Tuscarora Nation</v>
      </c>
      <c r="D299" s="83">
        <f>TDCTRIBE!Y308</f>
        <v>344588.54199</v>
      </c>
      <c r="E299" s="83">
        <f>TDCTRIBE!Z308</f>
        <v>380849.558838</v>
      </c>
      <c r="F299" s="83">
        <f>TDCTRIBE!AA308</f>
        <v>440698.51644700003</v>
      </c>
      <c r="G299" s="83">
        <f>TDCTRIBE!AB308</f>
        <v>477525.60171400005</v>
      </c>
      <c r="H299" s="83">
        <f>TDCTRIBE!AC308</f>
        <v>514815.38162599993</v>
      </c>
      <c r="O299" s="9"/>
      <c r="P299" s="1"/>
      <c r="Q299" s="1"/>
      <c r="R299" s="1"/>
      <c r="S299" s="1"/>
      <c r="T299" s="1"/>
      <c r="U299" s="1"/>
      <c r="V299" s="9"/>
      <c r="W299" s="3"/>
      <c r="X299" s="4"/>
      <c r="Y299" s="1"/>
      <c r="Z299" s="1"/>
      <c r="AA299" s="1"/>
      <c r="AB299" s="1"/>
      <c r="AC299" s="1"/>
      <c r="AD299" s="3"/>
      <c r="AE299" s="3"/>
      <c r="AF299" s="5"/>
      <c r="AG299" s="5"/>
      <c r="AH299" s="5"/>
      <c r="AI299" s="5"/>
      <c r="AJ299" s="6"/>
      <c r="AK299" s="6"/>
      <c r="AL299" s="12"/>
      <c r="AM299" s="12"/>
      <c r="AN299" s="12"/>
      <c r="AO299" s="12"/>
      <c r="AP299" s="12"/>
    </row>
    <row r="300" spans="1:42" ht="15" x14ac:dyDescent="0.25">
      <c r="A300" s="82" t="str">
        <f>TDCTRIBE!I309</f>
        <v>Eastern/Woodlands</v>
      </c>
      <c r="B300" s="82" t="str">
        <f>TDCTRIBE!B309</f>
        <v>RI</v>
      </c>
      <c r="C300" s="82" t="str">
        <f>TDCTRIBE!F309</f>
        <v>Narragansett Tribe</v>
      </c>
      <c r="D300" s="83">
        <f>TDCTRIBE!Y309</f>
        <v>346628.91417</v>
      </c>
      <c r="E300" s="83">
        <f>TDCTRIBE!Z309</f>
        <v>382976.362104</v>
      </c>
      <c r="F300" s="83">
        <f>TDCTRIBE!AA309</f>
        <v>442762.55567600008</v>
      </c>
      <c r="G300" s="83">
        <f>TDCTRIBE!AB309</f>
        <v>479655.98916200001</v>
      </c>
      <c r="H300" s="83">
        <f>TDCTRIBE!AC309</f>
        <v>517093.55455800006</v>
      </c>
      <c r="O300" s="9"/>
      <c r="P300" s="1"/>
      <c r="Q300" s="1"/>
      <c r="R300" s="1"/>
      <c r="S300" s="1"/>
      <c r="T300" s="1"/>
      <c r="U300" s="1"/>
      <c r="V300" s="9"/>
      <c r="W300" s="3"/>
      <c r="X300" s="4"/>
      <c r="Y300" s="1"/>
      <c r="Z300" s="1"/>
      <c r="AA300" s="1"/>
      <c r="AB300" s="1"/>
      <c r="AC300" s="1"/>
      <c r="AD300" s="3"/>
      <c r="AE300" s="3"/>
      <c r="AF300" s="5"/>
      <c r="AG300" s="5"/>
      <c r="AH300" s="5"/>
      <c r="AI300" s="5"/>
      <c r="AJ300" s="6"/>
      <c r="AK300" s="6"/>
      <c r="AL300" s="12"/>
      <c r="AM300" s="12"/>
      <c r="AN300" s="12"/>
      <c r="AO300" s="12"/>
      <c r="AP300" s="12"/>
    </row>
    <row r="301" spans="1:42" ht="15" x14ac:dyDescent="0.25">
      <c r="A301" s="82" t="str">
        <f>TDCTRIBE!I310</f>
        <v>Eastern/Woodlands</v>
      </c>
      <c r="B301" s="82" t="str">
        <f>TDCTRIBE!B310</f>
        <v>SC</v>
      </c>
      <c r="C301" s="82" t="str">
        <f>TDCTRIBE!F310</f>
        <v>Catawba Indian Tribe</v>
      </c>
      <c r="D301" s="83">
        <f>TDCTRIBE!Y310</f>
        <v>278033.55972000002</v>
      </c>
      <c r="E301" s="83">
        <f>TDCTRIBE!Z310</f>
        <v>308048.47991400003</v>
      </c>
      <c r="F301" s="83">
        <f>TDCTRIBE!AA310</f>
        <v>345607.89103400009</v>
      </c>
      <c r="G301" s="83">
        <f>TDCTRIBE!AB310</f>
        <v>372980.93100800004</v>
      </c>
      <c r="H301" s="83">
        <f>TDCTRIBE!AC310</f>
        <v>402177.65067200002</v>
      </c>
      <c r="O301" s="9"/>
      <c r="P301" s="1"/>
      <c r="Q301" s="1"/>
      <c r="R301" s="1"/>
      <c r="S301" s="1"/>
      <c r="T301" s="1"/>
      <c r="U301" s="1"/>
      <c r="V301" s="9"/>
      <c r="W301" s="3"/>
      <c r="X301" s="4"/>
      <c r="Y301" s="1"/>
      <c r="Z301" s="1"/>
      <c r="AA301" s="1"/>
      <c r="AB301" s="1"/>
      <c r="AC301" s="1"/>
      <c r="AD301" s="3"/>
      <c r="AE301" s="3"/>
      <c r="AF301" s="5"/>
      <c r="AG301" s="5"/>
      <c r="AH301" s="5"/>
      <c r="AI301" s="5"/>
      <c r="AJ301" s="6"/>
      <c r="AK301" s="6"/>
      <c r="AL301" s="12"/>
      <c r="AM301" s="12"/>
      <c r="AN301" s="12"/>
      <c r="AO301" s="12"/>
      <c r="AP301" s="12"/>
    </row>
    <row r="302" spans="1:42" ht="15" x14ac:dyDescent="0.25">
      <c r="A302" s="82" t="str">
        <f>TDCTRIBE!I311</f>
        <v>Eastern/Woodlands</v>
      </c>
      <c r="B302" s="82" t="str">
        <f>TDCTRIBE!B311</f>
        <v>VA</v>
      </c>
      <c r="C302" s="82" t="str">
        <f>TDCTRIBE!F311</f>
        <v>Nansemond Indian Tribe</v>
      </c>
      <c r="D302" s="83">
        <f>TDCTRIBE!Y311</f>
        <v>285473.53082500002</v>
      </c>
      <c r="E302" s="83">
        <f>TDCTRIBE!Z311</f>
        <v>316314.25311499997</v>
      </c>
      <c r="F302" s="83">
        <f>TDCTRIBE!AA311</f>
        <v>365584.93968500005</v>
      </c>
      <c r="G302" s="83">
        <f>TDCTRIBE!AB311</f>
        <v>394678.87521999999</v>
      </c>
      <c r="H302" s="83">
        <f>TDCTRIBE!AC311</f>
        <v>425589.83348000003</v>
      </c>
      <c r="O302" s="9"/>
      <c r="P302" s="1"/>
      <c r="Q302" s="1"/>
      <c r="R302" s="1"/>
      <c r="S302" s="1"/>
      <c r="T302" s="1"/>
      <c r="U302" s="1"/>
      <c r="V302" s="9"/>
      <c r="W302" s="3"/>
      <c r="X302" s="4"/>
      <c r="Y302" s="1"/>
      <c r="Z302" s="1"/>
      <c r="AA302" s="1"/>
      <c r="AB302" s="1"/>
      <c r="AC302" s="1"/>
      <c r="AD302" s="3"/>
      <c r="AE302" s="3"/>
      <c r="AF302" s="5"/>
      <c r="AG302" s="5"/>
      <c r="AH302" s="5"/>
      <c r="AI302" s="5"/>
      <c r="AJ302" s="6"/>
      <c r="AK302" s="6"/>
      <c r="AL302" s="12"/>
      <c r="AM302" s="12"/>
      <c r="AN302" s="12"/>
      <c r="AO302" s="12"/>
      <c r="AP302" s="12"/>
    </row>
    <row r="303" spans="1:42" ht="15" x14ac:dyDescent="0.25">
      <c r="A303" s="82" t="str">
        <f>TDCTRIBE!I312</f>
        <v>Eastern/Woodlands</v>
      </c>
      <c r="B303" s="82" t="str">
        <f>TDCTRIBE!B312</f>
        <v>VA</v>
      </c>
      <c r="C303" s="82" t="str">
        <f>TDCTRIBE!F312</f>
        <v>Monacan Indian Tribe</v>
      </c>
      <c r="D303" s="83">
        <f>TDCTRIBE!Y312</f>
        <v>281618.46611500002</v>
      </c>
      <c r="E303" s="83">
        <f>TDCTRIBE!Z312</f>
        <v>311844.39236299996</v>
      </c>
      <c r="F303" s="83">
        <f>TDCTRIBE!AA312</f>
        <v>359749.505297</v>
      </c>
      <c r="G303" s="83">
        <f>TDCTRIBE!AB312</f>
        <v>388193.52636399999</v>
      </c>
      <c r="H303" s="83">
        <f>TDCTRIBE!AC312</f>
        <v>418575.50957599998</v>
      </c>
      <c r="O303" s="9"/>
      <c r="P303" s="1"/>
      <c r="Q303" s="1"/>
      <c r="R303" s="1"/>
      <c r="S303" s="1"/>
      <c r="T303" s="1"/>
      <c r="U303" s="1"/>
      <c r="V303" s="9"/>
      <c r="W303" s="3"/>
      <c r="X303" s="4"/>
      <c r="Y303" s="1"/>
      <c r="Z303" s="1"/>
      <c r="AA303" s="1"/>
      <c r="AB303" s="1"/>
      <c r="AC303" s="1"/>
      <c r="AD303" s="3"/>
      <c r="AE303" s="3"/>
      <c r="AF303" s="5"/>
      <c r="AG303" s="5"/>
      <c r="AH303" s="5"/>
      <c r="AI303" s="5"/>
      <c r="AJ303" s="6"/>
      <c r="AK303" s="6"/>
      <c r="AL303" s="12"/>
      <c r="AM303" s="12"/>
      <c r="AN303" s="12"/>
      <c r="AO303" s="12"/>
      <c r="AP303" s="12"/>
    </row>
    <row r="304" spans="1:42" ht="15" x14ac:dyDescent="0.25">
      <c r="A304" s="82" t="str">
        <f>TDCTRIBE!I313</f>
        <v>Eastern/Woodlands</v>
      </c>
      <c r="B304" s="82" t="str">
        <f>TDCTRIBE!B313</f>
        <v>VA</v>
      </c>
      <c r="C304" s="82" t="str">
        <f>TDCTRIBE!F313</f>
        <v>Chickahominy Tribe</v>
      </c>
      <c r="D304" s="83">
        <f>TDCTRIBE!Y313</f>
        <v>299503.39286000002</v>
      </c>
      <c r="E304" s="83">
        <f>TDCTRIBE!Z313</f>
        <v>331705.56248200004</v>
      </c>
      <c r="F304" s="83">
        <f>TDCTRIBE!AA313</f>
        <v>382853.08945800003</v>
      </c>
      <c r="G304" s="83">
        <f>TDCTRIBE!AB313</f>
        <v>413176.96369600005</v>
      </c>
      <c r="H304" s="83">
        <f>TDCTRIBE!AC313</f>
        <v>445520.308464</v>
      </c>
      <c r="O304" s="9"/>
      <c r="P304" s="1"/>
      <c r="Q304" s="1"/>
      <c r="R304" s="1"/>
      <c r="S304" s="1"/>
      <c r="T304" s="1"/>
      <c r="U304" s="1"/>
      <c r="V304" s="9"/>
      <c r="W304" s="3"/>
      <c r="X304" s="4"/>
      <c r="Y304" s="1"/>
      <c r="Z304" s="1"/>
      <c r="AA304" s="1"/>
      <c r="AB304" s="1"/>
      <c r="AC304" s="1"/>
      <c r="AD304" s="3"/>
      <c r="AE304" s="3"/>
      <c r="AF304" s="5"/>
      <c r="AG304" s="5"/>
      <c r="AH304" s="5"/>
      <c r="AI304" s="5"/>
      <c r="AJ304" s="6"/>
      <c r="AK304" s="6"/>
      <c r="AL304" s="12"/>
      <c r="AM304" s="12"/>
      <c r="AN304" s="12"/>
      <c r="AO304" s="12"/>
      <c r="AP304" s="12"/>
    </row>
    <row r="305" spans="1:42" ht="15" x14ac:dyDescent="0.25">
      <c r="A305" s="82" t="str">
        <f>TDCTRIBE!I314</f>
        <v>Eastern/Woodlands</v>
      </c>
      <c r="B305" s="82" t="str">
        <f>TDCTRIBE!B314</f>
        <v>VA</v>
      </c>
      <c r="C305" s="82" t="str">
        <f>TDCTRIBE!F314</f>
        <v>Eastern Chickahominy Tribe</v>
      </c>
      <c r="D305" s="83">
        <f>TDCTRIBE!Y314</f>
        <v>299503.39286000002</v>
      </c>
      <c r="E305" s="83">
        <f>TDCTRIBE!Z314</f>
        <v>331705.56248200004</v>
      </c>
      <c r="F305" s="83">
        <f>TDCTRIBE!AA314</f>
        <v>382853.08945800003</v>
      </c>
      <c r="G305" s="83">
        <f>TDCTRIBE!AB314</f>
        <v>413176.96369600005</v>
      </c>
      <c r="H305" s="83">
        <f>TDCTRIBE!AC314</f>
        <v>445520.308464</v>
      </c>
      <c r="O305" s="9"/>
      <c r="P305" s="1"/>
      <c r="Q305" s="1"/>
      <c r="R305" s="1"/>
      <c r="S305" s="1"/>
      <c r="T305" s="1"/>
      <c r="U305" s="1"/>
      <c r="V305" s="9"/>
      <c r="W305" s="3"/>
      <c r="X305" s="4"/>
      <c r="Y305" s="1"/>
      <c r="Z305" s="1"/>
      <c r="AA305" s="1"/>
      <c r="AB305" s="1"/>
      <c r="AC305" s="1"/>
      <c r="AD305" s="3"/>
      <c r="AE305" s="3"/>
      <c r="AF305" s="5"/>
      <c r="AG305" s="5"/>
      <c r="AH305" s="5"/>
      <c r="AI305" s="5"/>
      <c r="AJ305" s="6"/>
      <c r="AK305" s="6"/>
      <c r="AL305" s="12"/>
      <c r="AM305" s="12"/>
      <c r="AN305" s="12"/>
      <c r="AO305" s="12"/>
      <c r="AP305" s="12"/>
    </row>
    <row r="306" spans="1:42" ht="15" x14ac:dyDescent="0.25">
      <c r="A306" s="82" t="str">
        <f>TDCTRIBE!I315</f>
        <v>Eastern/Woodlands</v>
      </c>
      <c r="B306" s="82" t="str">
        <f>TDCTRIBE!B315</f>
        <v>VA</v>
      </c>
      <c r="C306" s="82" t="str">
        <f>TDCTRIBE!F315</f>
        <v>Upper Mattaponi Tribe</v>
      </c>
      <c r="D306" s="83">
        <f>TDCTRIBE!Y315</f>
        <v>299503.39286000002</v>
      </c>
      <c r="E306" s="83">
        <f>TDCTRIBE!Z315</f>
        <v>331705.56248200004</v>
      </c>
      <c r="F306" s="83">
        <f>TDCTRIBE!AA315</f>
        <v>382853.08945800003</v>
      </c>
      <c r="G306" s="83">
        <f>TDCTRIBE!AB315</f>
        <v>413176.96369600005</v>
      </c>
      <c r="H306" s="83">
        <f>TDCTRIBE!AC315</f>
        <v>445520.308464</v>
      </c>
      <c r="O306" s="9"/>
      <c r="P306" s="1"/>
      <c r="Q306" s="1"/>
      <c r="R306" s="1"/>
      <c r="S306" s="1"/>
      <c r="T306" s="1"/>
      <c r="U306" s="1"/>
      <c r="V306" s="9"/>
      <c r="W306" s="3"/>
      <c r="X306" s="4"/>
      <c r="Y306" s="1"/>
      <c r="Z306" s="1"/>
      <c r="AA306" s="1"/>
      <c r="AB306" s="1"/>
      <c r="AC306" s="1"/>
      <c r="AD306" s="3"/>
      <c r="AE306" s="3"/>
      <c r="AF306" s="5"/>
      <c r="AG306" s="5"/>
      <c r="AH306" s="5"/>
      <c r="AI306" s="5"/>
      <c r="AJ306" s="6"/>
      <c r="AK306" s="6"/>
      <c r="AL306" s="12"/>
      <c r="AM306" s="12"/>
      <c r="AN306" s="12"/>
      <c r="AO306" s="12"/>
      <c r="AP306" s="12"/>
    </row>
    <row r="307" spans="1:42" ht="15" x14ac:dyDescent="0.25">
      <c r="A307" s="82" t="str">
        <f>TDCTRIBE!I316</f>
        <v>Eastern/Woodlands</v>
      </c>
      <c r="B307" s="82" t="str">
        <f>TDCTRIBE!B316</f>
        <v>VA</v>
      </c>
      <c r="C307" s="82" t="str">
        <f>TDCTRIBE!F316</f>
        <v>Pamunkey</v>
      </c>
      <c r="D307" s="83">
        <f>TDCTRIBE!Y316</f>
        <v>299503.39286000002</v>
      </c>
      <c r="E307" s="83">
        <f>TDCTRIBE!Z316</f>
        <v>331705.56248200004</v>
      </c>
      <c r="F307" s="83">
        <f>TDCTRIBE!AA316</f>
        <v>382853.08945800003</v>
      </c>
      <c r="G307" s="83">
        <f>TDCTRIBE!AB316</f>
        <v>413176.96369600005</v>
      </c>
      <c r="H307" s="83">
        <f>TDCTRIBE!AC316</f>
        <v>445520.308464</v>
      </c>
      <c r="O307" s="9"/>
      <c r="P307" s="1"/>
      <c r="Q307" s="1"/>
      <c r="R307" s="1"/>
      <c r="S307" s="1"/>
      <c r="T307" s="1"/>
      <c r="U307" s="1"/>
      <c r="V307" s="9"/>
      <c r="W307" s="3"/>
      <c r="X307" s="4"/>
      <c r="Y307" s="1"/>
      <c r="Z307" s="1"/>
      <c r="AA307" s="1"/>
      <c r="AB307" s="1"/>
      <c r="AC307" s="1"/>
      <c r="AD307" s="3"/>
      <c r="AE307" s="3"/>
      <c r="AF307" s="5"/>
      <c r="AG307" s="5"/>
      <c r="AH307" s="5"/>
      <c r="AI307" s="5"/>
      <c r="AJ307" s="6"/>
      <c r="AK307" s="6"/>
      <c r="AL307" s="12"/>
      <c r="AM307" s="12"/>
      <c r="AN307" s="12"/>
      <c r="AO307" s="12"/>
      <c r="AP307" s="12"/>
    </row>
    <row r="308" spans="1:42" ht="15" x14ac:dyDescent="0.25">
      <c r="A308" s="82" t="str">
        <f>TDCTRIBE!I317</f>
        <v>Eastern/Woodlands</v>
      </c>
      <c r="B308" s="82" t="str">
        <f>TDCTRIBE!B317</f>
        <v>VA</v>
      </c>
      <c r="C308" s="82" t="str">
        <f>TDCTRIBE!F317</f>
        <v>Rappahonock Tribe</v>
      </c>
      <c r="D308" s="83">
        <f>TDCTRIBE!Y317</f>
        <v>299503.39286000002</v>
      </c>
      <c r="E308" s="83">
        <f>TDCTRIBE!Z317</f>
        <v>331705.56248200004</v>
      </c>
      <c r="F308" s="83">
        <f>TDCTRIBE!AA317</f>
        <v>382853.08945800003</v>
      </c>
      <c r="G308" s="83">
        <f>TDCTRIBE!AB317</f>
        <v>413176.96369600005</v>
      </c>
      <c r="H308" s="83">
        <f>TDCTRIBE!AC317</f>
        <v>445520.308464</v>
      </c>
      <c r="O308" s="9"/>
      <c r="P308" s="1"/>
      <c r="Q308" s="1"/>
      <c r="R308" s="1"/>
      <c r="S308" s="1"/>
      <c r="T308" s="1"/>
      <c r="U308" s="1"/>
      <c r="V308" s="9"/>
      <c r="W308" s="3"/>
      <c r="X308" s="4"/>
      <c r="Y308" s="1"/>
      <c r="Z308" s="1"/>
      <c r="AA308" s="1"/>
      <c r="AB308" s="1"/>
      <c r="AC308" s="1"/>
      <c r="AD308" s="3"/>
      <c r="AE308" s="3"/>
      <c r="AF308" s="5"/>
      <c r="AG308" s="5"/>
      <c r="AH308" s="5"/>
      <c r="AI308" s="5"/>
      <c r="AJ308" s="6"/>
      <c r="AK308" s="6"/>
      <c r="AL308" s="12"/>
      <c r="AM308" s="12"/>
      <c r="AN308" s="12"/>
      <c r="AO308" s="12"/>
      <c r="AP308" s="12"/>
    </row>
    <row r="309" spans="1:42" ht="15" x14ac:dyDescent="0.25">
      <c r="A309" s="82" t="str">
        <f>TDCTRIBE!I318</f>
        <v>Eastern/Woodlands</v>
      </c>
      <c r="B309" s="82" t="str">
        <f>TDCTRIBE!B318</f>
        <v>WI</v>
      </c>
      <c r="C309" s="82" t="str">
        <f>TDCTRIBE!F318</f>
        <v>Bad River Band</v>
      </c>
      <c r="D309" s="83">
        <f>TDCTRIBE!Y318</f>
        <v>317737.01767500001</v>
      </c>
      <c r="E309" s="83">
        <f>TDCTRIBE!Z318</f>
        <v>351166.85383499996</v>
      </c>
      <c r="F309" s="83">
        <f>TDCTRIBE!AA318</f>
        <v>394018.27337250003</v>
      </c>
      <c r="G309" s="83">
        <f>TDCTRIBE!AB318</f>
        <v>426817.12909499998</v>
      </c>
      <c r="H309" s="83">
        <f>TDCTRIBE!AC318</f>
        <v>460124.81035499997</v>
      </c>
      <c r="O309" s="9"/>
      <c r="P309" s="1"/>
      <c r="Q309" s="1"/>
      <c r="R309" s="1"/>
      <c r="S309" s="1"/>
      <c r="T309" s="1"/>
      <c r="U309" s="1"/>
      <c r="V309" s="9"/>
      <c r="W309" s="3"/>
      <c r="X309" s="4"/>
      <c r="Y309" s="1"/>
      <c r="Z309" s="1"/>
      <c r="AA309" s="1"/>
      <c r="AB309" s="1"/>
      <c r="AC309" s="1"/>
      <c r="AD309" s="3"/>
      <c r="AE309" s="3"/>
      <c r="AF309" s="5"/>
      <c r="AG309" s="5"/>
      <c r="AH309" s="5"/>
      <c r="AI309" s="5"/>
      <c r="AJ309" s="6"/>
      <c r="AK309" s="6"/>
      <c r="AL309" s="12"/>
      <c r="AM309" s="12"/>
      <c r="AN309" s="12"/>
      <c r="AO309" s="12"/>
      <c r="AP309" s="12"/>
    </row>
    <row r="310" spans="1:42" ht="15" x14ac:dyDescent="0.25">
      <c r="A310" s="82" t="str">
        <f>TDCTRIBE!I319</f>
        <v>Eastern/Woodlands</v>
      </c>
      <c r="B310" s="82" t="str">
        <f>TDCTRIBE!B319</f>
        <v>WI</v>
      </c>
      <c r="C310" s="82" t="str">
        <f>TDCTRIBE!F319</f>
        <v>Forest County Potawatami</v>
      </c>
      <c r="D310" s="83">
        <f>TDCTRIBE!Y319</f>
        <v>316061.05492499995</v>
      </c>
      <c r="E310" s="83">
        <f>TDCTRIBE!Z319</f>
        <v>349341.11803499999</v>
      </c>
      <c r="F310" s="83">
        <f>TDCTRIBE!AA319</f>
        <v>391987.91427250003</v>
      </c>
      <c r="G310" s="83">
        <f>TDCTRIBE!AB319</f>
        <v>424639.10114499996</v>
      </c>
      <c r="H310" s="83">
        <f>TDCTRIBE!AC319</f>
        <v>457780.55130500003</v>
      </c>
      <c r="O310" s="9"/>
      <c r="P310" s="1"/>
      <c r="Q310" s="1"/>
      <c r="R310" s="1"/>
      <c r="S310" s="1"/>
      <c r="T310" s="1"/>
      <c r="U310" s="1"/>
      <c r="V310" s="9"/>
      <c r="W310" s="3"/>
      <c r="X310" s="4"/>
      <c r="Y310" s="1"/>
      <c r="Z310" s="1"/>
      <c r="AA310" s="1"/>
      <c r="AB310" s="1"/>
      <c r="AC310" s="1"/>
      <c r="AD310" s="3"/>
      <c r="AE310" s="3"/>
      <c r="AF310" s="5"/>
      <c r="AG310" s="5"/>
      <c r="AH310" s="5"/>
      <c r="AI310" s="5"/>
      <c r="AJ310" s="6"/>
      <c r="AK310" s="6"/>
      <c r="AL310" s="12"/>
      <c r="AM310" s="12"/>
      <c r="AN310" s="12"/>
      <c r="AO310" s="12"/>
      <c r="AP310" s="12"/>
    </row>
    <row r="311" spans="1:42" ht="15" x14ac:dyDescent="0.25">
      <c r="A311" s="82" t="str">
        <f>TDCTRIBE!I320</f>
        <v>Eastern/Woodlands</v>
      </c>
      <c r="B311" s="82" t="str">
        <f>TDCTRIBE!B320</f>
        <v>WI</v>
      </c>
      <c r="C311" s="82" t="str">
        <f>TDCTRIBE!F320</f>
        <v>Ho-Chunk Nation</v>
      </c>
      <c r="D311" s="83">
        <f>TDCTRIBE!Y320</f>
        <v>317554.81296000001</v>
      </c>
      <c r="E311" s="83">
        <f>TDCTRIBE!Z320</f>
        <v>351016.32010199997</v>
      </c>
      <c r="F311" s="83">
        <f>TDCTRIBE!AA320</f>
        <v>393884.14093700005</v>
      </c>
      <c r="G311" s="83">
        <f>TDCTRIBE!AB320</f>
        <v>426712.68634399999</v>
      </c>
      <c r="H311" s="83">
        <f>TDCTRIBE!AC320</f>
        <v>460019.36979600007</v>
      </c>
      <c r="O311" s="9"/>
      <c r="P311" s="1"/>
      <c r="Q311" s="1"/>
      <c r="R311" s="1"/>
      <c r="S311" s="1"/>
      <c r="T311" s="1"/>
      <c r="U311" s="1"/>
      <c r="V311" s="9"/>
      <c r="W311" s="3"/>
      <c r="X311" s="4"/>
      <c r="Y311" s="1"/>
      <c r="Z311" s="1"/>
      <c r="AA311" s="1"/>
      <c r="AB311" s="1"/>
      <c r="AC311" s="1"/>
      <c r="AD311" s="3"/>
      <c r="AE311" s="3"/>
      <c r="AF311" s="5"/>
      <c r="AG311" s="5"/>
      <c r="AH311" s="5"/>
      <c r="AI311" s="5"/>
      <c r="AJ311" s="6"/>
      <c r="AK311" s="6"/>
      <c r="AL311" s="12"/>
      <c r="AM311" s="12"/>
      <c r="AN311" s="12"/>
      <c r="AO311" s="12"/>
      <c r="AP311" s="12"/>
    </row>
    <row r="312" spans="1:42" ht="15" x14ac:dyDescent="0.25">
      <c r="A312" s="82" t="str">
        <f>TDCTRIBE!I321</f>
        <v>Eastern/Woodlands</v>
      </c>
      <c r="B312" s="82" t="str">
        <f>TDCTRIBE!B321</f>
        <v>WI</v>
      </c>
      <c r="C312" s="82" t="str">
        <f>TDCTRIBE!F321</f>
        <v>Lac Courte Oreilles</v>
      </c>
      <c r="D312" s="83">
        <f>TDCTRIBE!Y321</f>
        <v>317737.01767500001</v>
      </c>
      <c r="E312" s="83">
        <f>TDCTRIBE!Z321</f>
        <v>351166.85383499996</v>
      </c>
      <c r="F312" s="83">
        <f>TDCTRIBE!AA321</f>
        <v>394018.27337250003</v>
      </c>
      <c r="G312" s="83">
        <f>TDCTRIBE!AB321</f>
        <v>426817.12909499998</v>
      </c>
      <c r="H312" s="83">
        <f>TDCTRIBE!AC321</f>
        <v>460124.81035499997</v>
      </c>
      <c r="O312" s="9"/>
      <c r="P312" s="1"/>
      <c r="Q312" s="1"/>
      <c r="R312" s="1"/>
      <c r="S312" s="1"/>
      <c r="T312" s="1"/>
      <c r="U312" s="1"/>
      <c r="V312" s="9"/>
      <c r="W312" s="3"/>
      <c r="X312" s="4"/>
      <c r="Y312" s="7"/>
      <c r="Z312" s="1"/>
      <c r="AA312" s="1"/>
      <c r="AB312" s="1"/>
      <c r="AC312" s="1"/>
      <c r="AD312" s="3"/>
      <c r="AE312" s="3"/>
      <c r="AF312" s="5"/>
      <c r="AG312" s="5"/>
      <c r="AH312" s="5"/>
      <c r="AI312" s="5"/>
      <c r="AJ312" s="6"/>
      <c r="AK312" s="6"/>
      <c r="AL312" s="12"/>
      <c r="AM312" s="12"/>
      <c r="AN312" s="12"/>
      <c r="AO312" s="12"/>
      <c r="AP312" s="12"/>
    </row>
    <row r="313" spans="1:42" ht="15" x14ac:dyDescent="0.25">
      <c r="A313" s="82" t="str">
        <f>TDCTRIBE!I322</f>
        <v>Eastern/Woodlands</v>
      </c>
      <c r="B313" s="82" t="str">
        <f>TDCTRIBE!B322</f>
        <v>WI</v>
      </c>
      <c r="C313" s="82" t="str">
        <f>TDCTRIBE!F322</f>
        <v>Lac Du Flambeau Band</v>
      </c>
      <c r="D313" s="83">
        <f>TDCTRIBE!Y322</f>
        <v>316061.05492499995</v>
      </c>
      <c r="E313" s="83">
        <f>TDCTRIBE!Z322</f>
        <v>349341.11803499999</v>
      </c>
      <c r="F313" s="83">
        <f>TDCTRIBE!AA322</f>
        <v>391987.91427250003</v>
      </c>
      <c r="G313" s="83">
        <f>TDCTRIBE!AB322</f>
        <v>424639.10114499996</v>
      </c>
      <c r="H313" s="83">
        <f>TDCTRIBE!AC322</f>
        <v>457780.55130500003</v>
      </c>
      <c r="O313" s="9"/>
      <c r="P313" s="1"/>
      <c r="Q313" s="1"/>
      <c r="R313" s="1"/>
      <c r="S313" s="1"/>
      <c r="T313" s="1"/>
      <c r="U313" s="1"/>
      <c r="V313" s="9"/>
      <c r="W313" s="3"/>
      <c r="X313" s="4"/>
      <c r="Y313" s="7"/>
      <c r="Z313" s="1"/>
      <c r="AA313" s="1"/>
      <c r="AB313" s="1"/>
      <c r="AC313" s="1"/>
      <c r="AD313" s="3"/>
      <c r="AE313" s="3"/>
      <c r="AF313" s="5"/>
      <c r="AG313" s="5"/>
      <c r="AH313" s="5"/>
      <c r="AI313" s="5"/>
      <c r="AJ313" s="6"/>
      <c r="AK313" s="6"/>
      <c r="AL313" s="12"/>
      <c r="AM313" s="12"/>
      <c r="AN313" s="12"/>
      <c r="AO313" s="12"/>
      <c r="AP313" s="12"/>
    </row>
    <row r="314" spans="1:42" ht="15" x14ac:dyDescent="0.25">
      <c r="A314" s="82" t="str">
        <f>TDCTRIBE!I323</f>
        <v>Eastern/Woodlands</v>
      </c>
      <c r="B314" s="82" t="str">
        <f>TDCTRIBE!B323</f>
        <v>WI</v>
      </c>
      <c r="C314" s="82" t="str">
        <f>TDCTRIBE!F323</f>
        <v>Menominee Indian Tribe</v>
      </c>
      <c r="D314" s="83">
        <f>TDCTRIBE!Y323</f>
        <v>327792.79417500005</v>
      </c>
      <c r="E314" s="83">
        <f>TDCTRIBE!Z323</f>
        <v>362121.26863499999</v>
      </c>
      <c r="F314" s="83">
        <f>TDCTRIBE!AA323</f>
        <v>406200.4279725001</v>
      </c>
      <c r="G314" s="83">
        <f>TDCTRIBE!AB323</f>
        <v>439885.29679499997</v>
      </c>
      <c r="H314" s="83">
        <f>TDCTRIBE!AC323</f>
        <v>474190.36465500004</v>
      </c>
      <c r="O314" s="9"/>
      <c r="P314" s="1"/>
      <c r="Q314" s="1"/>
      <c r="R314" s="1"/>
      <c r="S314" s="1"/>
      <c r="T314" s="1"/>
      <c r="U314" s="1"/>
      <c r="V314" s="9"/>
      <c r="W314" s="3"/>
      <c r="X314" s="4"/>
      <c r="Y314" s="1"/>
      <c r="Z314" s="1"/>
      <c r="AA314" s="1"/>
      <c r="AB314" s="1"/>
      <c r="AC314" s="1"/>
      <c r="AD314" s="3"/>
      <c r="AE314" s="3"/>
      <c r="AF314" s="5"/>
      <c r="AG314" s="5"/>
      <c r="AH314" s="5"/>
      <c r="AI314" s="5"/>
      <c r="AJ314" s="6"/>
      <c r="AK314" s="6"/>
      <c r="AL314" s="12"/>
      <c r="AM314" s="12"/>
      <c r="AN314" s="12"/>
      <c r="AO314" s="12"/>
      <c r="AP314" s="12"/>
    </row>
    <row r="315" spans="1:42" ht="15" x14ac:dyDescent="0.25">
      <c r="A315" s="82" t="str">
        <f>TDCTRIBE!I324</f>
        <v>Eastern/Woodlands</v>
      </c>
      <c r="B315" s="82" t="str">
        <f>TDCTRIBE!B324</f>
        <v>WI</v>
      </c>
      <c r="C315" s="82" t="str">
        <f>TDCTRIBE!F324</f>
        <v>Oneida Tribe</v>
      </c>
      <c r="D315" s="83">
        <f>TDCTRIBE!Y324</f>
        <v>327792.79417500005</v>
      </c>
      <c r="E315" s="83">
        <f>TDCTRIBE!Z324</f>
        <v>362121.26863499999</v>
      </c>
      <c r="F315" s="83">
        <f>TDCTRIBE!AA324</f>
        <v>406200.4279725001</v>
      </c>
      <c r="G315" s="83">
        <f>TDCTRIBE!AB324</f>
        <v>439885.29679499997</v>
      </c>
      <c r="H315" s="83">
        <f>TDCTRIBE!AC324</f>
        <v>474190.36465500004</v>
      </c>
      <c r="O315" s="9"/>
      <c r="P315" s="1"/>
      <c r="Q315" s="1"/>
      <c r="R315" s="1"/>
      <c r="S315" s="1"/>
      <c r="T315" s="1"/>
      <c r="U315" s="1"/>
      <c r="V315" s="9"/>
      <c r="W315" s="3"/>
      <c r="X315" s="4"/>
      <c r="Y315" s="1"/>
      <c r="Z315" s="1"/>
      <c r="AA315" s="1"/>
      <c r="AB315" s="1"/>
      <c r="AC315" s="1"/>
      <c r="AD315" s="3"/>
      <c r="AE315" s="3"/>
      <c r="AF315" s="5"/>
      <c r="AG315" s="5"/>
      <c r="AH315" s="5"/>
      <c r="AI315" s="5"/>
      <c r="AJ315" s="6"/>
      <c r="AK315" s="6"/>
      <c r="AL315" s="12"/>
      <c r="AM315" s="12"/>
      <c r="AN315" s="12"/>
      <c r="AO315" s="12"/>
      <c r="AP315" s="12"/>
    </row>
    <row r="316" spans="1:42" ht="15" x14ac:dyDescent="0.25">
      <c r="A316" s="82" t="str">
        <f>TDCTRIBE!I325</f>
        <v>Eastern/Woodlands</v>
      </c>
      <c r="B316" s="82" t="str">
        <f>TDCTRIBE!B325</f>
        <v>WI</v>
      </c>
      <c r="C316" s="82" t="str">
        <f>TDCTRIBE!F325</f>
        <v>Red Cliff Band of Lake Superior Chippewa</v>
      </c>
      <c r="D316" s="83">
        <f>TDCTRIBE!Y325</f>
        <v>317737.01767500001</v>
      </c>
      <c r="E316" s="83">
        <f>TDCTRIBE!Z325</f>
        <v>351166.85383499996</v>
      </c>
      <c r="F316" s="83">
        <f>TDCTRIBE!AA325</f>
        <v>394018.27337250003</v>
      </c>
      <c r="G316" s="83">
        <f>TDCTRIBE!AB325</f>
        <v>426817.12909499998</v>
      </c>
      <c r="H316" s="83">
        <f>TDCTRIBE!AC325</f>
        <v>460124.81035499997</v>
      </c>
      <c r="O316" s="9"/>
      <c r="P316" s="1"/>
      <c r="Q316" s="1"/>
      <c r="R316" s="1"/>
      <c r="S316" s="1"/>
      <c r="T316" s="1"/>
      <c r="U316" s="1"/>
      <c r="V316" s="9"/>
      <c r="W316" s="3"/>
      <c r="X316" s="4"/>
      <c r="Y316" s="1"/>
      <c r="Z316" s="1"/>
      <c r="AA316" s="1"/>
      <c r="AB316" s="1"/>
      <c r="AC316" s="1"/>
      <c r="AD316" s="3"/>
      <c r="AE316" s="3"/>
      <c r="AF316" s="5"/>
      <c r="AG316" s="5"/>
      <c r="AH316" s="5"/>
      <c r="AI316" s="5"/>
      <c r="AJ316" s="6"/>
      <c r="AK316" s="6"/>
      <c r="AL316" s="12"/>
      <c r="AM316" s="12"/>
      <c r="AN316" s="12"/>
      <c r="AO316" s="12"/>
      <c r="AP316" s="12"/>
    </row>
    <row r="317" spans="1:42" ht="15" x14ac:dyDescent="0.25">
      <c r="A317" s="82" t="str">
        <f>TDCTRIBE!I326</f>
        <v>Eastern/Woodlands</v>
      </c>
      <c r="B317" s="82" t="str">
        <f>TDCTRIBE!B326</f>
        <v>WI</v>
      </c>
      <c r="C317" s="82" t="str">
        <f>TDCTRIBE!F326</f>
        <v>Saint Croix Chippewa</v>
      </c>
      <c r="D317" s="83">
        <f>TDCTRIBE!Y326</f>
        <v>317737.01767500001</v>
      </c>
      <c r="E317" s="83">
        <f>TDCTRIBE!Z326</f>
        <v>351166.85383499996</v>
      </c>
      <c r="F317" s="83">
        <f>TDCTRIBE!AA326</f>
        <v>394018.27337250003</v>
      </c>
      <c r="G317" s="83">
        <f>TDCTRIBE!AB326</f>
        <v>426817.12909499998</v>
      </c>
      <c r="H317" s="83">
        <f>TDCTRIBE!AC326</f>
        <v>460124.81035499997</v>
      </c>
      <c r="O317" s="9"/>
      <c r="P317" s="1"/>
      <c r="Q317" s="1"/>
      <c r="R317" s="1"/>
      <c r="S317" s="1"/>
      <c r="T317" s="1"/>
      <c r="U317" s="1"/>
      <c r="V317" s="9"/>
      <c r="W317" s="3"/>
      <c r="X317" s="4"/>
      <c r="Y317" s="1"/>
      <c r="Z317" s="1"/>
      <c r="AA317" s="1"/>
      <c r="AB317" s="1"/>
      <c r="AC317" s="1"/>
      <c r="AD317" s="3"/>
      <c r="AE317" s="3"/>
      <c r="AF317" s="5"/>
      <c r="AG317" s="5"/>
      <c r="AH317" s="5"/>
      <c r="AI317" s="5"/>
      <c r="AJ317" s="6"/>
      <c r="AK317" s="6"/>
      <c r="AL317" s="12"/>
      <c r="AM317" s="12"/>
      <c r="AN317" s="12"/>
      <c r="AO317" s="12"/>
      <c r="AP317" s="12"/>
    </row>
    <row r="318" spans="1:42" ht="15" x14ac:dyDescent="0.25">
      <c r="A318" s="82" t="str">
        <f>TDCTRIBE!I327</f>
        <v>Eastern/Woodlands</v>
      </c>
      <c r="B318" s="82" t="str">
        <f>TDCTRIBE!B327</f>
        <v>WI</v>
      </c>
      <c r="C318" s="82" t="str">
        <f>TDCTRIBE!F327</f>
        <v>Sokagoan Chippewa Tribe</v>
      </c>
      <c r="D318" s="83">
        <f>TDCTRIBE!Y327</f>
        <v>316061.05492499995</v>
      </c>
      <c r="E318" s="83">
        <f>TDCTRIBE!Z327</f>
        <v>349341.11803499999</v>
      </c>
      <c r="F318" s="83">
        <f>TDCTRIBE!AA327</f>
        <v>391987.91427250003</v>
      </c>
      <c r="G318" s="83">
        <f>TDCTRIBE!AB327</f>
        <v>424639.10114499996</v>
      </c>
      <c r="H318" s="83">
        <f>TDCTRIBE!AC327</f>
        <v>457780.55130500003</v>
      </c>
      <c r="O318" s="9"/>
      <c r="P318" s="1"/>
      <c r="Q318" s="1"/>
      <c r="R318" s="1"/>
      <c r="S318" s="1"/>
      <c r="T318" s="1"/>
      <c r="U318" s="1"/>
      <c r="V318" s="9"/>
      <c r="W318" s="3"/>
      <c r="X318" s="4"/>
      <c r="Y318" s="1"/>
      <c r="Z318" s="1"/>
      <c r="AA318" s="1"/>
      <c r="AB318" s="1"/>
      <c r="AC318" s="1"/>
      <c r="AD318" s="3"/>
      <c r="AE318" s="3"/>
      <c r="AF318" s="5"/>
      <c r="AG318" s="5"/>
      <c r="AH318" s="5"/>
      <c r="AI318" s="5"/>
      <c r="AJ318" s="6"/>
      <c r="AK318" s="6"/>
      <c r="AL318" s="12"/>
      <c r="AM318" s="12"/>
      <c r="AN318" s="12"/>
      <c r="AO318" s="12"/>
      <c r="AP318" s="12"/>
    </row>
    <row r="319" spans="1:42" ht="15" x14ac:dyDescent="0.25">
      <c r="A319" s="82" t="str">
        <f>TDCTRIBE!I328</f>
        <v>Eastern/Woodlands</v>
      </c>
      <c r="B319" s="82" t="str">
        <f>TDCTRIBE!B328</f>
        <v>WI</v>
      </c>
      <c r="C319" s="82" t="str">
        <f>TDCTRIBE!F328</f>
        <v>Stockbridge-Munsee Tribe</v>
      </c>
      <c r="D319" s="83">
        <f>TDCTRIBE!Y328</f>
        <v>319412.98042500002</v>
      </c>
      <c r="E319" s="83">
        <f>TDCTRIBE!Z328</f>
        <v>352992.58963499998</v>
      </c>
      <c r="F319" s="83">
        <f>TDCTRIBE!AA328</f>
        <v>400153.8654575001</v>
      </c>
      <c r="G319" s="83">
        <f>TDCTRIBE!AB328</f>
        <v>433484.36211500003</v>
      </c>
      <c r="H319" s="83">
        <f>TDCTRIBE!AC328</f>
        <v>467315.99603499996</v>
      </c>
      <c r="O319" s="9"/>
      <c r="P319" s="1"/>
      <c r="Q319" s="1"/>
      <c r="R319" s="1"/>
      <c r="S319" s="1"/>
      <c r="T319" s="1"/>
      <c r="U319" s="1"/>
      <c r="V319" s="9"/>
      <c r="W319" s="3"/>
      <c r="X319" s="4"/>
      <c r="Y319" s="1"/>
      <c r="Z319" s="1"/>
      <c r="AA319" s="1"/>
      <c r="AB319" s="1"/>
      <c r="AC319" s="1"/>
      <c r="AD319" s="3"/>
      <c r="AE319" s="3"/>
      <c r="AF319" s="5"/>
      <c r="AG319" s="5"/>
      <c r="AH319" s="5"/>
      <c r="AI319" s="5"/>
      <c r="AJ319" s="6"/>
      <c r="AK319" s="6"/>
      <c r="AL319" s="12"/>
      <c r="AM319" s="12"/>
      <c r="AN319" s="12"/>
      <c r="AO319" s="12"/>
      <c r="AP319" s="12"/>
    </row>
    <row r="320" spans="1:42" ht="15" x14ac:dyDescent="0.25">
      <c r="A320" s="82" t="str">
        <f>TDCTRIBE!I329</f>
        <v>Northern Plains</v>
      </c>
      <c r="B320" s="82" t="str">
        <f>TDCTRIBE!B329</f>
        <v>CO</v>
      </c>
      <c r="C320" s="82" t="str">
        <f>TDCTRIBE!F329</f>
        <v>Southern Ute Tribe</v>
      </c>
      <c r="D320" s="83">
        <f>TDCTRIBE!Y329</f>
        <v>275219.09415000002</v>
      </c>
      <c r="E320" s="83">
        <f>TDCTRIBE!Z329</f>
        <v>304129.99323000002</v>
      </c>
      <c r="F320" s="83">
        <f>TDCTRIBE!AA329</f>
        <v>344729.33533500001</v>
      </c>
      <c r="G320" s="83">
        <f>TDCTRIBE!AB329</f>
        <v>373424.90577000001</v>
      </c>
      <c r="H320" s="83">
        <f>TDCTRIBE!AC329</f>
        <v>402565.93293000001</v>
      </c>
      <c r="O320" s="9"/>
      <c r="P320" s="1"/>
      <c r="Q320" s="1"/>
      <c r="R320" s="1"/>
      <c r="S320" s="1"/>
      <c r="T320" s="1"/>
      <c r="U320" s="1"/>
      <c r="V320" s="9"/>
      <c r="W320" s="3"/>
      <c r="X320" s="4"/>
      <c r="Y320" s="1"/>
      <c r="Z320" s="1"/>
      <c r="AA320" s="1"/>
      <c r="AB320" s="1"/>
      <c r="AC320" s="1"/>
      <c r="AD320" s="3"/>
      <c r="AE320" s="3"/>
      <c r="AF320" s="5"/>
      <c r="AG320" s="5"/>
      <c r="AH320" s="5"/>
      <c r="AI320" s="5"/>
      <c r="AJ320" s="6"/>
      <c r="AK320" s="6"/>
      <c r="AL320" s="12"/>
      <c r="AM320" s="12"/>
      <c r="AN320" s="12"/>
      <c r="AO320" s="12"/>
      <c r="AP320" s="12"/>
    </row>
    <row r="321" spans="1:42" ht="15" x14ac:dyDescent="0.25">
      <c r="A321" s="82" t="str">
        <f>TDCTRIBE!I330</f>
        <v>Northern Plains</v>
      </c>
      <c r="B321" s="82" t="str">
        <f>TDCTRIBE!B330</f>
        <v>CO</v>
      </c>
      <c r="C321" s="82" t="str">
        <f>TDCTRIBE!F330</f>
        <v>Ute Mountain Tribe</v>
      </c>
      <c r="D321" s="83">
        <f>TDCTRIBE!Y330</f>
        <v>280246.98240000004</v>
      </c>
      <c r="E321" s="83">
        <f>TDCTRIBE!Z330</f>
        <v>309607.20062999998</v>
      </c>
      <c r="F321" s="83">
        <f>TDCTRIBE!AA330</f>
        <v>350820.41263500002</v>
      </c>
      <c r="G321" s="83">
        <f>TDCTRIBE!AB330</f>
        <v>379958.98962000001</v>
      </c>
      <c r="H321" s="83">
        <f>TDCTRIBE!AC330</f>
        <v>409598.71007999999</v>
      </c>
      <c r="O321" s="9"/>
      <c r="P321" s="1"/>
      <c r="Q321" s="1"/>
      <c r="R321" s="1"/>
      <c r="S321" s="1"/>
      <c r="T321" s="1"/>
      <c r="U321" s="1"/>
      <c r="V321" s="9"/>
      <c r="W321" s="3"/>
      <c r="X321" s="4"/>
      <c r="Y321" s="1"/>
      <c r="Z321" s="1"/>
      <c r="AA321" s="1"/>
      <c r="AB321" s="1"/>
      <c r="AC321" s="1"/>
      <c r="AD321" s="3"/>
      <c r="AE321" s="3"/>
      <c r="AF321" s="5"/>
      <c r="AG321" s="5"/>
      <c r="AH321" s="5"/>
      <c r="AI321" s="5"/>
      <c r="AJ321" s="6"/>
      <c r="AK321" s="6"/>
      <c r="AL321" s="12"/>
      <c r="AM321" s="12"/>
      <c r="AN321" s="12"/>
      <c r="AO321" s="12"/>
      <c r="AP321" s="12"/>
    </row>
    <row r="322" spans="1:42" ht="15" x14ac:dyDescent="0.25">
      <c r="A322" s="82" t="str">
        <f>TDCTRIBE!I331</f>
        <v>Northern Plains</v>
      </c>
      <c r="B322" s="82" t="str">
        <f>TDCTRIBE!B331</f>
        <v>MT</v>
      </c>
      <c r="C322" s="82" t="str">
        <f>TDCTRIBE!F331</f>
        <v>Blackfeet Tribe</v>
      </c>
      <c r="D322" s="83">
        <f>TDCTRIBE!Y331</f>
        <v>284910.46122</v>
      </c>
      <c r="E322" s="83">
        <f>TDCTRIBE!Z331</f>
        <v>314783.34056399995</v>
      </c>
      <c r="F322" s="83">
        <f>TDCTRIBE!AA331</f>
        <v>356721.41997799999</v>
      </c>
      <c r="G322" s="83">
        <f>TDCTRIBE!AB331</f>
        <v>386369.69663600001</v>
      </c>
      <c r="H322" s="83">
        <f>TDCTRIBE!AC331</f>
        <v>416512.92852399999</v>
      </c>
      <c r="O322" s="9"/>
      <c r="P322" s="1"/>
      <c r="Q322" s="1"/>
      <c r="R322" s="1"/>
      <c r="S322" s="1"/>
      <c r="T322" s="1"/>
      <c r="U322" s="1"/>
      <c r="V322" s="9"/>
      <c r="W322" s="3"/>
      <c r="X322" s="4"/>
      <c r="Y322" s="1"/>
      <c r="Z322" s="1"/>
      <c r="AA322" s="1"/>
      <c r="AB322" s="1"/>
      <c r="AC322" s="1"/>
      <c r="AD322" s="3"/>
      <c r="AE322" s="3"/>
      <c r="AF322" s="5"/>
      <c r="AG322" s="5"/>
      <c r="AH322" s="5"/>
      <c r="AI322" s="5"/>
      <c r="AJ322" s="6"/>
      <c r="AK322" s="6"/>
      <c r="AL322" s="12"/>
      <c r="AM322" s="12"/>
      <c r="AN322" s="12"/>
      <c r="AO322" s="12"/>
      <c r="AP322" s="12"/>
    </row>
    <row r="323" spans="1:42" ht="15" x14ac:dyDescent="0.25">
      <c r="A323" s="82" t="str">
        <f>TDCTRIBE!I332</f>
        <v>Northern Plains</v>
      </c>
      <c r="B323" s="82" t="str">
        <f>TDCTRIBE!B332</f>
        <v>MT</v>
      </c>
      <c r="C323" s="82" t="str">
        <f>TDCTRIBE!F332</f>
        <v>Crow Tribe</v>
      </c>
      <c r="D323" s="83">
        <f>TDCTRIBE!Y332</f>
        <v>292379.25139500003</v>
      </c>
      <c r="E323" s="83">
        <f>TDCTRIBE!Z332</f>
        <v>323159.35089900001</v>
      </c>
      <c r="F323" s="83">
        <f>TDCTRIBE!AA332</f>
        <v>366398.04058549996</v>
      </c>
      <c r="G323" s="83">
        <f>TDCTRIBE!AB332</f>
        <v>396951.39430099999</v>
      </c>
      <c r="H323" s="83">
        <f>TDCTRIBE!AC332</f>
        <v>427937.82700899994</v>
      </c>
      <c r="O323" s="9"/>
      <c r="P323" s="1"/>
      <c r="Q323" s="1"/>
      <c r="R323" s="1"/>
      <c r="S323" s="1"/>
      <c r="T323" s="1"/>
      <c r="U323" s="1"/>
      <c r="V323" s="9"/>
      <c r="W323" s="3"/>
      <c r="X323" s="4"/>
      <c r="Y323" s="1"/>
      <c r="Z323" s="1"/>
      <c r="AA323" s="1"/>
      <c r="AB323" s="1"/>
      <c r="AC323" s="1"/>
      <c r="AD323" s="3"/>
      <c r="AE323" s="3"/>
      <c r="AF323" s="5"/>
      <c r="AG323" s="5"/>
      <c r="AH323" s="5"/>
      <c r="AI323" s="5"/>
      <c r="AJ323" s="6"/>
      <c r="AK323" s="6"/>
      <c r="AL323" s="12"/>
      <c r="AM323" s="12"/>
      <c r="AN323" s="12"/>
      <c r="AO323" s="12"/>
      <c r="AP323" s="12"/>
    </row>
    <row r="324" spans="1:42" ht="15" x14ac:dyDescent="0.25">
      <c r="A324" s="82" t="str">
        <f>TDCTRIBE!I333</f>
        <v>Northern Plains</v>
      </c>
      <c r="B324" s="82" t="str">
        <f>TDCTRIBE!B333</f>
        <v>MT</v>
      </c>
      <c r="C324" s="82" t="str">
        <f>TDCTRIBE!F333</f>
        <v>Fort Belknap Indian Community</v>
      </c>
      <c r="D324" s="83">
        <f>TDCTRIBE!Y333</f>
        <v>278206.61022000003</v>
      </c>
      <c r="E324" s="83">
        <f>TDCTRIBE!Z333</f>
        <v>307480.39736399997</v>
      </c>
      <c r="F324" s="83">
        <f>TDCTRIBE!AA333</f>
        <v>348599.98357800004</v>
      </c>
      <c r="G324" s="83">
        <f>TDCTRIBE!AB333</f>
        <v>377657.58483599999</v>
      </c>
      <c r="H324" s="83">
        <f>TDCTRIBE!AC333</f>
        <v>407135.89232400001</v>
      </c>
      <c r="O324" s="9"/>
      <c r="P324" s="1"/>
      <c r="Q324" s="1"/>
      <c r="R324" s="1"/>
      <c r="S324" s="7"/>
      <c r="T324" s="1"/>
      <c r="U324" s="1"/>
      <c r="V324" s="9"/>
      <c r="W324" s="3"/>
      <c r="X324" s="4"/>
      <c r="Y324" s="1"/>
      <c r="Z324" s="1"/>
      <c r="AA324" s="1"/>
      <c r="AB324" s="1"/>
      <c r="AC324" s="1"/>
      <c r="AD324" s="3"/>
      <c r="AE324" s="3"/>
      <c r="AF324" s="5"/>
      <c r="AG324" s="5"/>
      <c r="AH324" s="5"/>
      <c r="AI324" s="5"/>
      <c r="AJ324" s="6"/>
      <c r="AK324" s="6"/>
      <c r="AL324" s="12"/>
      <c r="AM324" s="12"/>
      <c r="AN324" s="12"/>
      <c r="AO324" s="12"/>
      <c r="AP324" s="12"/>
    </row>
    <row r="325" spans="1:42" ht="15" x14ac:dyDescent="0.25">
      <c r="A325" s="82" t="str">
        <f>TDCTRIBE!I334</f>
        <v>Northern Plains</v>
      </c>
      <c r="B325" s="82" t="str">
        <f>TDCTRIBE!B334</f>
        <v>MT</v>
      </c>
      <c r="C325" s="82" t="str">
        <f>TDCTRIBE!F334</f>
        <v>Fort Peck Assiniboine and Sioux</v>
      </c>
      <c r="D325" s="83">
        <f>TDCTRIBE!Y334</f>
        <v>290703.28864499996</v>
      </c>
      <c r="E325" s="83">
        <f>TDCTRIBE!Z334</f>
        <v>321333.61509899999</v>
      </c>
      <c r="F325" s="83">
        <f>TDCTRIBE!AA334</f>
        <v>364367.68148550007</v>
      </c>
      <c r="G325" s="83">
        <f>TDCTRIBE!AB334</f>
        <v>394773.36635099998</v>
      </c>
      <c r="H325" s="83">
        <f>TDCTRIBE!AC334</f>
        <v>425593.56795900001</v>
      </c>
      <c r="O325" s="9"/>
      <c r="P325" s="1"/>
      <c r="Q325" s="1"/>
      <c r="R325" s="1"/>
      <c r="S325" s="1"/>
      <c r="T325" s="1"/>
      <c r="U325" s="1"/>
      <c r="V325" s="9"/>
      <c r="W325" s="3"/>
      <c r="X325" s="4"/>
      <c r="Y325" s="1"/>
      <c r="Z325" s="1"/>
      <c r="AA325" s="1"/>
      <c r="AB325" s="1"/>
      <c r="AC325" s="1"/>
      <c r="AD325" s="3"/>
      <c r="AE325" s="3"/>
      <c r="AF325" s="5"/>
      <c r="AG325" s="5"/>
      <c r="AH325" s="5"/>
      <c r="AI325" s="5"/>
      <c r="AJ325" s="6"/>
      <c r="AK325" s="6"/>
      <c r="AL325" s="12"/>
      <c r="AM325" s="12"/>
      <c r="AN325" s="12"/>
      <c r="AO325" s="12"/>
      <c r="AP325" s="12"/>
    </row>
    <row r="326" spans="1:42" ht="15" x14ac:dyDescent="0.25">
      <c r="A326" s="82" t="str">
        <f>TDCTRIBE!I335</f>
        <v>Northern Plains</v>
      </c>
      <c r="B326" s="82" t="str">
        <f>TDCTRIBE!B335</f>
        <v>MT</v>
      </c>
      <c r="C326" s="82" t="str">
        <f>TDCTRIBE!F335</f>
        <v>Northern Cheyenne</v>
      </c>
      <c r="D326" s="83">
        <f>TDCTRIBE!Y335</f>
        <v>292379.25139500003</v>
      </c>
      <c r="E326" s="83">
        <f>TDCTRIBE!Z335</f>
        <v>323159.35089900001</v>
      </c>
      <c r="F326" s="83">
        <f>TDCTRIBE!AA335</f>
        <v>366398.04058549996</v>
      </c>
      <c r="G326" s="83">
        <f>TDCTRIBE!AB335</f>
        <v>396951.39430099999</v>
      </c>
      <c r="H326" s="83">
        <f>TDCTRIBE!AC335</f>
        <v>427937.82700899994</v>
      </c>
      <c r="O326" s="9"/>
      <c r="P326" s="1"/>
      <c r="Q326" s="1"/>
      <c r="R326" s="1"/>
      <c r="S326" s="1"/>
      <c r="T326" s="1"/>
      <c r="U326" s="1"/>
      <c r="V326" s="9"/>
      <c r="W326" s="3"/>
      <c r="X326" s="4"/>
      <c r="Y326" s="1"/>
      <c r="Z326" s="1"/>
      <c r="AA326" s="1"/>
      <c r="AB326" s="1"/>
      <c r="AC326" s="1"/>
      <c r="AD326" s="3"/>
      <c r="AE326" s="3"/>
      <c r="AF326" s="5"/>
      <c r="AG326" s="5"/>
      <c r="AH326" s="5"/>
      <c r="AI326" s="5"/>
      <c r="AJ326" s="6"/>
      <c r="AK326" s="6"/>
      <c r="AL326" s="12"/>
      <c r="AM326" s="12"/>
      <c r="AN326" s="12"/>
      <c r="AO326" s="12"/>
      <c r="AP326" s="12"/>
    </row>
    <row r="327" spans="1:42" ht="15" x14ac:dyDescent="0.25">
      <c r="A327" s="82" t="str">
        <f>TDCTRIBE!I336</f>
        <v>Northern Plains</v>
      </c>
      <c r="B327" s="82" t="str">
        <f>TDCTRIBE!B336</f>
        <v>MT</v>
      </c>
      <c r="C327" s="82" t="str">
        <f>TDCTRIBE!F336</f>
        <v>Rocky Boy Chippewa-Cree</v>
      </c>
      <c r="D327" s="83">
        <f>TDCTRIBE!Y336</f>
        <v>278206.61022000003</v>
      </c>
      <c r="E327" s="83">
        <f>TDCTRIBE!Z336</f>
        <v>307480.39736399997</v>
      </c>
      <c r="F327" s="83">
        <f>TDCTRIBE!AA336</f>
        <v>348599.98357800004</v>
      </c>
      <c r="G327" s="83">
        <f>TDCTRIBE!AB336</f>
        <v>377657.58483599999</v>
      </c>
      <c r="H327" s="83">
        <f>TDCTRIBE!AC336</f>
        <v>407135.89232400001</v>
      </c>
      <c r="O327" s="9"/>
      <c r="P327" s="1"/>
      <c r="Q327" s="1"/>
      <c r="R327" s="1"/>
      <c r="S327" s="1"/>
      <c r="T327" s="1"/>
      <c r="U327" s="1"/>
      <c r="V327" s="9"/>
      <c r="W327" s="3"/>
      <c r="X327" s="4"/>
      <c r="Y327" s="1"/>
      <c r="Z327" s="1"/>
      <c r="AA327" s="1"/>
      <c r="AB327" s="1"/>
      <c r="AC327" s="1"/>
      <c r="AD327" s="3"/>
      <c r="AE327" s="3"/>
      <c r="AF327" s="5"/>
      <c r="AG327" s="5"/>
      <c r="AH327" s="5"/>
      <c r="AI327" s="5"/>
      <c r="AJ327" s="6"/>
      <c r="AK327" s="6"/>
      <c r="AL327" s="12"/>
      <c r="AM327" s="12"/>
      <c r="AN327" s="12"/>
      <c r="AO327" s="12"/>
      <c r="AP327" s="12"/>
    </row>
    <row r="328" spans="1:42" ht="15" x14ac:dyDescent="0.25">
      <c r="A328" s="82" t="str">
        <f>TDCTRIBE!I337</f>
        <v>Northern Plains</v>
      </c>
      <c r="B328" s="82" t="str">
        <f>TDCTRIBE!B337</f>
        <v>MT</v>
      </c>
      <c r="C328" s="82" t="str">
        <f>TDCTRIBE!F337</f>
        <v>Salish and Kootenai Tribes</v>
      </c>
      <c r="D328" s="83">
        <f>TDCTRIBE!Y337</f>
        <v>279882.57296999998</v>
      </c>
      <c r="E328" s="83">
        <f>TDCTRIBE!Z337</f>
        <v>309306.133164</v>
      </c>
      <c r="F328" s="83">
        <f>TDCTRIBE!AA337</f>
        <v>347033.37663399999</v>
      </c>
      <c r="G328" s="83">
        <f>TDCTRIBE!AB337</f>
        <v>375902.21405800001</v>
      </c>
      <c r="H328" s="83">
        <f>TDCTRIBE!AC337</f>
        <v>405233.32042200002</v>
      </c>
      <c r="O328" s="9"/>
      <c r="P328" s="1"/>
      <c r="Q328" s="1"/>
      <c r="R328" s="1"/>
      <c r="S328" s="1"/>
      <c r="T328" s="1"/>
      <c r="U328" s="1"/>
      <c r="V328" s="9"/>
      <c r="W328" s="3"/>
      <c r="X328" s="4"/>
      <c r="Y328" s="1"/>
      <c r="Z328" s="1"/>
      <c r="AA328" s="1"/>
      <c r="AB328" s="1"/>
      <c r="AC328" s="1"/>
      <c r="AD328" s="3"/>
      <c r="AE328" s="3"/>
      <c r="AF328" s="5"/>
      <c r="AG328" s="5"/>
      <c r="AH328" s="5"/>
      <c r="AI328" s="5"/>
      <c r="AJ328" s="6"/>
      <c r="AK328" s="6"/>
      <c r="AL328" s="12"/>
      <c r="AM328" s="12"/>
      <c r="AN328" s="12"/>
      <c r="AO328" s="12"/>
      <c r="AP328" s="12"/>
    </row>
    <row r="329" spans="1:42" ht="15" x14ac:dyDescent="0.25">
      <c r="A329" s="82" t="str">
        <f>TDCTRIBE!I338</f>
        <v>Northern Plains</v>
      </c>
      <c r="B329" s="82" t="str">
        <f>TDCTRIBE!B338</f>
        <v>ND</v>
      </c>
      <c r="C329" s="82" t="str">
        <f>TDCTRIBE!F338</f>
        <v>Devils Lake Sioux</v>
      </c>
      <c r="D329" s="83">
        <f>TDCTRIBE!Y338</f>
        <v>297042.73021499999</v>
      </c>
      <c r="E329" s="83">
        <f>TDCTRIBE!Z338</f>
        <v>328335.49083299999</v>
      </c>
      <c r="F329" s="83">
        <f>TDCTRIBE!AA338</f>
        <v>368428.39968550002</v>
      </c>
      <c r="G329" s="83">
        <f>TDCTRIBE!AB338</f>
        <v>399129.42225100001</v>
      </c>
      <c r="H329" s="83">
        <f>TDCTRIBE!AC338</f>
        <v>430282.08605899999</v>
      </c>
      <c r="O329" s="9"/>
      <c r="P329" s="1"/>
      <c r="Q329" s="1"/>
      <c r="R329" s="1"/>
      <c r="S329" s="1"/>
      <c r="T329" s="1"/>
      <c r="U329" s="1"/>
      <c r="V329" s="9"/>
      <c r="W329" s="3"/>
      <c r="X329" s="4"/>
      <c r="Y329" s="1"/>
      <c r="Z329" s="1"/>
      <c r="AA329" s="1"/>
      <c r="AB329" s="1"/>
      <c r="AC329" s="1"/>
      <c r="AD329" s="3"/>
      <c r="AE329" s="3"/>
      <c r="AF329" s="5"/>
      <c r="AG329" s="5"/>
      <c r="AH329" s="5"/>
      <c r="AI329" s="5"/>
      <c r="AJ329" s="6"/>
      <c r="AK329" s="6"/>
      <c r="AL329" s="12"/>
      <c r="AM329" s="12"/>
      <c r="AN329" s="12"/>
      <c r="AO329" s="12"/>
      <c r="AP329" s="12"/>
    </row>
    <row r="330" spans="1:42" ht="15" x14ac:dyDescent="0.25">
      <c r="A330" s="82" t="str">
        <f>TDCTRIBE!I339</f>
        <v>Northern Plains</v>
      </c>
      <c r="B330" s="82" t="str">
        <f>TDCTRIBE!B339</f>
        <v>ND</v>
      </c>
      <c r="C330" s="82" t="str">
        <f>TDCTRIBE!F339</f>
        <v>Ft. Berthold Affiliated Tribes</v>
      </c>
      <c r="D330" s="83">
        <f>TDCTRIBE!Y339</f>
        <v>295184.56274999998</v>
      </c>
      <c r="E330" s="83">
        <f>TDCTRIBE!Z339</f>
        <v>326359.22129999998</v>
      </c>
      <c r="F330" s="83">
        <f>TDCTRIBE!AA339</f>
        <v>366263.90815000003</v>
      </c>
      <c r="G330" s="83">
        <f>TDCTRIBE!AB339</f>
        <v>396846.95155</v>
      </c>
      <c r="H330" s="83">
        <f>TDCTRIBE!AC339</f>
        <v>427832.38644999999</v>
      </c>
      <c r="O330" s="9"/>
      <c r="P330" s="1"/>
      <c r="Q330" s="1"/>
      <c r="R330" s="1"/>
      <c r="S330" s="1"/>
      <c r="T330" s="1"/>
      <c r="U330" s="1"/>
      <c r="V330" s="9"/>
      <c r="W330" s="3"/>
      <c r="X330" s="4"/>
      <c r="Y330" s="1"/>
      <c r="Z330" s="1"/>
      <c r="AA330" s="1"/>
      <c r="AB330" s="1"/>
      <c r="AC330" s="1"/>
      <c r="AD330" s="3"/>
      <c r="AE330" s="3"/>
      <c r="AF330" s="5"/>
      <c r="AG330" s="5"/>
      <c r="AH330" s="5"/>
      <c r="AI330" s="5"/>
      <c r="AJ330" s="6"/>
      <c r="AK330" s="6"/>
      <c r="AL330" s="12"/>
      <c r="AM330" s="12"/>
      <c r="AN330" s="12"/>
      <c r="AO330" s="12"/>
      <c r="AP330" s="12"/>
    </row>
    <row r="331" spans="1:42" ht="15" x14ac:dyDescent="0.25">
      <c r="A331" s="82" t="str">
        <f>TDCTRIBE!I340</f>
        <v>Northern Plains</v>
      </c>
      <c r="B331" s="82" t="str">
        <f>TDCTRIBE!B340</f>
        <v>ND</v>
      </c>
      <c r="C331" s="82" t="str">
        <f>TDCTRIBE!F340</f>
        <v>Standing Rock Sioux</v>
      </c>
      <c r="D331" s="83">
        <f>TDCTRIBE!Y340</f>
        <v>298536.48824999999</v>
      </c>
      <c r="E331" s="83">
        <f>TDCTRIBE!Z340</f>
        <v>330010.69289999997</v>
      </c>
      <c r="F331" s="83">
        <f>TDCTRIBE!AA340</f>
        <v>370324.62634999998</v>
      </c>
      <c r="G331" s="83">
        <f>TDCTRIBE!AB340</f>
        <v>401203.00744999998</v>
      </c>
      <c r="H331" s="83">
        <f>TDCTRIBE!AC340</f>
        <v>432520.90454999998</v>
      </c>
      <c r="O331" s="9"/>
      <c r="P331" s="1"/>
      <c r="Q331" s="1"/>
      <c r="R331" s="1"/>
      <c r="S331" s="1"/>
      <c r="T331" s="1"/>
      <c r="U331" s="1"/>
      <c r="V331" s="9"/>
      <c r="W331" s="3"/>
      <c r="X331" s="4"/>
      <c r="Y331" s="1"/>
      <c r="Z331" s="1"/>
      <c r="AA331" s="1"/>
      <c r="AB331" s="1"/>
      <c r="AC331" s="1"/>
      <c r="AD331" s="3"/>
      <c r="AE331" s="3"/>
      <c r="AF331" s="5"/>
      <c r="AG331" s="5"/>
      <c r="AH331" s="5"/>
      <c r="AI331" s="5"/>
      <c r="AJ331" s="6"/>
      <c r="AK331" s="6"/>
      <c r="AL331" s="12"/>
      <c r="AM331" s="12"/>
      <c r="AN331" s="12"/>
      <c r="AO331" s="12"/>
      <c r="AP331" s="12"/>
    </row>
    <row r="332" spans="1:42" ht="15" x14ac:dyDescent="0.25">
      <c r="A332" s="82" t="str">
        <f>TDCTRIBE!I341</f>
        <v>Northern Plains</v>
      </c>
      <c r="B332" s="82" t="str">
        <f>TDCTRIBE!B341</f>
        <v>ND</v>
      </c>
      <c r="C332" s="82" t="str">
        <f>TDCTRIBE!F341</f>
        <v>Trenton Band of Chippewa</v>
      </c>
      <c r="D332" s="83">
        <f>TDCTRIBE!Y341</f>
        <v>296860.52549999999</v>
      </c>
      <c r="E332" s="83">
        <f>TDCTRIBE!Z341</f>
        <v>328184.9571</v>
      </c>
      <c r="F332" s="83">
        <f>TDCTRIBE!AA341</f>
        <v>368294.26725000003</v>
      </c>
      <c r="G332" s="83">
        <f>TDCTRIBE!AB341</f>
        <v>399024.97950000002</v>
      </c>
      <c r="H332" s="83">
        <f>TDCTRIBE!AC341</f>
        <v>430176.64549999998</v>
      </c>
      <c r="O332" s="9"/>
      <c r="P332" s="1"/>
      <c r="Q332" s="1"/>
      <c r="R332" s="1"/>
      <c r="S332" s="1"/>
      <c r="T332" s="1"/>
      <c r="U332" s="1"/>
      <c r="V332" s="9"/>
      <c r="W332" s="3"/>
      <c r="X332" s="4"/>
      <c r="Y332" s="1"/>
      <c r="Z332" s="1"/>
      <c r="AA332" s="1"/>
      <c r="AB332" s="1"/>
      <c r="AC332" s="1"/>
      <c r="AD332" s="3"/>
      <c r="AE332" s="3"/>
      <c r="AF332" s="5"/>
      <c r="AG332" s="5"/>
      <c r="AH332" s="5"/>
      <c r="AI332" s="5"/>
      <c r="AJ332" s="6"/>
      <c r="AK332" s="6"/>
      <c r="AL332" s="12"/>
      <c r="AM332" s="12"/>
      <c r="AN332" s="12"/>
      <c r="AO332" s="12"/>
      <c r="AP332" s="12"/>
    </row>
    <row r="333" spans="1:42" ht="15" x14ac:dyDescent="0.25">
      <c r="A333" s="82" t="str">
        <f>TDCTRIBE!I342</f>
        <v>Northern Plains</v>
      </c>
      <c r="B333" s="82" t="str">
        <f>TDCTRIBE!B342</f>
        <v>ND</v>
      </c>
      <c r="C333" s="82" t="str">
        <f>TDCTRIBE!F342</f>
        <v>Turtle Mountain Band of Chippewa</v>
      </c>
      <c r="D333" s="83">
        <f>TDCTRIBE!Y342</f>
        <v>298536.48824999999</v>
      </c>
      <c r="E333" s="83">
        <f>TDCTRIBE!Z342</f>
        <v>330010.69289999997</v>
      </c>
      <c r="F333" s="83">
        <f>TDCTRIBE!AA342</f>
        <v>370324.62634999998</v>
      </c>
      <c r="G333" s="83">
        <f>TDCTRIBE!AB342</f>
        <v>401203.00744999998</v>
      </c>
      <c r="H333" s="83">
        <f>TDCTRIBE!AC342</f>
        <v>432520.90454999998</v>
      </c>
      <c r="O333" s="9"/>
      <c r="P333" s="1"/>
      <c r="Q333" s="1"/>
      <c r="R333" s="1"/>
      <c r="S333" s="1"/>
      <c r="T333" s="1"/>
      <c r="U333" s="1"/>
      <c r="V333" s="9"/>
      <c r="W333" s="3"/>
      <c r="X333" s="4"/>
      <c r="Y333" s="1"/>
      <c r="Z333" s="1"/>
      <c r="AA333" s="1"/>
      <c r="AB333" s="1"/>
      <c r="AC333" s="1"/>
      <c r="AD333" s="3"/>
      <c r="AE333" s="3"/>
      <c r="AF333" s="5"/>
      <c r="AG333" s="5"/>
      <c r="AH333" s="5"/>
      <c r="AI333" s="5"/>
      <c r="AJ333" s="6"/>
      <c r="AK333" s="6"/>
      <c r="AL333" s="12"/>
      <c r="AM333" s="12"/>
      <c r="AN333" s="12"/>
      <c r="AO333" s="12"/>
      <c r="AP333" s="12"/>
    </row>
    <row r="334" spans="1:42" ht="15" x14ac:dyDescent="0.25">
      <c r="A334" s="82" t="str">
        <f>TDCTRIBE!I343</f>
        <v>Northern Plains</v>
      </c>
      <c r="B334" s="82" t="str">
        <f>TDCTRIBE!B343</f>
        <v>NE</v>
      </c>
      <c r="C334" s="82" t="str">
        <f>TDCTRIBE!F343</f>
        <v>Northern Ponca Tribe of Nebraska</v>
      </c>
      <c r="D334" s="83">
        <f>TDCTRIBE!Y343</f>
        <v>288262.38672000001</v>
      </c>
      <c r="E334" s="83">
        <f>TDCTRIBE!Z343</f>
        <v>318434.812164</v>
      </c>
      <c r="F334" s="83">
        <f>TDCTRIBE!AA343</f>
        <v>357185.17213400005</v>
      </c>
      <c r="G334" s="83">
        <f>TDCTRIBE!AB343</f>
        <v>386792.35380800004</v>
      </c>
      <c r="H334" s="83">
        <f>TDCTRIBE!AC343</f>
        <v>416954.61567200004</v>
      </c>
      <c r="O334" s="9"/>
      <c r="P334" s="1"/>
      <c r="Q334" s="1"/>
      <c r="R334" s="1"/>
      <c r="S334" s="1"/>
      <c r="T334" s="1"/>
      <c r="U334" s="1"/>
      <c r="V334" s="9"/>
      <c r="W334" s="3"/>
      <c r="X334" s="4"/>
      <c r="Y334" s="1"/>
      <c r="Z334" s="1"/>
      <c r="AA334" s="1"/>
      <c r="AB334" s="1"/>
      <c r="AC334" s="1"/>
      <c r="AD334" s="3"/>
      <c r="AE334" s="3"/>
      <c r="AF334" s="5"/>
      <c r="AG334" s="5"/>
      <c r="AH334" s="5"/>
      <c r="AI334" s="5"/>
      <c r="AJ334" s="6"/>
      <c r="AK334" s="6"/>
      <c r="AL334" s="12"/>
      <c r="AM334" s="12"/>
      <c r="AN334" s="12"/>
      <c r="AO334" s="12"/>
      <c r="AP334" s="12"/>
    </row>
    <row r="335" spans="1:42" ht="15" x14ac:dyDescent="0.25">
      <c r="A335" s="82" t="str">
        <f>TDCTRIBE!I344</f>
        <v>Northern Plains</v>
      </c>
      <c r="B335" s="82" t="str">
        <f>TDCTRIBE!B344</f>
        <v>NE</v>
      </c>
      <c r="C335" s="82" t="str">
        <f>TDCTRIBE!F344</f>
        <v>Omaha Tribe</v>
      </c>
      <c r="D335" s="83">
        <f>TDCTRIBE!Y344</f>
        <v>288262.38672000001</v>
      </c>
      <c r="E335" s="83">
        <f>TDCTRIBE!Z344</f>
        <v>318434.812164</v>
      </c>
      <c r="F335" s="83">
        <f>TDCTRIBE!AA344</f>
        <v>357185.17213400005</v>
      </c>
      <c r="G335" s="83">
        <f>TDCTRIBE!AB344</f>
        <v>386792.35380800004</v>
      </c>
      <c r="H335" s="83">
        <f>TDCTRIBE!AC344</f>
        <v>416954.61567200004</v>
      </c>
      <c r="O335" s="9"/>
      <c r="P335" s="1"/>
      <c r="Q335" s="1"/>
      <c r="R335" s="1"/>
      <c r="S335" s="1"/>
      <c r="T335" s="1"/>
      <c r="U335" s="1"/>
      <c r="V335" s="9"/>
      <c r="W335" s="3"/>
      <c r="X335" s="4"/>
      <c r="Y335" s="1"/>
      <c r="Z335" s="1"/>
      <c r="AA335" s="1"/>
      <c r="AB335" s="1"/>
      <c r="AC335" s="1"/>
      <c r="AD335" s="3"/>
      <c r="AE335" s="3"/>
      <c r="AF335" s="5"/>
      <c r="AG335" s="5"/>
      <c r="AH335" s="5"/>
      <c r="AI335" s="5"/>
      <c r="AJ335" s="6"/>
      <c r="AK335" s="6"/>
      <c r="AL335" s="12"/>
      <c r="AM335" s="12"/>
      <c r="AN335" s="12"/>
      <c r="AO335" s="12"/>
      <c r="AP335" s="12"/>
    </row>
    <row r="336" spans="1:42" ht="15" x14ac:dyDescent="0.25">
      <c r="A336" s="82" t="str">
        <f>TDCTRIBE!I345</f>
        <v>Northern Plains</v>
      </c>
      <c r="B336" s="82" t="str">
        <f>TDCTRIBE!B345</f>
        <v>NE</v>
      </c>
      <c r="C336" s="82" t="str">
        <f>TDCTRIBE!F345</f>
        <v>Santee Sioux Tribe</v>
      </c>
      <c r="D336" s="83">
        <f>TDCTRIBE!Y345</f>
        <v>285092.66593500006</v>
      </c>
      <c r="E336" s="83">
        <f>TDCTRIBE!Z345</f>
        <v>314933.87429699994</v>
      </c>
      <c r="F336" s="83">
        <f>TDCTRIBE!AA345</f>
        <v>353258.58636950003</v>
      </c>
      <c r="G336" s="83">
        <f>TDCTRIBE!AB345</f>
        <v>382540.740659</v>
      </c>
      <c r="H336" s="83">
        <f>TDCTRIBE!AC345</f>
        <v>412371.53813100001</v>
      </c>
      <c r="O336" s="9"/>
      <c r="P336" s="1"/>
      <c r="Q336" s="1"/>
      <c r="R336" s="1"/>
      <c r="S336" s="1"/>
      <c r="T336" s="1"/>
      <c r="U336" s="1"/>
      <c r="V336" s="9"/>
      <c r="W336" s="3"/>
      <c r="X336" s="4"/>
      <c r="Y336" s="1"/>
      <c r="Z336" s="1"/>
      <c r="AA336" s="1"/>
      <c r="AB336" s="1"/>
      <c r="AC336" s="1"/>
      <c r="AD336" s="3"/>
      <c r="AE336" s="3"/>
      <c r="AF336" s="5"/>
      <c r="AG336" s="5"/>
      <c r="AH336" s="5"/>
      <c r="AI336" s="5"/>
      <c r="AJ336" s="6"/>
      <c r="AK336" s="6"/>
      <c r="AL336" s="12"/>
      <c r="AM336" s="12"/>
      <c r="AN336" s="12"/>
      <c r="AO336" s="12"/>
      <c r="AP336" s="12"/>
    </row>
    <row r="337" spans="1:42" ht="15" x14ac:dyDescent="0.25">
      <c r="A337" s="82" t="str">
        <f>TDCTRIBE!I346</f>
        <v>Northern Plains</v>
      </c>
      <c r="B337" s="82" t="str">
        <f>TDCTRIBE!B346</f>
        <v>NE</v>
      </c>
      <c r="C337" s="82" t="str">
        <f>TDCTRIBE!F346</f>
        <v>Winnebago Tribe</v>
      </c>
      <c r="D337" s="83">
        <f>TDCTRIBE!Y346</f>
        <v>288262.38672000001</v>
      </c>
      <c r="E337" s="83">
        <f>TDCTRIBE!Z346</f>
        <v>318434.812164</v>
      </c>
      <c r="F337" s="83">
        <f>TDCTRIBE!AA346</f>
        <v>357185.17213400005</v>
      </c>
      <c r="G337" s="83">
        <f>TDCTRIBE!AB346</f>
        <v>386792.35380800004</v>
      </c>
      <c r="H337" s="83">
        <f>TDCTRIBE!AC346</f>
        <v>416954.61567200004</v>
      </c>
      <c r="O337" s="9"/>
      <c r="P337" s="1"/>
      <c r="Q337" s="1"/>
      <c r="R337" s="1"/>
      <c r="S337" s="1"/>
      <c r="T337" s="1"/>
      <c r="U337" s="1"/>
      <c r="V337" s="9"/>
      <c r="W337" s="3"/>
      <c r="X337" s="4"/>
      <c r="Y337" s="1"/>
      <c r="Z337" s="1"/>
      <c r="AA337" s="1"/>
      <c r="AB337" s="1"/>
      <c r="AC337" s="1"/>
      <c r="AD337" s="3"/>
      <c r="AE337" s="3"/>
      <c r="AF337" s="5"/>
      <c r="AG337" s="5"/>
      <c r="AH337" s="5"/>
      <c r="AI337" s="5"/>
      <c r="AJ337" s="6"/>
      <c r="AK337" s="6"/>
      <c r="AL337" s="12"/>
      <c r="AM337" s="12"/>
      <c r="AN337" s="12"/>
      <c r="AO337" s="12"/>
      <c r="AP337" s="12"/>
    </row>
    <row r="338" spans="1:42" ht="15" x14ac:dyDescent="0.25">
      <c r="A338" s="82" t="str">
        <f>TDCTRIBE!I347</f>
        <v>Northern Plains</v>
      </c>
      <c r="B338" s="82" t="str">
        <f>TDCTRIBE!B347</f>
        <v>SD</v>
      </c>
      <c r="C338" s="82" t="str">
        <f>TDCTRIBE!F347</f>
        <v>Cheyenne River Sioux</v>
      </c>
      <c r="D338" s="83">
        <f>TDCTRIBE!Y347</f>
        <v>268150.83372</v>
      </c>
      <c r="E338" s="83">
        <f>TDCTRIBE!Z347</f>
        <v>296525.98256399995</v>
      </c>
      <c r="F338" s="83">
        <f>TDCTRIBE!AA347</f>
        <v>332820.86293399998</v>
      </c>
      <c r="G338" s="83">
        <f>TDCTRIBE!AB347</f>
        <v>360656.018408</v>
      </c>
      <c r="H338" s="83">
        <f>TDCTRIBE!AC347</f>
        <v>388823.50707200007</v>
      </c>
      <c r="O338" s="9"/>
      <c r="P338" s="1"/>
      <c r="Q338" s="1"/>
      <c r="R338" s="1"/>
      <c r="S338" s="1"/>
      <c r="T338" s="1"/>
      <c r="U338" s="1"/>
      <c r="V338" s="9"/>
      <c r="W338" s="3"/>
      <c r="X338" s="4"/>
      <c r="Y338" s="1"/>
      <c r="Z338" s="1"/>
      <c r="AA338" s="1"/>
      <c r="AB338" s="1"/>
      <c r="AC338" s="1"/>
      <c r="AD338" s="3"/>
      <c r="AE338" s="3"/>
      <c r="AF338" s="5"/>
      <c r="AG338" s="5"/>
      <c r="AH338" s="5"/>
      <c r="AI338" s="5"/>
      <c r="AJ338" s="6"/>
      <c r="AK338" s="6"/>
      <c r="AL338" s="12"/>
      <c r="AM338" s="12"/>
      <c r="AN338" s="12"/>
      <c r="AO338" s="12"/>
      <c r="AP338" s="12"/>
    </row>
    <row r="339" spans="1:42" ht="15" x14ac:dyDescent="0.25">
      <c r="A339" s="82" t="str">
        <f>TDCTRIBE!I348</f>
        <v>Northern Plains</v>
      </c>
      <c r="B339" s="82" t="str">
        <f>TDCTRIBE!B348</f>
        <v>SD</v>
      </c>
      <c r="C339" s="82" t="str">
        <f>TDCTRIBE!F348</f>
        <v>Crow Creek Sioux</v>
      </c>
      <c r="D339" s="83">
        <f>TDCTRIBE!Y348</f>
        <v>268333.03843499999</v>
      </c>
      <c r="E339" s="83">
        <f>TDCTRIBE!Z348</f>
        <v>296676.51629699999</v>
      </c>
      <c r="F339" s="83">
        <f>TDCTRIBE!AA348</f>
        <v>332954.99536950001</v>
      </c>
      <c r="G339" s="83">
        <f>TDCTRIBE!AB348</f>
        <v>360760.46115900006</v>
      </c>
      <c r="H339" s="83">
        <f>TDCTRIBE!AC348</f>
        <v>388928.94763100002</v>
      </c>
      <c r="O339" s="9"/>
      <c r="P339" s="1"/>
      <c r="Q339" s="1"/>
      <c r="R339" s="1"/>
      <c r="S339" s="1"/>
      <c r="T339" s="1"/>
      <c r="U339" s="1"/>
      <c r="V339" s="9"/>
      <c r="W339" s="3"/>
      <c r="X339" s="4"/>
      <c r="Y339" s="1"/>
      <c r="Z339" s="1"/>
      <c r="AA339" s="1"/>
      <c r="AB339" s="1"/>
      <c r="AC339" s="1"/>
      <c r="AD339" s="3"/>
      <c r="AE339" s="3"/>
      <c r="AF339" s="5"/>
      <c r="AG339" s="5"/>
      <c r="AH339" s="5"/>
      <c r="AI339" s="5"/>
      <c r="AJ339" s="6"/>
      <c r="AK339" s="6"/>
      <c r="AL339" s="12"/>
      <c r="AM339" s="12"/>
      <c r="AN339" s="12"/>
      <c r="AO339" s="12"/>
      <c r="AP339" s="12"/>
    </row>
    <row r="340" spans="1:42" ht="15" x14ac:dyDescent="0.25">
      <c r="A340" s="82" t="str">
        <f>TDCTRIBE!I349</f>
        <v>Northern Plains</v>
      </c>
      <c r="B340" s="82" t="str">
        <f>TDCTRIBE!B349</f>
        <v>SD</v>
      </c>
      <c r="C340" s="82" t="str">
        <f>TDCTRIBE!F349</f>
        <v>Flandreau Santee Sioux</v>
      </c>
      <c r="D340" s="83">
        <f>TDCTRIBE!Y349</f>
        <v>289756.14475500002</v>
      </c>
      <c r="E340" s="83">
        <f>TDCTRIBE!Z349</f>
        <v>320110.01423099998</v>
      </c>
      <c r="F340" s="83">
        <f>TDCTRIBE!AA349</f>
        <v>359081.39879850007</v>
      </c>
      <c r="G340" s="83">
        <f>TDCTRIBE!AB349</f>
        <v>388865.93900700007</v>
      </c>
      <c r="H340" s="83">
        <f>TDCTRIBE!AC349</f>
        <v>419193.43416300009</v>
      </c>
      <c r="O340" s="9"/>
      <c r="P340" s="1"/>
      <c r="Q340" s="1"/>
      <c r="R340" s="1"/>
      <c r="S340" s="1"/>
      <c r="T340" s="1"/>
      <c r="U340" s="1"/>
      <c r="V340" s="9"/>
      <c r="W340" s="3"/>
      <c r="X340" s="4"/>
      <c r="Y340" s="7"/>
      <c r="Z340" s="1"/>
      <c r="AA340" s="1"/>
      <c r="AB340" s="1"/>
      <c r="AC340" s="1"/>
      <c r="AD340" s="3"/>
      <c r="AE340" s="3"/>
      <c r="AF340" s="5"/>
      <c r="AG340" s="5"/>
      <c r="AH340" s="5"/>
      <c r="AI340" s="5"/>
      <c r="AJ340" s="6"/>
      <c r="AK340" s="6"/>
      <c r="AL340" s="12"/>
      <c r="AM340" s="12"/>
      <c r="AN340" s="12"/>
      <c r="AO340" s="12"/>
      <c r="AP340" s="12"/>
    </row>
    <row r="341" spans="1:42" ht="15" x14ac:dyDescent="0.25">
      <c r="A341" s="82" t="str">
        <f>TDCTRIBE!I350</f>
        <v>Northern Plains</v>
      </c>
      <c r="B341" s="82" t="str">
        <f>TDCTRIBE!B350</f>
        <v>SD</v>
      </c>
      <c r="C341" s="82" t="str">
        <f>TDCTRIBE!F350</f>
        <v>Lower Brule Sioux</v>
      </c>
      <c r="D341" s="83">
        <f>TDCTRIBE!Y350</f>
        <v>276712.85218500008</v>
      </c>
      <c r="E341" s="83">
        <f>TDCTRIBE!Z350</f>
        <v>305805.195297</v>
      </c>
      <c r="F341" s="83">
        <f>TDCTRIBE!AA350</f>
        <v>343106.79086950002</v>
      </c>
      <c r="G341" s="83">
        <f>TDCTRIBE!AB350</f>
        <v>371650.60090900003</v>
      </c>
      <c r="H341" s="83">
        <f>TDCTRIBE!AC350</f>
        <v>400650.24288099998</v>
      </c>
      <c r="O341" s="9"/>
      <c r="P341" s="1"/>
      <c r="Q341" s="1"/>
      <c r="R341" s="1"/>
      <c r="S341" s="1"/>
      <c r="T341" s="1"/>
      <c r="U341" s="1"/>
      <c r="V341" s="9"/>
      <c r="W341" s="3"/>
      <c r="X341" s="4"/>
      <c r="Y341" s="1"/>
      <c r="Z341" s="1"/>
      <c r="AA341" s="1"/>
      <c r="AB341" s="1"/>
      <c r="AC341" s="1"/>
      <c r="AD341" s="3"/>
      <c r="AE341" s="3"/>
      <c r="AF341" s="5"/>
      <c r="AG341" s="5"/>
      <c r="AH341" s="5"/>
      <c r="AI341" s="5"/>
      <c r="AJ341" s="6"/>
      <c r="AK341" s="6"/>
      <c r="AL341" s="12"/>
      <c r="AM341" s="12"/>
      <c r="AN341" s="12"/>
      <c r="AO341" s="12"/>
      <c r="AP341" s="12"/>
    </row>
    <row r="342" spans="1:42" ht="15" x14ac:dyDescent="0.25">
      <c r="A342" s="82" t="str">
        <f>TDCTRIBE!I351</f>
        <v>Northern Plains</v>
      </c>
      <c r="B342" s="82" t="str">
        <f>TDCTRIBE!B351</f>
        <v>SD</v>
      </c>
      <c r="C342" s="82" t="str">
        <f>TDCTRIBE!F351</f>
        <v>Oglala Sioux of Pine Ridge Reservation</v>
      </c>
      <c r="D342" s="83">
        <f>TDCTRIBE!Y351</f>
        <v>284728.25650500006</v>
      </c>
      <c r="E342" s="83">
        <f>TDCTRIBE!Z351</f>
        <v>314632.80683099997</v>
      </c>
      <c r="F342" s="83">
        <f>TDCTRIBE!AA351</f>
        <v>352990.32149850007</v>
      </c>
      <c r="G342" s="83">
        <f>TDCTRIBE!AB351</f>
        <v>382331.85515700001</v>
      </c>
      <c r="H342" s="83">
        <f>TDCTRIBE!AC351</f>
        <v>412160.65701299999</v>
      </c>
      <c r="O342" s="9"/>
      <c r="P342" s="1"/>
      <c r="Q342" s="1"/>
      <c r="R342" s="1"/>
      <c r="S342" s="7"/>
      <c r="T342" s="1"/>
      <c r="U342" s="1"/>
      <c r="V342" s="9"/>
      <c r="W342" s="3"/>
      <c r="X342" s="4"/>
      <c r="Y342" s="1"/>
      <c r="Z342" s="7"/>
      <c r="AA342" s="1"/>
      <c r="AB342" s="1"/>
      <c r="AC342" s="1"/>
      <c r="AD342" s="3"/>
      <c r="AE342" s="3"/>
      <c r="AF342" s="5"/>
      <c r="AG342" s="5"/>
      <c r="AH342" s="5"/>
      <c r="AI342" s="5"/>
      <c r="AJ342" s="6"/>
      <c r="AK342" s="6"/>
      <c r="AL342" s="12"/>
      <c r="AM342" s="12"/>
      <c r="AN342" s="12"/>
      <c r="AO342" s="12"/>
      <c r="AP342" s="12"/>
    </row>
    <row r="343" spans="1:42" ht="15" x14ac:dyDescent="0.25">
      <c r="A343" s="82" t="str">
        <f>TDCTRIBE!I352</f>
        <v>Northern Plains</v>
      </c>
      <c r="B343" s="82" t="str">
        <f>TDCTRIBE!B352</f>
        <v>SD</v>
      </c>
      <c r="C343" s="82" t="str">
        <f>TDCTRIBE!F352</f>
        <v>Rosebud Sioux</v>
      </c>
      <c r="D343" s="83">
        <f>TDCTRIBE!Y352</f>
        <v>276712.85218500008</v>
      </c>
      <c r="E343" s="83">
        <f>TDCTRIBE!Z352</f>
        <v>305805.195297</v>
      </c>
      <c r="F343" s="83">
        <f>TDCTRIBE!AA352</f>
        <v>343106.79086950002</v>
      </c>
      <c r="G343" s="83">
        <f>TDCTRIBE!AB352</f>
        <v>371650.60090900003</v>
      </c>
      <c r="H343" s="83">
        <f>TDCTRIBE!AC352</f>
        <v>400650.24288099998</v>
      </c>
      <c r="O343" s="9"/>
      <c r="P343" s="1"/>
      <c r="Q343" s="1"/>
      <c r="R343" s="1"/>
      <c r="S343" s="1"/>
      <c r="T343" s="1"/>
      <c r="U343" s="1"/>
      <c r="V343" s="9"/>
      <c r="W343" s="3"/>
      <c r="X343" s="4"/>
      <c r="Y343" s="1"/>
      <c r="Z343" s="7"/>
      <c r="AA343" s="1"/>
      <c r="AB343" s="1"/>
      <c r="AC343" s="1"/>
      <c r="AD343" s="3"/>
      <c r="AE343" s="3"/>
      <c r="AF343" s="5"/>
      <c r="AG343" s="5"/>
      <c r="AH343" s="5"/>
      <c r="AI343" s="5"/>
      <c r="AJ343" s="6"/>
      <c r="AK343" s="6"/>
      <c r="AL343" s="12"/>
      <c r="AM343" s="12"/>
      <c r="AN343" s="12"/>
      <c r="AO343" s="12"/>
      <c r="AP343" s="12"/>
    </row>
    <row r="344" spans="1:42" ht="15" x14ac:dyDescent="0.25">
      <c r="A344" s="82" t="str">
        <f>TDCTRIBE!I353</f>
        <v>Northern Plains</v>
      </c>
      <c r="B344" s="82" t="str">
        <f>TDCTRIBE!B353</f>
        <v>SD</v>
      </c>
      <c r="C344" s="82" t="str">
        <f>TDCTRIBE!F353</f>
        <v>Sisseton-Wahpeton Sioux</v>
      </c>
      <c r="D344" s="83">
        <f>TDCTRIBE!Y353</f>
        <v>279882.57296999998</v>
      </c>
      <c r="E344" s="83">
        <f>TDCTRIBE!Z353</f>
        <v>309306.133164</v>
      </c>
      <c r="F344" s="83">
        <f>TDCTRIBE!AA353</f>
        <v>347033.37663399999</v>
      </c>
      <c r="G344" s="83">
        <f>TDCTRIBE!AB353</f>
        <v>375902.21405800001</v>
      </c>
      <c r="H344" s="83">
        <f>TDCTRIBE!AC353</f>
        <v>405233.32042200002</v>
      </c>
      <c r="O344" s="9"/>
      <c r="P344" s="1"/>
      <c r="Q344" s="1"/>
      <c r="R344" s="1"/>
      <c r="S344" s="1"/>
      <c r="T344" s="1"/>
      <c r="U344" s="1"/>
      <c r="V344" s="9"/>
      <c r="W344" s="3"/>
      <c r="X344" s="4"/>
      <c r="Y344" s="1"/>
      <c r="Z344" s="7"/>
      <c r="AA344" s="1"/>
      <c r="AB344" s="1"/>
      <c r="AC344" s="1"/>
      <c r="AD344" s="3"/>
      <c r="AE344" s="3"/>
      <c r="AF344" s="5"/>
      <c r="AG344" s="5"/>
      <c r="AH344" s="5"/>
      <c r="AI344" s="5"/>
      <c r="AJ344" s="6"/>
      <c r="AK344" s="6"/>
      <c r="AL344" s="12"/>
      <c r="AM344" s="12"/>
      <c r="AN344" s="12"/>
      <c r="AO344" s="12"/>
      <c r="AP344" s="12"/>
    </row>
    <row r="345" spans="1:42" ht="15" x14ac:dyDescent="0.25">
      <c r="A345" s="82" t="str">
        <f>TDCTRIBE!I354</f>
        <v>Northern Plains</v>
      </c>
      <c r="B345" s="82" t="str">
        <f>TDCTRIBE!B354</f>
        <v>SD</v>
      </c>
      <c r="C345" s="82" t="str">
        <f>TDCTRIBE!F354</f>
        <v>Yankton Sioux</v>
      </c>
      <c r="D345" s="83">
        <f>TDCTRIBE!Y354</f>
        <v>271320.55450500001</v>
      </c>
      <c r="E345" s="83">
        <f>TDCTRIBE!Z354</f>
        <v>300026.92043100001</v>
      </c>
      <c r="F345" s="83">
        <f>TDCTRIBE!AA354</f>
        <v>340383.51219950005</v>
      </c>
      <c r="G345" s="83">
        <f>TDCTRIBE!AB354</f>
        <v>368883.78461900004</v>
      </c>
      <c r="H345" s="83">
        <f>TDCTRIBE!AC354</f>
        <v>397699.57677100005</v>
      </c>
      <c r="O345" s="9"/>
      <c r="P345" s="1"/>
      <c r="Q345" s="1"/>
      <c r="R345" s="1"/>
      <c r="S345" s="1"/>
      <c r="T345" s="1"/>
      <c r="U345" s="1"/>
      <c r="V345" s="9"/>
      <c r="W345" s="3"/>
      <c r="X345" s="4"/>
      <c r="Y345" s="1"/>
      <c r="Z345" s="7"/>
      <c r="AA345" s="1"/>
      <c r="AB345" s="1"/>
      <c r="AC345" s="1"/>
      <c r="AD345" s="3"/>
      <c r="AE345" s="3"/>
      <c r="AF345" s="5"/>
      <c r="AG345" s="5"/>
      <c r="AH345" s="5"/>
      <c r="AI345" s="5"/>
      <c r="AJ345" s="6"/>
      <c r="AK345" s="6"/>
      <c r="AL345" s="12"/>
      <c r="AM345" s="12"/>
      <c r="AN345" s="12"/>
      <c r="AO345" s="12"/>
      <c r="AP345" s="12"/>
    </row>
    <row r="346" spans="1:42" ht="15" x14ac:dyDescent="0.25">
      <c r="A346" s="82" t="s">
        <v>2298</v>
      </c>
      <c r="B346" s="82" t="str">
        <f>TDCTRIBE!B617</f>
        <v>UT</v>
      </c>
      <c r="C346" s="82" t="str">
        <f>TDCTRIBE!F617</f>
        <v>Goshute Reservation</v>
      </c>
      <c r="D346" s="83">
        <f>TDCTRIBE!Y617</f>
        <v>288845.12118000002</v>
      </c>
      <c r="E346" s="83">
        <f>TDCTRIBE!Z617</f>
        <v>319357.34556599997</v>
      </c>
      <c r="F346" s="83">
        <f>TDCTRIBE!AA617</f>
        <v>362242.28740700003</v>
      </c>
      <c r="G346" s="83">
        <f>TDCTRIBE!AB617</f>
        <v>392533.64998400002</v>
      </c>
      <c r="H346" s="83">
        <f>TDCTRIBE!AC617</f>
        <v>423190.02955599996</v>
      </c>
      <c r="O346" s="9"/>
      <c r="P346" s="1"/>
      <c r="Q346" s="1"/>
      <c r="R346" s="1"/>
      <c r="S346" s="1"/>
      <c r="T346" s="1"/>
      <c r="U346" s="1"/>
      <c r="V346" s="9"/>
      <c r="W346" s="3"/>
      <c r="X346" s="4"/>
      <c r="Y346" s="1"/>
      <c r="Z346" s="7"/>
      <c r="AA346" s="1"/>
      <c r="AB346" s="1"/>
      <c r="AC346" s="1"/>
      <c r="AD346" s="3"/>
      <c r="AE346" s="3"/>
      <c r="AF346" s="5"/>
      <c r="AG346" s="5"/>
      <c r="AH346" s="5"/>
      <c r="AI346" s="5"/>
      <c r="AJ346" s="6"/>
      <c r="AK346" s="6"/>
      <c r="AL346" s="12"/>
      <c r="AM346" s="12"/>
      <c r="AN346" s="12"/>
      <c r="AO346" s="12"/>
      <c r="AP346" s="12"/>
    </row>
    <row r="347" spans="1:42" ht="15" x14ac:dyDescent="0.25">
      <c r="A347" s="82" t="str">
        <f>TDCTRIBE!I355</f>
        <v>Northern Plains</v>
      </c>
      <c r="B347" s="82" t="str">
        <f>TDCTRIBE!B355</f>
        <v>UT</v>
      </c>
      <c r="C347" s="82" t="str">
        <f>TDCTRIBE!F355</f>
        <v>NW Band of Shoshoni Nation</v>
      </c>
      <c r="D347" s="83">
        <f>TDCTRIBE!Y355</f>
        <v>291468.22782000003</v>
      </c>
      <c r="E347" s="83">
        <f>TDCTRIBE!Z355</f>
        <v>322406.68223400001</v>
      </c>
      <c r="F347" s="83">
        <f>TDCTRIBE!AA355</f>
        <v>365922.86569300003</v>
      </c>
      <c r="G347" s="83">
        <f>TDCTRIBE!AB355</f>
        <v>396642.95221600001</v>
      </c>
      <c r="H347" s="83">
        <f>TDCTRIBE!AC355</f>
        <v>427641.43024399999</v>
      </c>
      <c r="O347" s="9"/>
      <c r="P347" s="1"/>
      <c r="Q347" s="1"/>
      <c r="R347" s="1"/>
      <c r="S347" s="1"/>
      <c r="T347" s="1"/>
      <c r="U347" s="1"/>
      <c r="V347" s="9"/>
      <c r="W347" s="3"/>
      <c r="X347" s="4"/>
      <c r="Y347" s="1"/>
      <c r="Z347" s="1"/>
      <c r="AA347" s="1"/>
      <c r="AB347" s="1"/>
      <c r="AC347" s="1"/>
      <c r="AD347" s="3"/>
      <c r="AE347" s="3"/>
      <c r="AF347" s="5"/>
      <c r="AG347" s="5"/>
      <c r="AH347" s="5"/>
      <c r="AI347" s="5"/>
      <c r="AJ347" s="6"/>
      <c r="AK347" s="6"/>
      <c r="AL347" s="12"/>
      <c r="AM347" s="12"/>
      <c r="AN347" s="12"/>
      <c r="AO347" s="12"/>
      <c r="AP347" s="12"/>
    </row>
    <row r="348" spans="1:42" ht="15" x14ac:dyDescent="0.25">
      <c r="A348" s="82" t="str">
        <f>TDCTRIBE!I356</f>
        <v>Northern Plains</v>
      </c>
      <c r="B348" s="82" t="str">
        <f>TDCTRIBE!B356</f>
        <v>UT</v>
      </c>
      <c r="C348" s="82" t="str">
        <f>TDCTRIBE!F356</f>
        <v>Skull Valley Band of Goshute</v>
      </c>
      <c r="D348" s="83">
        <f>TDCTRIBE!Y356</f>
        <v>288845.12118000002</v>
      </c>
      <c r="E348" s="83">
        <f>TDCTRIBE!Z356</f>
        <v>319357.34556599997</v>
      </c>
      <c r="F348" s="83">
        <f>TDCTRIBE!AA356</f>
        <v>362242.28740700003</v>
      </c>
      <c r="G348" s="83">
        <f>TDCTRIBE!AB356</f>
        <v>392533.64998400002</v>
      </c>
      <c r="H348" s="83">
        <f>TDCTRIBE!AC356</f>
        <v>423190.02955599996</v>
      </c>
      <c r="O348" s="9"/>
      <c r="P348" s="1"/>
      <c r="Q348" s="1"/>
      <c r="R348" s="1"/>
      <c r="S348" s="1"/>
      <c r="T348" s="1"/>
      <c r="U348" s="1"/>
      <c r="V348" s="9"/>
      <c r="W348" s="3"/>
      <c r="X348" s="4"/>
      <c r="Y348" s="1"/>
      <c r="Z348" s="7"/>
      <c r="AA348" s="1"/>
      <c r="AB348" s="1"/>
      <c r="AC348" s="1"/>
      <c r="AD348" s="3"/>
      <c r="AE348" s="3"/>
      <c r="AF348" s="5"/>
      <c r="AG348" s="5"/>
      <c r="AH348" s="5"/>
      <c r="AI348" s="5"/>
      <c r="AJ348" s="6"/>
      <c r="AK348" s="6"/>
      <c r="AL348" s="12"/>
      <c r="AM348" s="12"/>
      <c r="AN348" s="12"/>
      <c r="AO348" s="12"/>
      <c r="AP348" s="12"/>
    </row>
    <row r="349" spans="1:42" ht="15" x14ac:dyDescent="0.25">
      <c r="A349" s="82" t="str">
        <f>TDCTRIBE!I357</f>
        <v>Northern Plains</v>
      </c>
      <c r="B349" s="82" t="str">
        <f>TDCTRIBE!B357</f>
        <v>UT</v>
      </c>
      <c r="C349" s="82" t="str">
        <f>TDCTRIBE!F357</f>
        <v>Uintah &amp; Ouray Ute Indian Tribe</v>
      </c>
      <c r="D349" s="83">
        <f>TDCTRIBE!Y357</f>
        <v>288845.12118000002</v>
      </c>
      <c r="E349" s="83">
        <f>TDCTRIBE!Z357</f>
        <v>319357.34556599997</v>
      </c>
      <c r="F349" s="83">
        <f>TDCTRIBE!AA357</f>
        <v>362242.28740700003</v>
      </c>
      <c r="G349" s="83">
        <f>TDCTRIBE!AB357</f>
        <v>392533.64998400002</v>
      </c>
      <c r="H349" s="83">
        <f>TDCTRIBE!AC357</f>
        <v>423190.02955599996</v>
      </c>
      <c r="O349" s="9"/>
      <c r="P349" s="1"/>
      <c r="Q349" s="1"/>
      <c r="R349" s="1"/>
      <c r="S349" s="1"/>
      <c r="T349" s="1"/>
      <c r="U349" s="1"/>
      <c r="V349" s="9"/>
      <c r="W349" s="3"/>
      <c r="X349" s="4"/>
      <c r="Y349" s="7"/>
      <c r="Z349" s="1"/>
      <c r="AA349" s="1"/>
      <c r="AB349" s="1"/>
      <c r="AC349" s="1"/>
      <c r="AD349" s="3"/>
      <c r="AE349" s="3"/>
      <c r="AF349" s="5"/>
      <c r="AG349" s="5"/>
      <c r="AH349" s="5"/>
      <c r="AI349" s="5"/>
      <c r="AJ349" s="6"/>
      <c r="AK349" s="6"/>
      <c r="AL349" s="12"/>
      <c r="AM349" s="12"/>
      <c r="AN349" s="12"/>
      <c r="AO349" s="12"/>
      <c r="AP349" s="12"/>
    </row>
    <row r="350" spans="1:42" ht="15" x14ac:dyDescent="0.25">
      <c r="A350" s="82" t="str">
        <f>TDCTRIBE!I358</f>
        <v>Northern Plains</v>
      </c>
      <c r="B350" s="82" t="str">
        <f>TDCTRIBE!B358</f>
        <v>UT</v>
      </c>
      <c r="C350" s="82" t="str">
        <f>TDCTRIBE!F358</f>
        <v>Utah Paiute Tribe</v>
      </c>
      <c r="D350" s="83">
        <f>TDCTRIBE!Y358</f>
        <v>282687.88432499999</v>
      </c>
      <c r="E350" s="83">
        <f>TDCTRIBE!Z358</f>
        <v>312506.00356499996</v>
      </c>
      <c r="F350" s="83">
        <f>TDCTRIBE!AA358</f>
        <v>354405.95594250003</v>
      </c>
      <c r="G350" s="83">
        <f>TDCTRIBE!AB358</f>
        <v>384006.603435</v>
      </c>
      <c r="H350" s="83">
        <f>TDCTRIBE!AC358</f>
        <v>413990.83141500002</v>
      </c>
      <c r="O350" s="9"/>
      <c r="P350" s="1"/>
      <c r="Q350" s="1"/>
      <c r="R350" s="1"/>
      <c r="S350" s="1"/>
      <c r="T350" s="1"/>
      <c r="U350" s="1"/>
      <c r="V350" s="9"/>
      <c r="W350" s="3"/>
      <c r="X350" s="4"/>
      <c r="Y350" s="1"/>
      <c r="Z350" s="7"/>
      <c r="AA350" s="1"/>
      <c r="AB350" s="1"/>
      <c r="AC350" s="1"/>
      <c r="AD350" s="3"/>
      <c r="AE350" s="3"/>
      <c r="AF350" s="5"/>
      <c r="AG350" s="5"/>
      <c r="AH350" s="5"/>
      <c r="AI350" s="5"/>
      <c r="AJ350" s="6"/>
      <c r="AK350" s="6"/>
      <c r="AL350" s="12"/>
      <c r="AM350" s="12"/>
      <c r="AN350" s="12"/>
      <c r="AO350" s="12"/>
      <c r="AP350" s="12"/>
    </row>
    <row r="351" spans="1:42" ht="15" x14ac:dyDescent="0.25">
      <c r="A351" s="82" t="str">
        <f>TDCTRIBE!I359</f>
        <v>Northern Plains</v>
      </c>
      <c r="B351" s="82" t="str">
        <f>TDCTRIBE!B359</f>
        <v>WY</v>
      </c>
      <c r="C351" s="82" t="str">
        <f>TDCTRIBE!F359</f>
        <v>Northern Arapahoe</v>
      </c>
      <c r="D351" s="83">
        <f>TDCTRIBE!Y359</f>
        <v>276348.44275499997</v>
      </c>
      <c r="E351" s="83">
        <f>TDCTRIBE!Z359</f>
        <v>305504.12783099996</v>
      </c>
      <c r="F351" s="83">
        <f>TDCTRIBE!AA359</f>
        <v>346474.5894995</v>
      </c>
      <c r="G351" s="83">
        <f>TDCTRIBE!AB359</f>
        <v>375417.86846899998</v>
      </c>
      <c r="H351" s="83">
        <f>TDCTRIBE!AC359</f>
        <v>404732.35392100003</v>
      </c>
      <c r="O351" s="9"/>
      <c r="P351" s="1"/>
      <c r="Q351" s="1"/>
      <c r="R351" s="1"/>
      <c r="S351" s="1"/>
      <c r="T351" s="1"/>
      <c r="U351" s="1"/>
      <c r="V351" s="9"/>
      <c r="W351" s="3"/>
      <c r="X351" s="4"/>
      <c r="Y351" s="1"/>
      <c r="Z351" s="1"/>
      <c r="AA351" s="1"/>
      <c r="AB351" s="1"/>
      <c r="AC351" s="1"/>
      <c r="AD351" s="3"/>
      <c r="AE351" s="3"/>
      <c r="AF351" s="5"/>
      <c r="AG351" s="5"/>
      <c r="AH351" s="5"/>
      <c r="AI351" s="5"/>
      <c r="AJ351" s="6"/>
      <c r="AK351" s="6"/>
      <c r="AL351" s="12"/>
      <c r="AM351" s="12"/>
      <c r="AN351" s="12"/>
      <c r="AO351" s="12"/>
      <c r="AP351" s="12"/>
    </row>
    <row r="352" spans="1:42" ht="15" x14ac:dyDescent="0.25">
      <c r="A352" s="82" t="str">
        <f>TDCTRIBE!I360</f>
        <v>Northern Plains</v>
      </c>
      <c r="B352" s="82" t="str">
        <f>TDCTRIBE!B360</f>
        <v>WY</v>
      </c>
      <c r="C352" s="82" t="str">
        <f>TDCTRIBE!F360</f>
        <v>Shoshone Tribe of the Wind River Res.</v>
      </c>
      <c r="D352" s="83">
        <f>TDCTRIBE!Y360</f>
        <v>276348.44275499997</v>
      </c>
      <c r="E352" s="83">
        <f>TDCTRIBE!Z360</f>
        <v>305504.12783099996</v>
      </c>
      <c r="F352" s="83">
        <f>TDCTRIBE!AA360</f>
        <v>342838.52599850006</v>
      </c>
      <c r="G352" s="83">
        <f>TDCTRIBE!AB360</f>
        <v>371441.71540700004</v>
      </c>
      <c r="H352" s="83">
        <f>TDCTRIBE!AC360</f>
        <v>400439.36176300002</v>
      </c>
      <c r="O352" s="9"/>
      <c r="P352" s="1"/>
      <c r="Q352" s="1"/>
      <c r="R352" s="1"/>
      <c r="S352" s="1"/>
      <c r="T352" s="1"/>
      <c r="U352" s="1"/>
      <c r="V352" s="9"/>
      <c r="W352" s="3"/>
      <c r="X352" s="4"/>
      <c r="Y352" s="1"/>
      <c r="Z352" s="7"/>
      <c r="AA352" s="1"/>
      <c r="AB352" s="1"/>
      <c r="AC352" s="1"/>
      <c r="AD352" s="3"/>
      <c r="AE352" s="3"/>
      <c r="AF352" s="5"/>
      <c r="AG352" s="5"/>
      <c r="AH352" s="5"/>
      <c r="AI352" s="5"/>
      <c r="AJ352" s="6"/>
      <c r="AK352" s="6"/>
      <c r="AL352" s="12"/>
      <c r="AM352" s="12"/>
      <c r="AN352" s="12"/>
      <c r="AO352" s="12"/>
      <c r="AP352" s="12"/>
    </row>
    <row r="353" spans="1:42" ht="15" x14ac:dyDescent="0.25">
      <c r="A353" s="82" t="str">
        <f>TDCTRIBE!I361</f>
        <v>Northwest</v>
      </c>
      <c r="B353" s="82" t="str">
        <f>TDCTRIBE!B361</f>
        <v>ID</v>
      </c>
      <c r="C353" s="82" t="str">
        <f>TDCTRIBE!F361</f>
        <v>Coeur D'Alene Tribe</v>
      </c>
      <c r="D353" s="83">
        <f>TDCTRIBE!Y361</f>
        <v>312308.59968000004</v>
      </c>
      <c r="E353" s="83">
        <f>TDCTRIBE!Z361</f>
        <v>344917.64676600002</v>
      </c>
      <c r="F353" s="83">
        <f>TDCTRIBE!AA361</f>
        <v>390667.31480700005</v>
      </c>
      <c r="G353" s="83">
        <f>TDCTRIBE!AB361</f>
        <v>423026.04128400004</v>
      </c>
      <c r="H353" s="83">
        <f>TDCTRIBE!AC361</f>
        <v>456009.65625599999</v>
      </c>
      <c r="O353" s="9"/>
      <c r="P353" s="1"/>
      <c r="Q353" s="1"/>
      <c r="R353" s="1"/>
      <c r="S353" s="1"/>
      <c r="T353" s="1"/>
      <c r="U353" s="1"/>
      <c r="V353" s="9"/>
      <c r="W353" s="3"/>
      <c r="X353" s="4"/>
      <c r="Y353" s="1"/>
      <c r="Z353" s="1"/>
      <c r="AA353" s="1"/>
      <c r="AB353" s="1"/>
      <c r="AC353" s="1"/>
      <c r="AD353" s="3"/>
      <c r="AE353" s="3"/>
      <c r="AF353" s="5"/>
      <c r="AG353" s="5"/>
      <c r="AH353" s="5"/>
      <c r="AI353" s="5"/>
      <c r="AJ353" s="6"/>
      <c r="AK353" s="6"/>
      <c r="AL353" s="12"/>
      <c r="AM353" s="12"/>
      <c r="AN353" s="12"/>
      <c r="AO353" s="12"/>
      <c r="AP353" s="12"/>
    </row>
    <row r="354" spans="1:42" ht="15" x14ac:dyDescent="0.25">
      <c r="A354" s="82" t="str">
        <f>TDCTRIBE!I362</f>
        <v>Northwest</v>
      </c>
      <c r="B354" s="82" t="str">
        <f>TDCTRIBE!B362</f>
        <v>ID</v>
      </c>
      <c r="C354" s="82" t="str">
        <f>TDCTRIBE!F362</f>
        <v>Fort Hall Shoshone-Bannock</v>
      </c>
      <c r="D354" s="83">
        <f>TDCTRIBE!Y362</f>
        <v>292561.45611000003</v>
      </c>
      <c r="E354" s="83">
        <f>TDCTRIBE!Z362</f>
        <v>323309.884632</v>
      </c>
      <c r="F354" s="83">
        <f>TDCTRIBE!AA362</f>
        <v>366493.075564</v>
      </c>
      <c r="G354" s="83">
        <f>TDCTRIBE!AB362</f>
        <v>397013.08271800005</v>
      </c>
      <c r="H354" s="83">
        <f>TDCTRIBE!AC362</f>
        <v>427997.10636199999</v>
      </c>
      <c r="O354" s="9"/>
      <c r="P354" s="1"/>
      <c r="Q354" s="1"/>
      <c r="R354" s="1"/>
      <c r="S354" s="1"/>
      <c r="T354" s="1"/>
      <c r="U354" s="1"/>
      <c r="V354" s="9"/>
      <c r="W354" s="3"/>
      <c r="X354" s="4"/>
      <c r="Y354" s="1"/>
      <c r="Z354" s="1"/>
      <c r="AA354" s="1"/>
      <c r="AB354" s="1"/>
      <c r="AC354" s="1"/>
      <c r="AD354" s="3"/>
      <c r="AE354" s="3"/>
      <c r="AF354" s="5"/>
      <c r="AG354" s="5"/>
      <c r="AH354" s="5"/>
      <c r="AI354" s="5"/>
      <c r="AJ354" s="6"/>
      <c r="AK354" s="6"/>
      <c r="AL354" s="12"/>
      <c r="AM354" s="12"/>
      <c r="AN354" s="12"/>
      <c r="AO354" s="12"/>
      <c r="AP354" s="12"/>
    </row>
    <row r="355" spans="1:42" ht="15" x14ac:dyDescent="0.25">
      <c r="A355" s="82" t="str">
        <f>TDCTRIBE!I363</f>
        <v>Northwest</v>
      </c>
      <c r="B355" s="82" t="str">
        <f>TDCTRIBE!B363</f>
        <v>ID</v>
      </c>
      <c r="C355" s="82" t="str">
        <f>TDCTRIBE!F363</f>
        <v>Kootenai Tribe</v>
      </c>
      <c r="D355" s="83">
        <f>TDCTRIBE!Y363</f>
        <v>312308.59968000004</v>
      </c>
      <c r="E355" s="83">
        <f>TDCTRIBE!Z363</f>
        <v>344917.64676600002</v>
      </c>
      <c r="F355" s="83">
        <f>TDCTRIBE!AA363</f>
        <v>390667.31480700005</v>
      </c>
      <c r="G355" s="83">
        <f>TDCTRIBE!AB363</f>
        <v>423026.04128400004</v>
      </c>
      <c r="H355" s="83">
        <f>TDCTRIBE!AC363</f>
        <v>456009.65625599999</v>
      </c>
      <c r="O355" s="9"/>
      <c r="P355" s="1"/>
      <c r="Q355" s="1"/>
      <c r="R355" s="1"/>
      <c r="S355" s="7"/>
      <c r="T355" s="1"/>
      <c r="U355" s="1"/>
      <c r="V355" s="9"/>
      <c r="W355" s="3"/>
      <c r="X355" s="4"/>
      <c r="Y355" s="1"/>
      <c r="Z355" s="1"/>
      <c r="AA355" s="1"/>
      <c r="AB355" s="1"/>
      <c r="AC355" s="1"/>
      <c r="AD355" s="3"/>
      <c r="AE355" s="3"/>
      <c r="AF355" s="5"/>
      <c r="AG355" s="5"/>
      <c r="AH355" s="5"/>
      <c r="AI355" s="5"/>
      <c r="AJ355" s="6"/>
      <c r="AK355" s="6"/>
      <c r="AL355" s="12"/>
      <c r="AM355" s="12"/>
      <c r="AN355" s="12"/>
      <c r="AO355" s="12"/>
      <c r="AP355" s="12"/>
    </row>
    <row r="356" spans="1:42" ht="15" x14ac:dyDescent="0.25">
      <c r="A356" s="82" t="str">
        <f>TDCTRIBE!I364</f>
        <v>Northwest</v>
      </c>
      <c r="B356" s="82" t="str">
        <f>TDCTRIBE!B364</f>
        <v>ID</v>
      </c>
      <c r="C356" s="82" t="str">
        <f>TDCTRIBE!F364</f>
        <v>Nez Perce Tribe</v>
      </c>
      <c r="D356" s="83">
        <f>TDCTRIBE!Y364</f>
        <v>310632.63692999998</v>
      </c>
      <c r="E356" s="83">
        <f>TDCTRIBE!Z364</f>
        <v>343091.91096599994</v>
      </c>
      <c r="F356" s="83">
        <f>TDCTRIBE!AA364</f>
        <v>388636.95570699999</v>
      </c>
      <c r="G356" s="83">
        <f>TDCTRIBE!AB364</f>
        <v>420848.01333399996</v>
      </c>
      <c r="H356" s="83">
        <f>TDCTRIBE!AC364</f>
        <v>453665.39720599999</v>
      </c>
      <c r="O356" s="9"/>
      <c r="P356" s="1"/>
      <c r="Q356" s="1"/>
      <c r="R356" s="1"/>
      <c r="S356" s="1"/>
      <c r="T356" s="1"/>
      <c r="U356" s="1"/>
      <c r="V356" s="9"/>
      <c r="W356" s="3"/>
      <c r="X356" s="4"/>
      <c r="Y356" s="1"/>
      <c r="Z356" s="1"/>
      <c r="AA356" s="1"/>
      <c r="AB356" s="1"/>
      <c r="AC356" s="1"/>
      <c r="AD356" s="3"/>
      <c r="AE356" s="3"/>
      <c r="AF356" s="5"/>
      <c r="AG356" s="5"/>
      <c r="AH356" s="5"/>
      <c r="AI356" s="5"/>
      <c r="AJ356" s="6"/>
      <c r="AK356" s="6"/>
      <c r="AL356" s="12"/>
      <c r="AM356" s="12"/>
      <c r="AN356" s="12"/>
      <c r="AO356" s="12"/>
      <c r="AP356" s="12"/>
    </row>
    <row r="357" spans="1:42" ht="15" x14ac:dyDescent="0.25">
      <c r="A357" s="82" t="str">
        <f>TDCTRIBE!I365</f>
        <v>Northwest</v>
      </c>
      <c r="B357" s="82" t="str">
        <f>TDCTRIBE!B365</f>
        <v>OR</v>
      </c>
      <c r="C357" s="82" t="str">
        <f>TDCTRIBE!F365</f>
        <v>Burns-Paiute Tribe</v>
      </c>
      <c r="D357" s="83">
        <f>TDCTRIBE!Y365</f>
        <v>323129.31535499997</v>
      </c>
      <c r="E357" s="83">
        <f>TDCTRIBE!Z365</f>
        <v>356945.12870099995</v>
      </c>
      <c r="F357" s="83">
        <f>TDCTRIBE!AA365</f>
        <v>404404.65361450007</v>
      </c>
      <c r="G357" s="83">
        <f>TDCTRIBE!AB365</f>
        <v>437963.79484900006</v>
      </c>
      <c r="H357" s="83">
        <f>TDCTRIBE!AC365</f>
        <v>472123.07284099999</v>
      </c>
      <c r="O357" s="9"/>
      <c r="P357" s="1"/>
      <c r="Q357" s="1"/>
      <c r="R357" s="1"/>
      <c r="S357" s="1"/>
      <c r="T357" s="1"/>
      <c r="U357" s="1"/>
      <c r="V357" s="9"/>
      <c r="W357" s="3"/>
      <c r="X357" s="4"/>
      <c r="Y357" s="1"/>
      <c r="Z357" s="1"/>
      <c r="AA357" s="1"/>
      <c r="AB357" s="1"/>
      <c r="AC357" s="1"/>
      <c r="AD357" s="3"/>
      <c r="AE357" s="3"/>
      <c r="AF357" s="5"/>
      <c r="AG357" s="5"/>
      <c r="AH357" s="5"/>
      <c r="AI357" s="5"/>
      <c r="AJ357" s="6"/>
      <c r="AK357" s="6"/>
      <c r="AL357" s="12"/>
      <c r="AM357" s="12"/>
      <c r="AN357" s="12"/>
      <c r="AO357" s="12"/>
      <c r="AP357" s="12"/>
    </row>
    <row r="358" spans="1:42" ht="15" x14ac:dyDescent="0.25">
      <c r="A358" s="82" t="str">
        <f>TDCTRIBE!I366</f>
        <v>Northwest</v>
      </c>
      <c r="B358" s="82" t="str">
        <f>TDCTRIBE!B366</f>
        <v>OR</v>
      </c>
      <c r="C358" s="82" t="str">
        <f>TDCTRIBE!F366</f>
        <v>Coos Bay Confederated Tribes</v>
      </c>
      <c r="D358" s="83">
        <f>TDCTRIBE!Y366</f>
        <v>327246.18002999999</v>
      </c>
      <c r="E358" s="83">
        <f>TDCTRIBE!Z366</f>
        <v>361669.66743600002</v>
      </c>
      <c r="F358" s="83">
        <f>TDCTRIBE!AA366</f>
        <v>410020.55602200009</v>
      </c>
      <c r="G358" s="83">
        <f>TDCTRIBE!AB366</f>
        <v>444189.43661400006</v>
      </c>
      <c r="H358" s="83">
        <f>TDCTRIBE!AC366</f>
        <v>478859.45322600007</v>
      </c>
      <c r="O358" s="9"/>
      <c r="P358" s="1"/>
      <c r="Q358" s="1"/>
      <c r="R358" s="1"/>
      <c r="S358" s="1"/>
      <c r="T358" s="1"/>
      <c r="U358" s="1"/>
      <c r="V358" s="9"/>
      <c r="W358" s="3"/>
      <c r="X358" s="4"/>
      <c r="Y358" s="1"/>
      <c r="Z358" s="1"/>
      <c r="AA358" s="1"/>
      <c r="AB358" s="1"/>
      <c r="AC358" s="1"/>
      <c r="AD358" s="3"/>
      <c r="AE358" s="3"/>
      <c r="AF358" s="5"/>
      <c r="AG358" s="5"/>
      <c r="AH358" s="5"/>
      <c r="AI358" s="5"/>
      <c r="AJ358" s="6"/>
      <c r="AK358" s="6"/>
      <c r="AL358" s="12"/>
      <c r="AM358" s="12"/>
      <c r="AN358" s="12"/>
      <c r="AO358" s="12"/>
      <c r="AP358" s="12"/>
    </row>
    <row r="359" spans="1:42" ht="15" x14ac:dyDescent="0.25">
      <c r="A359" s="82" t="str">
        <f>TDCTRIBE!I367</f>
        <v>Northwest</v>
      </c>
      <c r="B359" s="82" t="str">
        <f>TDCTRIBE!B367</f>
        <v>OR</v>
      </c>
      <c r="C359" s="82" t="str">
        <f>TDCTRIBE!F367</f>
        <v>Coquille Indian Tribe</v>
      </c>
      <c r="D359" s="83">
        <f>TDCTRIBE!Y367</f>
        <v>327246.18002999999</v>
      </c>
      <c r="E359" s="83">
        <f>TDCTRIBE!Z367</f>
        <v>361669.66743600002</v>
      </c>
      <c r="F359" s="83">
        <f>TDCTRIBE!AA367</f>
        <v>410020.55602200009</v>
      </c>
      <c r="G359" s="83">
        <f>TDCTRIBE!AB367</f>
        <v>444189.43661400006</v>
      </c>
      <c r="H359" s="83">
        <f>TDCTRIBE!AC367</f>
        <v>478859.45322600007</v>
      </c>
      <c r="O359" s="9"/>
      <c r="P359" s="1"/>
      <c r="Q359" s="1"/>
      <c r="R359" s="1"/>
      <c r="S359" s="1"/>
      <c r="T359" s="1"/>
      <c r="U359" s="1"/>
      <c r="V359" s="9"/>
      <c r="W359" s="3"/>
      <c r="X359" s="4"/>
      <c r="Y359" s="1"/>
      <c r="Z359" s="1"/>
      <c r="AA359" s="1"/>
      <c r="AB359" s="1"/>
      <c r="AC359" s="1"/>
      <c r="AD359" s="3"/>
      <c r="AE359" s="3"/>
      <c r="AF359" s="5"/>
      <c r="AG359" s="5"/>
      <c r="AH359" s="5"/>
      <c r="AI359" s="5"/>
      <c r="AJ359" s="6"/>
      <c r="AK359" s="6"/>
      <c r="AL359" s="12"/>
      <c r="AM359" s="12"/>
      <c r="AN359" s="12"/>
      <c r="AO359" s="12"/>
      <c r="AP359" s="12"/>
    </row>
    <row r="360" spans="1:42" ht="15" x14ac:dyDescent="0.25">
      <c r="A360" s="82" t="str">
        <f>TDCTRIBE!I368</f>
        <v>Northwest</v>
      </c>
      <c r="B360" s="82" t="str">
        <f>TDCTRIBE!B368</f>
        <v>OR</v>
      </c>
      <c r="C360" s="82" t="str">
        <f>TDCTRIBE!F368</f>
        <v>Cow Creek Tribes</v>
      </c>
      <c r="D360" s="83">
        <f>TDCTRIBE!Y368</f>
        <v>327246.18002999999</v>
      </c>
      <c r="E360" s="83">
        <f>TDCTRIBE!Z368</f>
        <v>361669.66743600002</v>
      </c>
      <c r="F360" s="83">
        <f>TDCTRIBE!AA368</f>
        <v>410020.55602200009</v>
      </c>
      <c r="G360" s="83">
        <f>TDCTRIBE!AB368</f>
        <v>444189.43661400006</v>
      </c>
      <c r="H360" s="83">
        <f>TDCTRIBE!AC368</f>
        <v>478859.45322600007</v>
      </c>
      <c r="O360" s="9"/>
      <c r="P360" s="1"/>
      <c r="Q360" s="1"/>
      <c r="R360" s="1"/>
      <c r="S360" s="7"/>
      <c r="T360" s="1"/>
      <c r="U360" s="1"/>
      <c r="V360" s="9"/>
      <c r="W360" s="3"/>
      <c r="X360" s="4"/>
      <c r="Y360" s="1"/>
      <c r="Z360" s="1"/>
      <c r="AA360" s="1"/>
      <c r="AB360" s="1"/>
      <c r="AC360" s="1"/>
      <c r="AD360" s="3"/>
      <c r="AE360" s="3"/>
      <c r="AF360" s="5"/>
      <c r="AG360" s="5"/>
      <c r="AH360" s="5"/>
      <c r="AI360" s="5"/>
      <c r="AJ360" s="6"/>
      <c r="AK360" s="6"/>
      <c r="AL360" s="12"/>
      <c r="AM360" s="12"/>
      <c r="AN360" s="12"/>
      <c r="AO360" s="12"/>
      <c r="AP360" s="12"/>
    </row>
    <row r="361" spans="1:42" ht="15" x14ac:dyDescent="0.25">
      <c r="A361" s="82" t="str">
        <f>TDCTRIBE!I369</f>
        <v>Northwest</v>
      </c>
      <c r="B361" s="82" t="str">
        <f>TDCTRIBE!B369</f>
        <v>OR</v>
      </c>
      <c r="C361" s="82" t="str">
        <f>TDCTRIBE!F369</f>
        <v>Grand Ronde Confederated Tribes</v>
      </c>
      <c r="D361" s="83">
        <f>TDCTRIBE!Y369</f>
        <v>330415.900815</v>
      </c>
      <c r="E361" s="83">
        <f>TDCTRIBE!Z369</f>
        <v>365170.60530299996</v>
      </c>
      <c r="F361" s="83">
        <f>TDCTRIBE!AA369</f>
        <v>413986.23924350005</v>
      </c>
      <c r="G361" s="83">
        <f>TDCTRIBE!AB369</f>
        <v>448483.80409699999</v>
      </c>
      <c r="H361" s="83">
        <f>TDCTRIBE!AC369</f>
        <v>483488.69197300007</v>
      </c>
      <c r="O361" s="10"/>
      <c r="P361" s="1"/>
      <c r="Q361" s="1"/>
      <c r="R361" s="1"/>
      <c r="S361" s="1"/>
      <c r="T361" s="1"/>
      <c r="U361" s="1"/>
      <c r="V361" s="9"/>
      <c r="W361" s="3"/>
      <c r="X361" s="4"/>
      <c r="Y361" s="7"/>
      <c r="Z361" s="1"/>
      <c r="AA361" s="1"/>
      <c r="AB361" s="1"/>
      <c r="AC361" s="1"/>
      <c r="AD361" s="3"/>
      <c r="AE361" s="3"/>
      <c r="AF361" s="5"/>
      <c r="AG361" s="5"/>
      <c r="AH361" s="5"/>
      <c r="AI361" s="5"/>
      <c r="AJ361" s="6"/>
      <c r="AK361" s="6"/>
      <c r="AL361" s="12"/>
      <c r="AM361" s="12"/>
      <c r="AN361" s="12"/>
      <c r="AO361" s="12"/>
      <c r="AP361" s="12"/>
    </row>
    <row r="362" spans="1:42" ht="15" x14ac:dyDescent="0.25">
      <c r="A362" s="82" t="str">
        <f>TDCTRIBE!I370</f>
        <v>Northwest</v>
      </c>
      <c r="B362" s="82" t="str">
        <f>TDCTRIBE!B370</f>
        <v>OR</v>
      </c>
      <c r="C362" s="82" t="str">
        <f>TDCTRIBE!F370</f>
        <v>Klamath Indian Tribe</v>
      </c>
      <c r="D362" s="83">
        <f>TDCTRIBE!Y370</f>
        <v>318101.42710500001</v>
      </c>
      <c r="E362" s="83">
        <f>TDCTRIBE!Z370</f>
        <v>351467.92130099999</v>
      </c>
      <c r="F362" s="83">
        <f>TDCTRIBE!AA370</f>
        <v>398313.57631450007</v>
      </c>
      <c r="G362" s="83">
        <f>TDCTRIBE!AB370</f>
        <v>431429.710999</v>
      </c>
      <c r="H362" s="83">
        <f>TDCTRIBE!AC370</f>
        <v>465090.29569099995</v>
      </c>
      <c r="O362" s="9"/>
      <c r="P362" s="1"/>
      <c r="Q362" s="1"/>
      <c r="R362" s="1"/>
      <c r="S362" s="1"/>
      <c r="T362" s="1"/>
      <c r="U362" s="1"/>
      <c r="V362" s="9"/>
      <c r="W362" s="3"/>
      <c r="X362" s="4"/>
      <c r="Y362" s="1"/>
      <c r="Z362" s="1"/>
      <c r="AA362" s="1"/>
      <c r="AB362" s="1"/>
      <c r="AC362" s="1"/>
      <c r="AD362" s="3"/>
      <c r="AE362" s="3"/>
      <c r="AF362" s="5"/>
      <c r="AG362" s="5"/>
      <c r="AH362" s="5"/>
      <c r="AI362" s="5"/>
      <c r="AJ362" s="6"/>
      <c r="AK362" s="6"/>
      <c r="AL362" s="12"/>
      <c r="AM362" s="12"/>
      <c r="AN362" s="12"/>
      <c r="AO362" s="12"/>
      <c r="AP362" s="12"/>
    </row>
    <row r="363" spans="1:42" ht="15" x14ac:dyDescent="0.25">
      <c r="A363" s="82" t="str">
        <f>TDCTRIBE!I371</f>
        <v>Northwest</v>
      </c>
      <c r="B363" s="82" t="str">
        <f>TDCTRIBE!B371</f>
        <v>OR</v>
      </c>
      <c r="C363" s="82" t="str">
        <f>TDCTRIBE!F371</f>
        <v>Siletz Confederated Tribes</v>
      </c>
      <c r="D363" s="83">
        <f>TDCTRIBE!Y371</f>
        <v>330415.900815</v>
      </c>
      <c r="E363" s="83">
        <f>TDCTRIBE!Z371</f>
        <v>365170.60530299996</v>
      </c>
      <c r="F363" s="83">
        <f>TDCTRIBE!AA371</f>
        <v>413986.23924350005</v>
      </c>
      <c r="G363" s="83">
        <f>TDCTRIBE!AB371</f>
        <v>448483.80409699999</v>
      </c>
      <c r="H363" s="83">
        <f>TDCTRIBE!AC371</f>
        <v>483488.69197300007</v>
      </c>
      <c r="O363" s="9"/>
      <c r="P363" s="1"/>
      <c r="Q363" s="1"/>
      <c r="R363" s="1"/>
      <c r="S363" s="1"/>
      <c r="T363" s="1"/>
      <c r="U363" s="1"/>
      <c r="V363" s="9"/>
      <c r="W363" s="3"/>
      <c r="X363" s="4"/>
      <c r="Y363" s="7"/>
      <c r="Z363" s="1"/>
      <c r="AA363" s="1"/>
      <c r="AB363" s="1"/>
      <c r="AC363" s="1"/>
      <c r="AD363" s="3"/>
      <c r="AE363" s="3"/>
      <c r="AF363" s="5"/>
      <c r="AG363" s="5"/>
      <c r="AH363" s="5"/>
      <c r="AI363" s="5"/>
      <c r="AJ363" s="6"/>
      <c r="AK363" s="6"/>
      <c r="AL363" s="12"/>
      <c r="AM363" s="12"/>
      <c r="AN363" s="12"/>
      <c r="AO363" s="12"/>
      <c r="AP363" s="12"/>
    </row>
    <row r="364" spans="1:42" ht="15" x14ac:dyDescent="0.25">
      <c r="A364" s="82" t="str">
        <f>TDCTRIBE!I372</f>
        <v>Northwest</v>
      </c>
      <c r="B364" s="82" t="str">
        <f>TDCTRIBE!B372</f>
        <v>OR</v>
      </c>
      <c r="C364" s="82" t="str">
        <f>TDCTRIBE!F372</f>
        <v>Umatilla Confederated Tribes</v>
      </c>
      <c r="D364" s="83">
        <f>TDCTRIBE!Y372</f>
        <v>322764.90592500003</v>
      </c>
      <c r="E364" s="83">
        <f>TDCTRIBE!Z372</f>
        <v>356644.06123499997</v>
      </c>
      <c r="F364" s="83">
        <f>TDCTRIBE!AA372</f>
        <v>404214.58365750004</v>
      </c>
      <c r="G364" s="83">
        <f>TDCTRIBE!AB372</f>
        <v>437840.41801500006</v>
      </c>
      <c r="H364" s="83">
        <f>TDCTRIBE!AC372</f>
        <v>472004.51413500006</v>
      </c>
      <c r="O364" s="9"/>
      <c r="P364" s="1"/>
      <c r="Q364" s="1"/>
      <c r="R364" s="1"/>
      <c r="S364" s="1"/>
      <c r="T364" s="1"/>
      <c r="U364" s="1"/>
      <c r="V364" s="9"/>
      <c r="W364" s="3"/>
      <c r="X364" s="4"/>
      <c r="Y364" s="1"/>
      <c r="Z364" s="1"/>
      <c r="AA364" s="1"/>
      <c r="AB364" s="1"/>
      <c r="AC364" s="1"/>
      <c r="AD364" s="3"/>
      <c r="AE364" s="3"/>
      <c r="AF364" s="5"/>
      <c r="AG364" s="5"/>
      <c r="AH364" s="5"/>
      <c r="AI364" s="5"/>
      <c r="AJ364" s="6"/>
      <c r="AK364" s="6"/>
      <c r="AL364" s="12"/>
      <c r="AM364" s="12"/>
      <c r="AN364" s="12"/>
      <c r="AO364" s="12"/>
      <c r="AP364" s="12"/>
    </row>
    <row r="365" spans="1:42" ht="15" x14ac:dyDescent="0.25">
      <c r="A365" s="82" t="str">
        <f>TDCTRIBE!I373</f>
        <v>Northwest</v>
      </c>
      <c r="B365" s="82" t="str">
        <f>TDCTRIBE!B373</f>
        <v>OR</v>
      </c>
      <c r="C365" s="82" t="str">
        <f>TDCTRIBE!F373</f>
        <v>Warm Springs Confederated Tribes</v>
      </c>
      <c r="D365" s="83">
        <f>TDCTRIBE!Y373</f>
        <v>326116.83142500004</v>
      </c>
      <c r="E365" s="83">
        <f>TDCTRIBE!Z373</f>
        <v>360295.53283500002</v>
      </c>
      <c r="F365" s="83">
        <f>TDCTRIBE!AA373</f>
        <v>408275.30185750005</v>
      </c>
      <c r="G365" s="83">
        <f>TDCTRIBE!AB373</f>
        <v>442196.47391499998</v>
      </c>
      <c r="H365" s="83">
        <f>TDCTRIBE!AC373</f>
        <v>476693.03223499993</v>
      </c>
      <c r="O365" s="9"/>
      <c r="P365" s="1"/>
      <c r="Q365" s="1"/>
      <c r="R365" s="1"/>
      <c r="S365" s="1"/>
      <c r="T365" s="1"/>
      <c r="U365" s="1"/>
      <c r="V365" s="9"/>
      <c r="W365" s="3"/>
      <c r="X365" s="4"/>
      <c r="Y365" s="1"/>
      <c r="Z365" s="1"/>
      <c r="AA365" s="1"/>
      <c r="AB365" s="1"/>
      <c r="AC365" s="1"/>
      <c r="AD365" s="3"/>
      <c r="AE365" s="3"/>
      <c r="AF365" s="5"/>
      <c r="AG365" s="5"/>
      <c r="AH365" s="5"/>
      <c r="AI365" s="5"/>
      <c r="AJ365" s="6"/>
      <c r="AK365" s="6"/>
      <c r="AL365" s="12"/>
      <c r="AM365" s="12"/>
      <c r="AN365" s="12"/>
      <c r="AO365" s="12"/>
      <c r="AP365" s="12"/>
    </row>
    <row r="366" spans="1:42" ht="15" x14ac:dyDescent="0.25">
      <c r="A366" s="82" t="str">
        <f>TDCTRIBE!I374</f>
        <v>Northwest</v>
      </c>
      <c r="B366" s="82" t="str">
        <f>TDCTRIBE!B374</f>
        <v>WA</v>
      </c>
      <c r="C366" s="82" t="str">
        <f>TDCTRIBE!F374</f>
        <v>Chehalis Confederated Tribes</v>
      </c>
      <c r="D366" s="83">
        <f>TDCTRIBE!Y374</f>
        <v>340872.20706000004</v>
      </c>
      <c r="E366" s="83">
        <f>TDCTRIBE!Z374</f>
        <v>376897.01977199997</v>
      </c>
      <c r="F366" s="83">
        <f>TDCTRIBE!AA374</f>
        <v>427533.50809399999</v>
      </c>
      <c r="G366" s="83">
        <f>TDCTRIBE!AB374</f>
        <v>463298.18082800001</v>
      </c>
      <c r="H366" s="83">
        <f>TDCTRIBE!AC374</f>
        <v>499483.54985200008</v>
      </c>
      <c r="O366" s="9"/>
      <c r="P366" s="1"/>
      <c r="Q366" s="1"/>
      <c r="R366" s="1"/>
      <c r="S366" s="1"/>
      <c r="T366" s="1"/>
      <c r="U366" s="1"/>
      <c r="V366" s="9"/>
      <c r="W366" s="3"/>
      <c r="X366" s="4"/>
      <c r="Y366" s="1"/>
      <c r="Z366" s="1"/>
      <c r="AA366" s="1"/>
      <c r="AB366" s="1"/>
      <c r="AC366" s="1"/>
      <c r="AD366" s="3"/>
      <c r="AE366" s="3"/>
      <c r="AF366" s="5"/>
      <c r="AG366" s="5"/>
      <c r="AH366" s="5"/>
      <c r="AI366" s="5"/>
      <c r="AJ366" s="6"/>
      <c r="AK366" s="6"/>
      <c r="AL366" s="12"/>
      <c r="AM366" s="12"/>
      <c r="AN366" s="12"/>
      <c r="AO366" s="12"/>
      <c r="AP366" s="12"/>
    </row>
    <row r="367" spans="1:42" ht="15" x14ac:dyDescent="0.25">
      <c r="A367" s="82" t="str">
        <f>TDCTRIBE!I375</f>
        <v>Northwest</v>
      </c>
      <c r="B367" s="82" t="str">
        <f>TDCTRIBE!B375</f>
        <v>WA</v>
      </c>
      <c r="C367" s="82" t="str">
        <f>TDCTRIBE!F375</f>
        <v>Colville Confederated Tribes</v>
      </c>
      <c r="D367" s="83">
        <f>TDCTRIBE!Y375</f>
        <v>328011.119205</v>
      </c>
      <c r="E367" s="83">
        <f>TDCTRIBE!Z375</f>
        <v>362742.73457099998</v>
      </c>
      <c r="F367" s="83">
        <f>TDCTRIBE!AA375</f>
        <v>411575.74022949999</v>
      </c>
      <c r="G367" s="83">
        <f>TDCTRIBE!AB375</f>
        <v>446059.02247899992</v>
      </c>
      <c r="H367" s="83">
        <f>TDCTRIBE!AC375</f>
        <v>480907.31551099988</v>
      </c>
      <c r="O367" s="9"/>
      <c r="P367" s="1"/>
      <c r="Q367" s="1"/>
      <c r="R367" s="1"/>
      <c r="S367" s="1"/>
      <c r="T367" s="1"/>
      <c r="U367" s="1"/>
      <c r="V367" s="9"/>
      <c r="W367" s="3"/>
      <c r="X367" s="4"/>
      <c r="Y367" s="1"/>
      <c r="Z367" s="1"/>
      <c r="AA367" s="1"/>
      <c r="AB367" s="1"/>
      <c r="AC367" s="1"/>
      <c r="AD367" s="3"/>
      <c r="AE367" s="3"/>
      <c r="AF367" s="5"/>
      <c r="AG367" s="5"/>
      <c r="AH367" s="5"/>
      <c r="AI367" s="5"/>
      <c r="AJ367" s="6"/>
      <c r="AK367" s="6"/>
      <c r="AL367" s="12"/>
      <c r="AM367" s="12"/>
      <c r="AN367" s="12"/>
      <c r="AO367" s="12"/>
      <c r="AP367" s="12"/>
    </row>
    <row r="368" spans="1:42" ht="15" x14ac:dyDescent="0.25">
      <c r="A368" s="82" t="str">
        <f>TDCTRIBE!I376</f>
        <v>Northwest</v>
      </c>
      <c r="B368" s="82" t="str">
        <f>TDCTRIBE!B376</f>
        <v>WA</v>
      </c>
      <c r="C368" s="82" t="str">
        <f>TDCTRIBE!F376</f>
        <v>Cowlitz</v>
      </c>
      <c r="D368" s="83">
        <f>TDCTRIBE!Y376</f>
        <v>322400.49649499997</v>
      </c>
      <c r="E368" s="83">
        <f>TDCTRIBE!Z376</f>
        <v>356342.99376900005</v>
      </c>
      <c r="F368" s="83">
        <f>TDCTRIBE!AA376</f>
        <v>404024.51370050007</v>
      </c>
      <c r="G368" s="83">
        <f>TDCTRIBE!AB376</f>
        <v>437717.04118100007</v>
      </c>
      <c r="H368" s="83">
        <f>TDCTRIBE!AC376</f>
        <v>471885.95542900002</v>
      </c>
      <c r="O368" s="9"/>
      <c r="P368" s="1"/>
      <c r="Q368" s="1"/>
      <c r="R368" s="1"/>
      <c r="S368" s="1"/>
      <c r="T368" s="1"/>
      <c r="U368" s="1"/>
      <c r="V368" s="9"/>
      <c r="W368" s="3"/>
      <c r="X368" s="4"/>
      <c r="Y368" s="7"/>
      <c r="Z368" s="1"/>
      <c r="AA368" s="1"/>
      <c r="AB368" s="1"/>
      <c r="AC368" s="1"/>
      <c r="AD368" s="3"/>
      <c r="AE368" s="3"/>
      <c r="AF368" s="5"/>
      <c r="AG368" s="5"/>
      <c r="AH368" s="5"/>
      <c r="AI368" s="5"/>
      <c r="AJ368" s="6"/>
      <c r="AK368" s="6"/>
      <c r="AL368" s="12"/>
      <c r="AM368" s="12"/>
      <c r="AN368" s="12"/>
      <c r="AO368" s="12"/>
      <c r="AP368" s="12"/>
    </row>
    <row r="369" spans="1:42" ht="15" x14ac:dyDescent="0.25">
      <c r="A369" s="82" t="str">
        <f>TDCTRIBE!I377</f>
        <v>Northwest</v>
      </c>
      <c r="B369" s="82" t="str">
        <f>TDCTRIBE!B377</f>
        <v>WA</v>
      </c>
      <c r="C369" s="82" t="str">
        <f>TDCTRIBE!F377</f>
        <v>Hoh Indian Tribe</v>
      </c>
      <c r="D369" s="83">
        <f>TDCTRIBE!Y377</f>
        <v>351692.92273500003</v>
      </c>
      <c r="E369" s="83">
        <f>TDCTRIBE!Z377</f>
        <v>388924.50170699996</v>
      </c>
      <c r="F369" s="83">
        <f>TDCTRIBE!AA377</f>
        <v>441270.84690150007</v>
      </c>
      <c r="G369" s="83">
        <f>TDCTRIBE!AB377</f>
        <v>478235.93439300009</v>
      </c>
      <c r="H369" s="83">
        <f>TDCTRIBE!AC377</f>
        <v>515596.96643700002</v>
      </c>
      <c r="O369" s="9"/>
      <c r="P369" s="1"/>
      <c r="Q369" s="1"/>
      <c r="R369" s="1"/>
      <c r="S369" s="1"/>
      <c r="T369" s="1"/>
      <c r="U369" s="1"/>
      <c r="V369" s="9"/>
      <c r="W369" s="3"/>
      <c r="X369" s="4"/>
      <c r="Y369" s="1"/>
      <c r="Z369" s="1"/>
      <c r="AA369" s="1"/>
      <c r="AB369" s="1"/>
      <c r="AC369" s="1"/>
      <c r="AD369" s="3"/>
      <c r="AE369" s="3"/>
      <c r="AF369" s="5"/>
      <c r="AG369" s="5"/>
      <c r="AH369" s="5"/>
      <c r="AI369" s="5"/>
      <c r="AJ369" s="6"/>
      <c r="AK369" s="6"/>
      <c r="AL369" s="12"/>
      <c r="AM369" s="12"/>
      <c r="AN369" s="12"/>
      <c r="AO369" s="12"/>
      <c r="AP369" s="12"/>
    </row>
    <row r="370" spans="1:42" ht="15" x14ac:dyDescent="0.25">
      <c r="A370" s="82" t="str">
        <f>TDCTRIBE!I378</f>
        <v>Northwest</v>
      </c>
      <c r="B370" s="82" t="str">
        <f>TDCTRIBE!B378</f>
        <v>WA</v>
      </c>
      <c r="C370" s="82" t="str">
        <f>TDCTRIBE!F378</f>
        <v>Jamestown S'Kallam Tribe</v>
      </c>
      <c r="D370" s="83">
        <f>TDCTRIBE!Y378</f>
        <v>339742.85845500004</v>
      </c>
      <c r="E370" s="83">
        <f>TDCTRIBE!Z378</f>
        <v>375522.88517099991</v>
      </c>
      <c r="F370" s="83">
        <f>TDCTRIBE!AA378</f>
        <v>425788.2539295</v>
      </c>
      <c r="G370" s="83">
        <f>TDCTRIBE!AB378</f>
        <v>461305.21812899993</v>
      </c>
      <c r="H370" s="83">
        <f>TDCTRIBE!AC378</f>
        <v>497317.12886099995</v>
      </c>
      <c r="O370" s="9"/>
      <c r="P370" s="1"/>
      <c r="Q370" s="1"/>
      <c r="R370" s="1"/>
      <c r="S370" s="1"/>
      <c r="T370" s="1"/>
      <c r="U370" s="1"/>
      <c r="V370" s="9"/>
      <c r="W370" s="3"/>
      <c r="X370" s="4"/>
      <c r="Y370" s="1"/>
      <c r="Z370" s="1"/>
      <c r="AA370" s="1"/>
      <c r="AB370" s="1"/>
      <c r="AC370" s="1"/>
      <c r="AD370" s="3"/>
      <c r="AE370" s="3"/>
      <c r="AF370" s="5"/>
      <c r="AG370" s="5"/>
      <c r="AH370" s="5"/>
      <c r="AI370" s="5"/>
      <c r="AJ370" s="6"/>
      <c r="AK370" s="6"/>
      <c r="AL370" s="12"/>
      <c r="AM370" s="12"/>
      <c r="AN370" s="12"/>
      <c r="AO370" s="12"/>
      <c r="AP370" s="12"/>
    </row>
    <row r="371" spans="1:42" ht="15" x14ac:dyDescent="0.25">
      <c r="A371" s="82" t="str">
        <f>TDCTRIBE!I379</f>
        <v>Northwest</v>
      </c>
      <c r="B371" s="82" t="str">
        <f>TDCTRIBE!B379</f>
        <v>WA</v>
      </c>
      <c r="C371" s="82" t="str">
        <f>TDCTRIBE!F379</f>
        <v>Kalispel Indian Community</v>
      </c>
      <c r="D371" s="83">
        <f>TDCTRIBE!Y379</f>
        <v>331363.04470500001</v>
      </c>
      <c r="E371" s="83">
        <f>TDCTRIBE!Z379</f>
        <v>366394.20617099997</v>
      </c>
      <c r="F371" s="83">
        <f>TDCTRIBE!AA379</f>
        <v>415636.45842949999</v>
      </c>
      <c r="G371" s="83">
        <f>TDCTRIBE!AB379</f>
        <v>450415.07837900001</v>
      </c>
      <c r="H371" s="83">
        <f>TDCTRIBE!AC379</f>
        <v>485595.83361099998</v>
      </c>
      <c r="O371" s="9"/>
      <c r="P371" s="1"/>
      <c r="Q371" s="1"/>
      <c r="R371" s="1"/>
      <c r="S371" s="1"/>
      <c r="T371" s="1"/>
      <c r="U371" s="1"/>
      <c r="V371" s="9"/>
      <c r="W371" s="3"/>
      <c r="X371" s="4"/>
      <c r="Y371" s="1"/>
      <c r="Z371" s="1"/>
      <c r="AA371" s="1"/>
      <c r="AB371" s="1"/>
      <c r="AC371" s="1"/>
      <c r="AD371" s="3"/>
      <c r="AE371" s="3"/>
      <c r="AF371" s="5"/>
      <c r="AG371" s="5"/>
      <c r="AH371" s="5"/>
      <c r="AI371" s="5"/>
      <c r="AJ371" s="6"/>
      <c r="AK371" s="6"/>
      <c r="AL371" s="12"/>
      <c r="AM371" s="12"/>
      <c r="AN371" s="12"/>
      <c r="AO371" s="12"/>
      <c r="AP371" s="12"/>
    </row>
    <row r="372" spans="1:42" ht="15" x14ac:dyDescent="0.25">
      <c r="A372" s="82" t="str">
        <f>TDCTRIBE!I380</f>
        <v>Northwest</v>
      </c>
      <c r="B372" s="82" t="str">
        <f>TDCTRIBE!B380</f>
        <v>WA</v>
      </c>
      <c r="C372" s="82" t="str">
        <f>TDCTRIBE!F380</f>
        <v>Lower Elwha Tribal Community</v>
      </c>
      <c r="D372" s="83">
        <f>TDCTRIBE!Y380</f>
        <v>339742.85845500004</v>
      </c>
      <c r="E372" s="83">
        <f>TDCTRIBE!Z380</f>
        <v>375522.88517099991</v>
      </c>
      <c r="F372" s="83">
        <f>TDCTRIBE!AA380</f>
        <v>425788.2539295</v>
      </c>
      <c r="G372" s="83">
        <f>TDCTRIBE!AB380</f>
        <v>461305.21812899993</v>
      </c>
      <c r="H372" s="83">
        <f>TDCTRIBE!AC380</f>
        <v>497317.12886099995</v>
      </c>
      <c r="O372" s="9"/>
      <c r="P372" s="1"/>
      <c r="Q372" s="1"/>
      <c r="R372" s="1"/>
      <c r="S372" s="1"/>
      <c r="T372" s="1"/>
      <c r="U372" s="1"/>
      <c r="V372" s="9"/>
      <c r="W372" s="3"/>
      <c r="X372" s="4"/>
      <c r="Y372" s="1"/>
      <c r="Z372" s="1"/>
      <c r="AA372" s="1"/>
      <c r="AB372" s="1"/>
      <c r="AC372" s="1"/>
      <c r="AD372" s="3"/>
      <c r="AE372" s="3"/>
      <c r="AF372" s="5"/>
      <c r="AG372" s="5"/>
      <c r="AH372" s="5"/>
      <c r="AI372" s="5"/>
      <c r="AJ372" s="6"/>
      <c r="AK372" s="6"/>
      <c r="AL372" s="12"/>
      <c r="AM372" s="12"/>
      <c r="AN372" s="12"/>
      <c r="AO372" s="12"/>
      <c r="AP372" s="12"/>
    </row>
    <row r="373" spans="1:42" ht="15" x14ac:dyDescent="0.25">
      <c r="A373" s="82" t="str">
        <f>TDCTRIBE!I381</f>
        <v>Northwest</v>
      </c>
      <c r="B373" s="82" t="str">
        <f>TDCTRIBE!B381</f>
        <v>WA</v>
      </c>
      <c r="C373" s="82" t="str">
        <f>TDCTRIBE!F381</f>
        <v>Lummi Tribe</v>
      </c>
      <c r="D373" s="83">
        <f>TDCTRIBE!Y381</f>
        <v>346264.50474</v>
      </c>
      <c r="E373" s="83">
        <f>TDCTRIBE!Z381</f>
        <v>382675.29463799996</v>
      </c>
      <c r="F373" s="83">
        <f>TDCTRIBE!AA381</f>
        <v>433814.65535100002</v>
      </c>
      <c r="G373" s="83">
        <f>TDCTRIBE!AB381</f>
        <v>469955.641512</v>
      </c>
      <c r="H373" s="83">
        <f>TDCTRIBE!AC381</f>
        <v>506634.88570800005</v>
      </c>
      <c r="O373" s="9"/>
      <c r="P373" s="1"/>
      <c r="Q373" s="1"/>
      <c r="R373" s="1"/>
      <c r="S373" s="1"/>
      <c r="T373" s="1"/>
      <c r="U373" s="1"/>
      <c r="V373" s="9"/>
      <c r="W373" s="3"/>
      <c r="X373" s="4"/>
      <c r="Y373" s="7"/>
      <c r="Z373" s="1"/>
      <c r="AA373" s="1"/>
      <c r="AB373" s="1"/>
      <c r="AC373" s="1"/>
      <c r="AD373" s="3"/>
      <c r="AE373" s="3"/>
      <c r="AF373" s="5"/>
      <c r="AG373" s="5"/>
      <c r="AH373" s="5"/>
      <c r="AI373" s="5"/>
      <c r="AJ373" s="6"/>
      <c r="AK373" s="6"/>
      <c r="AL373" s="12"/>
      <c r="AM373" s="12"/>
      <c r="AN373" s="12"/>
      <c r="AO373" s="12"/>
      <c r="AP373" s="12"/>
    </row>
    <row r="374" spans="1:42" ht="15" x14ac:dyDescent="0.25">
      <c r="A374" s="82" t="str">
        <f>TDCTRIBE!I382</f>
        <v>Northwest</v>
      </c>
      <c r="B374" s="82" t="str">
        <f>TDCTRIBE!B382</f>
        <v>WA</v>
      </c>
      <c r="C374" s="82" t="str">
        <f>TDCTRIBE!F382</f>
        <v>Makah Indian Tribe</v>
      </c>
      <c r="D374" s="83">
        <f>TDCTRIBE!Y382</f>
        <v>351692.92273500003</v>
      </c>
      <c r="E374" s="83">
        <f>TDCTRIBE!Z382</f>
        <v>388924.50170699996</v>
      </c>
      <c r="F374" s="83">
        <f>TDCTRIBE!AA382</f>
        <v>441270.84690150007</v>
      </c>
      <c r="G374" s="83">
        <f>TDCTRIBE!AB382</f>
        <v>478235.93439300009</v>
      </c>
      <c r="H374" s="83">
        <f>TDCTRIBE!AC382</f>
        <v>515596.96643700002</v>
      </c>
      <c r="O374" s="9"/>
      <c r="P374" s="1"/>
      <c r="Q374" s="1"/>
      <c r="R374" s="1"/>
      <c r="S374" s="1"/>
      <c r="T374" s="1"/>
      <c r="U374" s="1"/>
      <c r="V374" s="9"/>
      <c r="W374" s="3"/>
      <c r="X374" s="4"/>
      <c r="Y374" s="1"/>
      <c r="Z374" s="1"/>
      <c r="AA374" s="1"/>
      <c r="AB374" s="1"/>
      <c r="AC374" s="1"/>
      <c r="AD374" s="3"/>
      <c r="AE374" s="3"/>
      <c r="AF374" s="5"/>
      <c r="AG374" s="5"/>
      <c r="AH374" s="5"/>
      <c r="AI374" s="5"/>
      <c r="AJ374" s="6"/>
      <c r="AK374" s="6"/>
      <c r="AL374" s="12"/>
      <c r="AM374" s="12"/>
      <c r="AN374" s="12"/>
      <c r="AO374" s="12"/>
      <c r="AP374" s="12"/>
    </row>
    <row r="375" spans="1:42" ht="15" x14ac:dyDescent="0.25">
      <c r="A375" s="82" t="str">
        <f>TDCTRIBE!I383</f>
        <v>Northwest</v>
      </c>
      <c r="B375" s="82" t="str">
        <f>TDCTRIBE!B383</f>
        <v>WA</v>
      </c>
      <c r="C375" s="82" t="str">
        <f>TDCTRIBE!F383</f>
        <v>Muckleshoot Indian Tribe</v>
      </c>
      <c r="D375" s="83">
        <f>TDCTRIBE!Y383</f>
        <v>355227.05295000004</v>
      </c>
      <c r="E375" s="83">
        <f>TDCTRIBE!Z383</f>
        <v>392726.50704</v>
      </c>
      <c r="F375" s="83">
        <f>TDCTRIBE!AA383</f>
        <v>445426.60008000006</v>
      </c>
      <c r="G375" s="83">
        <f>TDCTRIBE!AB383</f>
        <v>482653.67871000001</v>
      </c>
      <c r="H375" s="83">
        <f>TDCTRIBE!AC383</f>
        <v>520344.76389000006</v>
      </c>
      <c r="O375" s="9"/>
      <c r="P375" s="1"/>
      <c r="Q375" s="1"/>
      <c r="R375" s="1"/>
      <c r="S375" s="1"/>
      <c r="T375" s="1"/>
      <c r="U375" s="1"/>
      <c r="V375" s="9"/>
      <c r="W375" s="3"/>
      <c r="X375" s="4"/>
      <c r="Y375" s="1"/>
      <c r="Z375" s="1"/>
      <c r="AA375" s="1"/>
      <c r="AB375" s="1"/>
      <c r="AC375" s="1"/>
      <c r="AD375" s="3"/>
      <c r="AE375" s="3"/>
      <c r="AF375" s="5"/>
      <c r="AG375" s="5"/>
      <c r="AH375" s="5"/>
      <c r="AI375" s="5"/>
      <c r="AJ375" s="6"/>
      <c r="AK375" s="6"/>
      <c r="AL375" s="12"/>
      <c r="AM375" s="12"/>
      <c r="AN375" s="12"/>
      <c r="AO375" s="12"/>
      <c r="AP375" s="12"/>
    </row>
    <row r="376" spans="1:42" ht="15" x14ac:dyDescent="0.25">
      <c r="A376" s="82" t="str">
        <f>TDCTRIBE!I384</f>
        <v>Northwest</v>
      </c>
      <c r="B376" s="82" t="str">
        <f>TDCTRIBE!B384</f>
        <v>WA</v>
      </c>
      <c r="C376" s="82" t="str">
        <f>TDCTRIBE!F384</f>
        <v>Nisqually Indian Community</v>
      </c>
      <c r="D376" s="83">
        <f>TDCTRIBE!Y384</f>
        <v>351692.92273500003</v>
      </c>
      <c r="E376" s="83">
        <f>TDCTRIBE!Z384</f>
        <v>388924.50170699996</v>
      </c>
      <c r="F376" s="83">
        <f>TDCTRIBE!AA384</f>
        <v>441270.84690150007</v>
      </c>
      <c r="G376" s="83">
        <f>TDCTRIBE!AB384</f>
        <v>478235.93439300009</v>
      </c>
      <c r="H376" s="83">
        <f>TDCTRIBE!AC384</f>
        <v>515596.96643700002</v>
      </c>
      <c r="O376" s="9"/>
      <c r="P376" s="1"/>
      <c r="Q376" s="1"/>
      <c r="R376" s="1"/>
      <c r="S376" s="1"/>
      <c r="T376" s="1"/>
      <c r="U376" s="1"/>
      <c r="V376" s="9"/>
      <c r="W376" s="3"/>
      <c r="X376" s="4"/>
      <c r="Y376" s="1"/>
      <c r="Z376" s="1"/>
      <c r="AA376" s="1"/>
      <c r="AB376" s="1"/>
      <c r="AC376" s="1"/>
      <c r="AD376" s="3"/>
      <c r="AE376" s="3"/>
      <c r="AF376" s="5"/>
      <c r="AG376" s="5"/>
      <c r="AH376" s="5"/>
      <c r="AI376" s="5"/>
      <c r="AJ376" s="6"/>
      <c r="AK376" s="6"/>
      <c r="AL376" s="12"/>
      <c r="AM376" s="12"/>
      <c r="AN376" s="12"/>
      <c r="AO376" s="12"/>
      <c r="AP376" s="12"/>
    </row>
    <row r="377" spans="1:42" ht="15" x14ac:dyDescent="0.25">
      <c r="A377" s="82" t="str">
        <f>TDCTRIBE!I385</f>
        <v>Northwest</v>
      </c>
      <c r="B377" s="82" t="str">
        <f>TDCTRIBE!B385</f>
        <v>WA</v>
      </c>
      <c r="C377" s="82" t="str">
        <f>TDCTRIBE!F385</f>
        <v>Nooksack Tribe</v>
      </c>
      <c r="D377" s="83">
        <f>TDCTRIBE!Y385</f>
        <v>346264.50474</v>
      </c>
      <c r="E377" s="83">
        <f>TDCTRIBE!Z385</f>
        <v>382675.29463799996</v>
      </c>
      <c r="F377" s="83">
        <f>TDCTRIBE!AA385</f>
        <v>433814.65535100002</v>
      </c>
      <c r="G377" s="83">
        <f>TDCTRIBE!AB385</f>
        <v>469955.641512</v>
      </c>
      <c r="H377" s="83">
        <f>TDCTRIBE!AC385</f>
        <v>506634.88570800005</v>
      </c>
      <c r="O377" s="9"/>
      <c r="P377" s="1"/>
      <c r="Q377" s="1"/>
      <c r="R377" s="1"/>
      <c r="S377" s="1"/>
      <c r="T377" s="1"/>
      <c r="U377" s="1"/>
      <c r="V377" s="9"/>
      <c r="W377" s="3"/>
      <c r="X377" s="4"/>
      <c r="Y377" s="7"/>
      <c r="Z377" s="1"/>
      <c r="AA377" s="1"/>
      <c r="AB377" s="1"/>
      <c r="AC377" s="1"/>
      <c r="AD377" s="3"/>
      <c r="AE377" s="3"/>
      <c r="AF377" s="5"/>
      <c r="AG377" s="5"/>
      <c r="AH377" s="5"/>
      <c r="AI377" s="5"/>
      <c r="AJ377" s="6"/>
      <c r="AK377" s="6"/>
      <c r="AL377" s="12"/>
      <c r="AM377" s="12"/>
      <c r="AN377" s="12"/>
      <c r="AO377" s="12"/>
      <c r="AP377" s="12"/>
    </row>
    <row r="378" spans="1:42" ht="15" x14ac:dyDescent="0.25">
      <c r="A378" s="82" t="str">
        <f>TDCTRIBE!I386</f>
        <v>Northwest</v>
      </c>
      <c r="B378" s="82" t="str">
        <f>TDCTRIBE!B386</f>
        <v>WA</v>
      </c>
      <c r="C378" s="82" t="str">
        <f>TDCTRIBE!F386</f>
        <v>Port Gamble S'Kallam Tribe</v>
      </c>
      <c r="D378" s="83">
        <f>TDCTRIBE!Y386</f>
        <v>339742.85845500004</v>
      </c>
      <c r="E378" s="83">
        <f>TDCTRIBE!Z386</f>
        <v>375522.88517099991</v>
      </c>
      <c r="F378" s="83">
        <f>TDCTRIBE!AA386</f>
        <v>425788.2539295</v>
      </c>
      <c r="G378" s="83">
        <f>TDCTRIBE!AB386</f>
        <v>461305.21812899993</v>
      </c>
      <c r="H378" s="83">
        <f>TDCTRIBE!AC386</f>
        <v>497317.12886099995</v>
      </c>
      <c r="O378" s="9"/>
      <c r="P378" s="1"/>
      <c r="Q378" s="1"/>
      <c r="R378" s="1"/>
      <c r="S378" s="1"/>
      <c r="T378" s="1"/>
      <c r="U378" s="1"/>
      <c r="V378" s="9"/>
      <c r="W378" s="3"/>
      <c r="X378" s="4"/>
      <c r="Y378" s="7"/>
      <c r="Z378" s="1"/>
      <c r="AA378" s="1"/>
      <c r="AB378" s="1"/>
      <c r="AC378" s="1"/>
      <c r="AD378" s="3"/>
      <c r="AE378" s="3"/>
      <c r="AF378" s="5"/>
      <c r="AG378" s="5"/>
      <c r="AH378" s="5"/>
      <c r="AI378" s="5"/>
      <c r="AJ378" s="6"/>
      <c r="AK378" s="6"/>
      <c r="AL378" s="12"/>
      <c r="AM378" s="12"/>
      <c r="AN378" s="12"/>
      <c r="AO378" s="12"/>
      <c r="AP378" s="12"/>
    </row>
    <row r="379" spans="1:42" ht="15" x14ac:dyDescent="0.25">
      <c r="A379" s="82" t="str">
        <f>TDCTRIBE!I387</f>
        <v>Northwest</v>
      </c>
      <c r="B379" s="82" t="str">
        <f>TDCTRIBE!B387</f>
        <v>WA</v>
      </c>
      <c r="C379" s="82" t="str">
        <f>TDCTRIBE!F387</f>
        <v>Puyallup Tribe</v>
      </c>
      <c r="D379" s="83">
        <f>TDCTRIBE!Y387</f>
        <v>355227.05295000004</v>
      </c>
      <c r="E379" s="83">
        <f>TDCTRIBE!Z387</f>
        <v>392726.50704</v>
      </c>
      <c r="F379" s="83">
        <f>TDCTRIBE!AA387</f>
        <v>445426.60008000006</v>
      </c>
      <c r="G379" s="83">
        <f>TDCTRIBE!AB387</f>
        <v>482653.67871000001</v>
      </c>
      <c r="H379" s="83">
        <f>TDCTRIBE!AC387</f>
        <v>520344.76389000006</v>
      </c>
      <c r="O379" s="9"/>
      <c r="P379" s="1"/>
      <c r="Q379" s="1"/>
      <c r="R379" s="1"/>
      <c r="S379" s="1"/>
      <c r="T379" s="1"/>
      <c r="U379" s="1"/>
      <c r="V379" s="9"/>
      <c r="W379" s="3"/>
      <c r="X379" s="4"/>
      <c r="Y379" s="7"/>
      <c r="Z379" s="1"/>
      <c r="AA379" s="1"/>
      <c r="AB379" s="1"/>
      <c r="AC379" s="1"/>
      <c r="AD379" s="3"/>
      <c r="AE379" s="3"/>
      <c r="AF379" s="5"/>
      <c r="AG379" s="5"/>
      <c r="AH379" s="5"/>
      <c r="AI379" s="5"/>
      <c r="AJ379" s="6"/>
      <c r="AK379" s="6"/>
      <c r="AL379" s="12"/>
      <c r="AM379" s="12"/>
      <c r="AN379" s="12"/>
      <c r="AO379" s="12"/>
      <c r="AP379" s="12"/>
    </row>
    <row r="380" spans="1:42" ht="15" x14ac:dyDescent="0.25">
      <c r="A380" s="82" t="str">
        <f>TDCTRIBE!I388</f>
        <v>Northwest</v>
      </c>
      <c r="B380" s="82" t="str">
        <f>TDCTRIBE!B388</f>
        <v>WA</v>
      </c>
      <c r="C380" s="82" t="str">
        <f>TDCTRIBE!F388</f>
        <v>Quileute Tribe</v>
      </c>
      <c r="D380" s="83">
        <f>TDCTRIBE!Y388</f>
        <v>351692.92273500003</v>
      </c>
      <c r="E380" s="83">
        <f>TDCTRIBE!Z388</f>
        <v>388924.50170699996</v>
      </c>
      <c r="F380" s="83">
        <f>TDCTRIBE!AA388</f>
        <v>441270.84690150007</v>
      </c>
      <c r="G380" s="83">
        <f>TDCTRIBE!AB388</f>
        <v>478235.93439300009</v>
      </c>
      <c r="H380" s="83">
        <f>TDCTRIBE!AC388</f>
        <v>515596.96643700002</v>
      </c>
      <c r="O380" s="9"/>
      <c r="P380" s="1"/>
      <c r="Q380" s="1"/>
      <c r="R380" s="1"/>
      <c r="S380" s="1"/>
      <c r="T380" s="1"/>
      <c r="U380" s="1"/>
      <c r="V380" s="9"/>
      <c r="W380" s="3"/>
      <c r="X380" s="4"/>
      <c r="Y380" s="1"/>
      <c r="Z380" s="1"/>
      <c r="AA380" s="1"/>
      <c r="AB380" s="1"/>
      <c r="AC380" s="1"/>
      <c r="AD380" s="3"/>
      <c r="AE380" s="3"/>
      <c r="AF380" s="5"/>
      <c r="AG380" s="5"/>
      <c r="AH380" s="5"/>
      <c r="AI380" s="5"/>
      <c r="AJ380" s="6"/>
      <c r="AK380" s="6"/>
      <c r="AL380" s="12"/>
      <c r="AM380" s="12"/>
      <c r="AN380" s="12"/>
      <c r="AO380" s="12"/>
      <c r="AP380" s="12"/>
    </row>
    <row r="381" spans="1:42" ht="15" x14ac:dyDescent="0.25">
      <c r="A381" s="82" t="str">
        <f>TDCTRIBE!I389</f>
        <v>Northwest</v>
      </c>
      <c r="B381" s="82" t="str">
        <f>TDCTRIBE!B389</f>
        <v>WA</v>
      </c>
      <c r="C381" s="82" t="str">
        <f>TDCTRIBE!F389</f>
        <v>Quinault Tribe</v>
      </c>
      <c r="D381" s="83">
        <f>TDCTRIBE!Y389</f>
        <v>348340.99723500002</v>
      </c>
      <c r="E381" s="83">
        <f>TDCTRIBE!Z389</f>
        <v>385273.03010699997</v>
      </c>
      <c r="F381" s="83">
        <f>TDCTRIBE!AA389</f>
        <v>437210.12870150001</v>
      </c>
      <c r="G381" s="83">
        <f>TDCTRIBE!AB389</f>
        <v>473879.878493</v>
      </c>
      <c r="H381" s="83">
        <f>TDCTRIBE!AC389</f>
        <v>510908.44833699998</v>
      </c>
      <c r="O381" s="9"/>
      <c r="P381" s="1"/>
      <c r="Q381" s="1"/>
      <c r="R381" s="1"/>
      <c r="S381" s="1"/>
      <c r="T381" s="1"/>
      <c r="U381" s="1"/>
      <c r="V381" s="9"/>
      <c r="W381" s="3"/>
      <c r="X381" s="4"/>
      <c r="Y381" s="7"/>
      <c r="Z381" s="1"/>
      <c r="AA381" s="1"/>
      <c r="AB381" s="1"/>
      <c r="AC381" s="1"/>
      <c r="AD381" s="3"/>
      <c r="AE381" s="3"/>
      <c r="AF381" s="5"/>
      <c r="AG381" s="5"/>
      <c r="AH381" s="5"/>
      <c r="AI381" s="5"/>
      <c r="AJ381" s="6"/>
      <c r="AK381" s="6"/>
      <c r="AL381" s="12"/>
      <c r="AM381" s="12"/>
      <c r="AN381" s="12"/>
      <c r="AO381" s="12"/>
      <c r="AP381" s="12"/>
    </row>
    <row r="382" spans="1:42" ht="15" x14ac:dyDescent="0.25">
      <c r="A382" s="82" t="str">
        <f>TDCTRIBE!I390</f>
        <v>Northwest</v>
      </c>
      <c r="B382" s="82" t="str">
        <f>TDCTRIBE!B390</f>
        <v>WA</v>
      </c>
      <c r="C382" s="82" t="str">
        <f>TDCTRIBE!F390</f>
        <v>Samish Nation</v>
      </c>
      <c r="D382" s="83">
        <f>TDCTRIBE!Y390</f>
        <v>346264.50474</v>
      </c>
      <c r="E382" s="83">
        <f>TDCTRIBE!Z390</f>
        <v>382675.29463799996</v>
      </c>
      <c r="F382" s="83">
        <f>TDCTRIBE!AA390</f>
        <v>433814.65535100002</v>
      </c>
      <c r="G382" s="83">
        <f>TDCTRIBE!AB390</f>
        <v>469955.641512</v>
      </c>
      <c r="H382" s="83">
        <f>TDCTRIBE!AC390</f>
        <v>506634.88570800005</v>
      </c>
      <c r="O382" s="9"/>
      <c r="P382" s="1"/>
      <c r="Q382" s="1"/>
      <c r="R382" s="1"/>
      <c r="S382" s="1"/>
      <c r="T382" s="1"/>
      <c r="U382" s="1"/>
      <c r="V382" s="9"/>
      <c r="W382" s="3"/>
      <c r="X382" s="4"/>
      <c r="Y382" s="7"/>
      <c r="Z382" s="1"/>
      <c r="AA382" s="1"/>
      <c r="AB382" s="1"/>
      <c r="AC382" s="1"/>
      <c r="AD382" s="3"/>
      <c r="AE382" s="3"/>
      <c r="AF382" s="5"/>
      <c r="AG382" s="5"/>
      <c r="AH382" s="5"/>
      <c r="AI382" s="5"/>
      <c r="AJ382" s="6"/>
      <c r="AK382" s="6"/>
      <c r="AL382" s="12"/>
      <c r="AM382" s="12"/>
      <c r="AN382" s="12"/>
      <c r="AO382" s="12"/>
      <c r="AP382" s="12"/>
    </row>
    <row r="383" spans="1:42" ht="15" x14ac:dyDescent="0.25">
      <c r="A383" s="82" t="str">
        <f>TDCTRIBE!I391</f>
        <v>Northwest</v>
      </c>
      <c r="B383" s="82" t="str">
        <f>TDCTRIBE!B391</f>
        <v>WA</v>
      </c>
      <c r="C383" s="82" t="str">
        <f>TDCTRIBE!F391</f>
        <v>Sauk-Suiattle Indian Tribe</v>
      </c>
      <c r="D383" s="83">
        <f>TDCTRIBE!Y391</f>
        <v>346264.50474</v>
      </c>
      <c r="E383" s="83">
        <f>TDCTRIBE!Z391</f>
        <v>382675.29463799996</v>
      </c>
      <c r="F383" s="83">
        <f>TDCTRIBE!AA391</f>
        <v>433814.65535100002</v>
      </c>
      <c r="G383" s="83">
        <f>TDCTRIBE!AB391</f>
        <v>469955.641512</v>
      </c>
      <c r="H383" s="83">
        <f>TDCTRIBE!AC391</f>
        <v>506634.88570800005</v>
      </c>
      <c r="O383" s="9"/>
      <c r="P383" s="1"/>
      <c r="Q383" s="1"/>
      <c r="R383" s="1"/>
      <c r="S383" s="1"/>
      <c r="T383" s="1"/>
      <c r="U383" s="1"/>
      <c r="V383" s="9"/>
      <c r="W383" s="3"/>
      <c r="X383" s="4"/>
      <c r="Y383" s="1"/>
      <c r="Z383" s="1"/>
      <c r="AA383" s="1"/>
      <c r="AB383" s="1"/>
      <c r="AC383" s="1"/>
      <c r="AD383" s="3"/>
      <c r="AE383" s="3"/>
      <c r="AF383" s="5"/>
      <c r="AG383" s="5"/>
      <c r="AH383" s="5"/>
      <c r="AI383" s="5"/>
      <c r="AJ383" s="6"/>
      <c r="AK383" s="6"/>
      <c r="AL383" s="12"/>
      <c r="AM383" s="12"/>
      <c r="AN383" s="12"/>
      <c r="AO383" s="12"/>
      <c r="AP383" s="12"/>
    </row>
    <row r="384" spans="1:42" ht="15" x14ac:dyDescent="0.25">
      <c r="A384" s="82" t="str">
        <f>TDCTRIBE!I392</f>
        <v>Northwest</v>
      </c>
      <c r="B384" s="82" t="str">
        <f>TDCTRIBE!B392</f>
        <v>WA</v>
      </c>
      <c r="C384" s="82" t="str">
        <f>TDCTRIBE!F392</f>
        <v>Shoalwater Bay Tribe</v>
      </c>
      <c r="D384" s="83">
        <f>TDCTRIBE!Y392</f>
        <v>348340.99723500002</v>
      </c>
      <c r="E384" s="83">
        <f>TDCTRIBE!Z392</f>
        <v>385273.03010699997</v>
      </c>
      <c r="F384" s="83">
        <f>TDCTRIBE!AA392</f>
        <v>437210.12870150001</v>
      </c>
      <c r="G384" s="83">
        <f>TDCTRIBE!AB392</f>
        <v>473879.878493</v>
      </c>
      <c r="H384" s="83">
        <f>TDCTRIBE!AC392</f>
        <v>510908.44833699998</v>
      </c>
      <c r="O384" s="9"/>
      <c r="P384" s="1"/>
      <c r="Q384" s="1"/>
      <c r="R384" s="1"/>
      <c r="S384" s="1"/>
      <c r="T384" s="1"/>
      <c r="U384" s="1"/>
      <c r="V384" s="9"/>
      <c r="W384" s="3"/>
      <c r="X384" s="4"/>
      <c r="Y384" s="1"/>
      <c r="Z384" s="1"/>
      <c r="AA384" s="1"/>
      <c r="AB384" s="1"/>
      <c r="AC384" s="1"/>
      <c r="AD384" s="3"/>
      <c r="AE384" s="3"/>
      <c r="AF384" s="5"/>
      <c r="AG384" s="5"/>
      <c r="AH384" s="5"/>
      <c r="AI384" s="5"/>
      <c r="AJ384" s="6"/>
      <c r="AK384" s="6"/>
      <c r="AL384" s="12"/>
      <c r="AM384" s="12"/>
      <c r="AN384" s="12"/>
      <c r="AO384" s="12"/>
      <c r="AP384" s="12"/>
    </row>
    <row r="385" spans="1:42" ht="15" x14ac:dyDescent="0.25">
      <c r="A385" s="82" t="str">
        <f>TDCTRIBE!I393</f>
        <v>Northwest</v>
      </c>
      <c r="B385" s="82" t="str">
        <f>TDCTRIBE!B393</f>
        <v>WA</v>
      </c>
      <c r="C385" s="82" t="str">
        <f>TDCTRIBE!F393</f>
        <v>Skokomish Indian Tribe</v>
      </c>
      <c r="D385" s="83">
        <f>TDCTRIBE!Y393</f>
        <v>348340.99723500002</v>
      </c>
      <c r="E385" s="83">
        <f>TDCTRIBE!Z393</f>
        <v>385273.03010699997</v>
      </c>
      <c r="F385" s="83">
        <f>TDCTRIBE!AA393</f>
        <v>437210.12870150001</v>
      </c>
      <c r="G385" s="83">
        <f>TDCTRIBE!AB393</f>
        <v>473879.878493</v>
      </c>
      <c r="H385" s="83">
        <f>TDCTRIBE!AC393</f>
        <v>510908.44833699998</v>
      </c>
      <c r="O385" s="9"/>
      <c r="P385" s="1"/>
      <c r="Q385" s="1"/>
      <c r="R385" s="1"/>
      <c r="S385" s="1"/>
      <c r="T385" s="1"/>
      <c r="U385" s="1"/>
      <c r="V385" s="9"/>
      <c r="W385" s="3"/>
      <c r="X385" s="4"/>
      <c r="Y385" s="1"/>
      <c r="Z385" s="1"/>
      <c r="AA385" s="1"/>
      <c r="AB385" s="1"/>
      <c r="AC385" s="1"/>
      <c r="AD385" s="3"/>
      <c r="AE385" s="3"/>
      <c r="AF385" s="5"/>
      <c r="AG385" s="5"/>
      <c r="AH385" s="5"/>
      <c r="AI385" s="5"/>
      <c r="AJ385" s="6"/>
      <c r="AK385" s="6"/>
      <c r="AL385" s="12"/>
      <c r="AM385" s="12"/>
      <c r="AN385" s="12"/>
      <c r="AO385" s="12"/>
      <c r="AP385" s="12"/>
    </row>
    <row r="386" spans="1:42" ht="15" x14ac:dyDescent="0.25">
      <c r="A386" s="82" t="str">
        <f>TDCTRIBE!I394</f>
        <v>Northwest</v>
      </c>
      <c r="B386" s="82" t="str">
        <f>TDCTRIBE!B394</f>
        <v>WA</v>
      </c>
      <c r="C386" s="82" t="str">
        <f>TDCTRIBE!F394</f>
        <v>Snoqualmie</v>
      </c>
      <c r="D386" s="83">
        <f>TDCTRIBE!Y394</f>
        <v>346264.50474</v>
      </c>
      <c r="E386" s="83">
        <f>TDCTRIBE!Z394</f>
        <v>382675.29463799996</v>
      </c>
      <c r="F386" s="83">
        <f>TDCTRIBE!AA394</f>
        <v>433814.65535100002</v>
      </c>
      <c r="G386" s="83">
        <f>TDCTRIBE!AB394</f>
        <v>469955.641512</v>
      </c>
      <c r="H386" s="83">
        <f>TDCTRIBE!AC394</f>
        <v>506634.88570800005</v>
      </c>
      <c r="O386" s="9"/>
      <c r="P386" s="1"/>
      <c r="Q386" s="1"/>
      <c r="R386" s="1"/>
      <c r="S386" s="1"/>
      <c r="T386" s="1"/>
      <c r="U386" s="1"/>
      <c r="V386" s="9"/>
      <c r="W386" s="3"/>
      <c r="X386" s="4"/>
      <c r="Y386" s="7"/>
      <c r="Z386" s="1"/>
      <c r="AA386" s="1"/>
      <c r="AB386" s="1"/>
      <c r="AC386" s="1"/>
      <c r="AD386" s="3"/>
      <c r="AE386" s="3"/>
      <c r="AF386" s="5"/>
      <c r="AG386" s="5"/>
      <c r="AH386" s="5"/>
      <c r="AI386" s="5"/>
      <c r="AJ386" s="6"/>
      <c r="AK386" s="6"/>
      <c r="AL386" s="12"/>
      <c r="AM386" s="12"/>
      <c r="AN386" s="12"/>
      <c r="AO386" s="12"/>
      <c r="AP386" s="12"/>
    </row>
    <row r="387" spans="1:42" ht="15" x14ac:dyDescent="0.25">
      <c r="A387" s="82" t="str">
        <f>TDCTRIBE!I395</f>
        <v>Northwest</v>
      </c>
      <c r="B387" s="82" t="str">
        <f>TDCTRIBE!B395</f>
        <v>WA</v>
      </c>
      <c r="C387" s="82" t="str">
        <f>TDCTRIBE!F395</f>
        <v>Spokane Tribe</v>
      </c>
      <c r="D387" s="83">
        <f>TDCTRIBE!Y395</f>
        <v>331363.04470500001</v>
      </c>
      <c r="E387" s="83">
        <f>TDCTRIBE!Z395</f>
        <v>366394.20617099997</v>
      </c>
      <c r="F387" s="83">
        <f>TDCTRIBE!AA395</f>
        <v>415636.45842949999</v>
      </c>
      <c r="G387" s="83">
        <f>TDCTRIBE!AB395</f>
        <v>450415.07837900001</v>
      </c>
      <c r="H387" s="83">
        <f>TDCTRIBE!AC395</f>
        <v>485595.83361099998</v>
      </c>
      <c r="O387" s="9"/>
      <c r="P387" s="1"/>
      <c r="Q387" s="1"/>
      <c r="R387" s="1"/>
      <c r="S387" s="1"/>
      <c r="T387" s="1"/>
      <c r="U387" s="1"/>
      <c r="V387" s="9"/>
      <c r="W387" s="3"/>
      <c r="X387" s="4"/>
      <c r="Y387" s="1"/>
      <c r="Z387" s="1"/>
      <c r="AA387" s="1"/>
      <c r="AB387" s="1"/>
      <c r="AC387" s="1"/>
      <c r="AD387" s="3"/>
      <c r="AE387" s="3"/>
      <c r="AF387" s="5"/>
      <c r="AG387" s="5"/>
      <c r="AH387" s="5"/>
      <c r="AI387" s="5"/>
      <c r="AJ387" s="6"/>
      <c r="AK387" s="6"/>
      <c r="AL387" s="12"/>
      <c r="AM387" s="12"/>
      <c r="AN387" s="12"/>
      <c r="AO387" s="12"/>
      <c r="AP387" s="12"/>
    </row>
    <row r="388" spans="1:42" ht="15" x14ac:dyDescent="0.25">
      <c r="A388" s="82" t="str">
        <f>TDCTRIBE!I396</f>
        <v>Northwest</v>
      </c>
      <c r="B388" s="82" t="str">
        <f>TDCTRIBE!B396</f>
        <v>WA</v>
      </c>
      <c r="C388" s="82" t="str">
        <f>TDCTRIBE!F396</f>
        <v>Squaxin Island Tribe</v>
      </c>
      <c r="D388" s="83">
        <f>TDCTRIBE!Y396</f>
        <v>348340.99723500002</v>
      </c>
      <c r="E388" s="83">
        <f>TDCTRIBE!Z396</f>
        <v>385273.03010699997</v>
      </c>
      <c r="F388" s="83">
        <f>TDCTRIBE!AA396</f>
        <v>437210.12870150001</v>
      </c>
      <c r="G388" s="83">
        <f>TDCTRIBE!AB396</f>
        <v>473879.878493</v>
      </c>
      <c r="H388" s="83">
        <f>TDCTRIBE!AC396</f>
        <v>510908.44833699998</v>
      </c>
      <c r="O388" s="9"/>
      <c r="P388" s="1"/>
      <c r="Q388" s="1"/>
      <c r="R388" s="1"/>
      <c r="S388" s="1"/>
      <c r="T388" s="1"/>
      <c r="U388" s="1"/>
      <c r="V388" s="9"/>
      <c r="W388" s="3"/>
      <c r="X388" s="4"/>
      <c r="Y388" s="7"/>
      <c r="Z388" s="1"/>
      <c r="AA388" s="1"/>
      <c r="AB388" s="1"/>
      <c r="AC388" s="1"/>
      <c r="AD388" s="3"/>
      <c r="AE388" s="3"/>
      <c r="AF388" s="5"/>
      <c r="AG388" s="5"/>
      <c r="AH388" s="5"/>
      <c r="AI388" s="5"/>
      <c r="AJ388" s="6"/>
      <c r="AK388" s="6"/>
      <c r="AL388" s="12"/>
      <c r="AM388" s="12"/>
      <c r="AN388" s="12"/>
      <c r="AO388" s="12"/>
      <c r="AP388" s="12"/>
    </row>
    <row r="389" spans="1:42" ht="15" x14ac:dyDescent="0.25">
      <c r="A389" s="82" t="str">
        <f>TDCTRIBE!I397</f>
        <v>Northwest</v>
      </c>
      <c r="B389" s="82" t="str">
        <f>TDCTRIBE!B397</f>
        <v>WA</v>
      </c>
      <c r="C389" s="82" t="str">
        <f>TDCTRIBE!F397</f>
        <v>Stillaguamish Tribe</v>
      </c>
      <c r="D389" s="83">
        <f>TDCTRIBE!Y397</f>
        <v>346264.50474</v>
      </c>
      <c r="E389" s="83">
        <f>TDCTRIBE!Z397</f>
        <v>382675.29463799996</v>
      </c>
      <c r="F389" s="83">
        <f>TDCTRIBE!AA397</f>
        <v>433814.65535100002</v>
      </c>
      <c r="G389" s="83">
        <f>TDCTRIBE!AB397</f>
        <v>469955.641512</v>
      </c>
      <c r="H389" s="83">
        <f>TDCTRIBE!AC397</f>
        <v>506634.88570800005</v>
      </c>
      <c r="O389" s="9"/>
      <c r="P389" s="1"/>
      <c r="Q389" s="1"/>
      <c r="R389" s="1"/>
      <c r="S389" s="1"/>
      <c r="T389" s="1"/>
      <c r="U389" s="1"/>
      <c r="V389" s="9"/>
      <c r="W389" s="3"/>
      <c r="X389" s="4"/>
      <c r="Y389" s="1"/>
      <c r="Z389" s="1"/>
      <c r="AA389" s="1"/>
      <c r="AB389" s="1"/>
      <c r="AC389" s="1"/>
      <c r="AD389" s="3"/>
      <c r="AE389" s="3"/>
      <c r="AF389" s="5"/>
      <c r="AG389" s="5"/>
      <c r="AH389" s="5"/>
      <c r="AI389" s="5"/>
      <c r="AJ389" s="6"/>
      <c r="AK389" s="6"/>
      <c r="AL389" s="12"/>
      <c r="AM389" s="12"/>
      <c r="AN389" s="12"/>
      <c r="AO389" s="12"/>
      <c r="AP389" s="12"/>
    </row>
    <row r="390" spans="1:42" ht="15" x14ac:dyDescent="0.25">
      <c r="A390" s="82" t="str">
        <f>TDCTRIBE!I398</f>
        <v>Northwest</v>
      </c>
      <c r="B390" s="82" t="str">
        <f>TDCTRIBE!B398</f>
        <v>WA</v>
      </c>
      <c r="C390" s="82" t="str">
        <f>TDCTRIBE!F398</f>
        <v>Suquamish Tribal Council</v>
      </c>
      <c r="D390" s="83">
        <f>TDCTRIBE!Y398</f>
        <v>351692.92273500003</v>
      </c>
      <c r="E390" s="83">
        <f>TDCTRIBE!Z398</f>
        <v>388924.50170699996</v>
      </c>
      <c r="F390" s="83">
        <f>TDCTRIBE!AA398</f>
        <v>441270.84690150007</v>
      </c>
      <c r="G390" s="83">
        <f>TDCTRIBE!AB398</f>
        <v>478235.93439300009</v>
      </c>
      <c r="H390" s="83">
        <f>TDCTRIBE!AC398</f>
        <v>515596.96643700002</v>
      </c>
      <c r="O390" s="9"/>
      <c r="P390" s="1"/>
      <c r="Q390" s="1"/>
      <c r="R390" s="1"/>
      <c r="S390" s="1"/>
      <c r="T390" s="1"/>
      <c r="U390" s="1"/>
      <c r="V390" s="9"/>
      <c r="W390" s="3"/>
      <c r="X390" s="4"/>
      <c r="Y390" s="1"/>
      <c r="Z390" s="1"/>
      <c r="AA390" s="1"/>
      <c r="AB390" s="1"/>
      <c r="AC390" s="1"/>
      <c r="AD390" s="3"/>
      <c r="AE390" s="3"/>
      <c r="AF390" s="5"/>
      <c r="AG390" s="5"/>
      <c r="AH390" s="5"/>
      <c r="AI390" s="5"/>
      <c r="AJ390" s="6"/>
      <c r="AK390" s="6"/>
      <c r="AL390" s="12"/>
      <c r="AM390" s="12"/>
      <c r="AN390" s="12"/>
      <c r="AO390" s="12"/>
      <c r="AP390" s="12"/>
    </row>
    <row r="391" spans="1:42" ht="15" x14ac:dyDescent="0.25">
      <c r="A391" s="82" t="str">
        <f>TDCTRIBE!I399</f>
        <v>Northwest</v>
      </c>
      <c r="B391" s="82" t="str">
        <f>TDCTRIBE!B399</f>
        <v>WA</v>
      </c>
      <c r="C391" s="82" t="str">
        <f>TDCTRIBE!F399</f>
        <v>Swinomish Indians</v>
      </c>
      <c r="D391" s="83">
        <f>TDCTRIBE!Y399</f>
        <v>346264.50474</v>
      </c>
      <c r="E391" s="83">
        <f>TDCTRIBE!Z399</f>
        <v>382675.29463799996</v>
      </c>
      <c r="F391" s="83">
        <f>TDCTRIBE!AA399</f>
        <v>433814.65535100002</v>
      </c>
      <c r="G391" s="83">
        <f>TDCTRIBE!AB399</f>
        <v>469955.641512</v>
      </c>
      <c r="H391" s="83">
        <f>TDCTRIBE!AC399</f>
        <v>506634.88570800005</v>
      </c>
      <c r="O391" s="9"/>
      <c r="P391" s="1"/>
      <c r="Q391" s="1"/>
      <c r="R391" s="1"/>
      <c r="S391" s="1"/>
      <c r="T391" s="1"/>
      <c r="U391" s="1"/>
      <c r="V391" s="9"/>
      <c r="W391" s="3"/>
      <c r="X391" s="4"/>
      <c r="Y391" s="1"/>
      <c r="Z391" s="1"/>
      <c r="AA391" s="1"/>
      <c r="AB391" s="1"/>
      <c r="AC391" s="1"/>
      <c r="AD391" s="3"/>
      <c r="AE391" s="3"/>
      <c r="AF391" s="5"/>
      <c r="AG391" s="5"/>
      <c r="AH391" s="5"/>
      <c r="AI391" s="5"/>
      <c r="AJ391" s="6"/>
      <c r="AK391" s="6"/>
      <c r="AL391" s="12"/>
      <c r="AM391" s="12"/>
      <c r="AN391" s="12"/>
      <c r="AO391" s="12"/>
      <c r="AP391" s="12"/>
    </row>
    <row r="392" spans="1:42" ht="15" x14ac:dyDescent="0.25">
      <c r="A392" s="82" t="str">
        <f>TDCTRIBE!I400</f>
        <v>Northwest</v>
      </c>
      <c r="B392" s="82" t="str">
        <f>TDCTRIBE!B400</f>
        <v>WA</v>
      </c>
      <c r="C392" s="82" t="str">
        <f>TDCTRIBE!F400</f>
        <v>Tulalip Tribes</v>
      </c>
      <c r="D392" s="83">
        <f>TDCTRIBE!Y400</f>
        <v>355227.05295000004</v>
      </c>
      <c r="E392" s="83">
        <f>TDCTRIBE!Z400</f>
        <v>392726.50704</v>
      </c>
      <c r="F392" s="83">
        <f>TDCTRIBE!AA400</f>
        <v>445426.60008000006</v>
      </c>
      <c r="G392" s="83">
        <f>TDCTRIBE!AB400</f>
        <v>482653.67871000001</v>
      </c>
      <c r="H392" s="83">
        <f>TDCTRIBE!AC400</f>
        <v>520344.76389000006</v>
      </c>
      <c r="O392" s="9"/>
      <c r="P392" s="1"/>
      <c r="Q392" s="1"/>
      <c r="R392" s="1"/>
      <c r="S392" s="1"/>
      <c r="T392" s="1"/>
      <c r="U392" s="1"/>
      <c r="V392" s="9"/>
      <c r="W392" s="3"/>
      <c r="X392" s="4"/>
      <c r="Y392" s="1"/>
      <c r="Z392" s="1"/>
      <c r="AA392" s="1"/>
      <c r="AB392" s="1"/>
      <c r="AC392" s="1"/>
      <c r="AD392" s="3"/>
      <c r="AE392" s="3"/>
      <c r="AF392" s="5"/>
      <c r="AG392" s="5"/>
      <c r="AH392" s="5"/>
      <c r="AI392" s="5"/>
      <c r="AJ392" s="6"/>
      <c r="AK392" s="6"/>
      <c r="AL392" s="12"/>
      <c r="AM392" s="12"/>
      <c r="AN392" s="12"/>
      <c r="AO392" s="12"/>
      <c r="AP392" s="12"/>
    </row>
    <row r="393" spans="1:42" ht="15" x14ac:dyDescent="0.25">
      <c r="A393" s="82" t="str">
        <f>TDCTRIBE!I401</f>
        <v>Northwest</v>
      </c>
      <c r="B393" s="82" t="str">
        <f>TDCTRIBE!B401</f>
        <v>WA</v>
      </c>
      <c r="C393" s="82" t="str">
        <f>TDCTRIBE!F401</f>
        <v>Upper Skagit Tribe</v>
      </c>
      <c r="D393" s="83">
        <f>TDCTRIBE!Y401</f>
        <v>346264.50474</v>
      </c>
      <c r="E393" s="83">
        <f>TDCTRIBE!Z401</f>
        <v>382675.29463799996</v>
      </c>
      <c r="F393" s="83">
        <f>TDCTRIBE!AA401</f>
        <v>433814.65535100002</v>
      </c>
      <c r="G393" s="83">
        <f>TDCTRIBE!AB401</f>
        <v>469955.641512</v>
      </c>
      <c r="H393" s="83">
        <f>TDCTRIBE!AC401</f>
        <v>506634.88570800005</v>
      </c>
      <c r="O393" s="9"/>
      <c r="P393" s="1"/>
      <c r="Q393" s="1"/>
      <c r="R393" s="1"/>
      <c r="S393" s="1"/>
      <c r="T393" s="1"/>
      <c r="U393" s="1"/>
      <c r="V393" s="9"/>
      <c r="W393" s="3"/>
      <c r="X393" s="4"/>
      <c r="Y393" s="1"/>
      <c r="Z393" s="1"/>
      <c r="AA393" s="1"/>
      <c r="AB393" s="1"/>
      <c r="AC393" s="1"/>
      <c r="AD393" s="3"/>
      <c r="AE393" s="3"/>
      <c r="AF393" s="5"/>
      <c r="AG393" s="5"/>
      <c r="AH393" s="5"/>
      <c r="AI393" s="5"/>
      <c r="AJ393" s="6"/>
      <c r="AK393" s="6"/>
      <c r="AL393" s="12"/>
      <c r="AM393" s="12"/>
      <c r="AN393" s="12"/>
      <c r="AO393" s="12"/>
      <c r="AP393" s="12"/>
    </row>
    <row r="394" spans="1:42" ht="15" x14ac:dyDescent="0.25">
      <c r="A394" s="82" t="str">
        <f>TDCTRIBE!I402</f>
        <v>Northwest</v>
      </c>
      <c r="B394" s="82" t="str">
        <f>TDCTRIBE!B402</f>
        <v>WA</v>
      </c>
      <c r="C394" s="82" t="str">
        <f>TDCTRIBE!F402</f>
        <v>Yakama Indian Nation</v>
      </c>
      <c r="D394" s="83">
        <f>TDCTRIBE!Y402</f>
        <v>328739.93806499999</v>
      </c>
      <c r="E394" s="83">
        <f>TDCTRIBE!Z402</f>
        <v>363344.86950299999</v>
      </c>
      <c r="F394" s="83">
        <f>TDCTRIBE!AA402</f>
        <v>420479.12576950004</v>
      </c>
      <c r="G394" s="83">
        <f>TDCTRIBE!AB402</f>
        <v>455626.220959</v>
      </c>
      <c r="H394" s="83">
        <f>TDCTRIBE!AC402</f>
        <v>491207.57583100005</v>
      </c>
      <c r="O394" s="9"/>
      <c r="P394" s="1"/>
      <c r="Q394" s="1"/>
      <c r="R394" s="1"/>
      <c r="S394" s="1"/>
      <c r="T394" s="1"/>
      <c r="U394" s="1"/>
      <c r="V394" s="9"/>
      <c r="W394" s="3"/>
      <c r="X394" s="4"/>
      <c r="Y394" s="1"/>
      <c r="Z394" s="1"/>
      <c r="AA394" s="1"/>
      <c r="AB394" s="1"/>
      <c r="AC394" s="1"/>
      <c r="AD394" s="3"/>
      <c r="AE394" s="3"/>
      <c r="AF394" s="5"/>
      <c r="AG394" s="5"/>
      <c r="AH394" s="5"/>
      <c r="AI394" s="5"/>
      <c r="AJ394" s="6"/>
      <c r="AK394" s="6"/>
      <c r="AL394" s="12"/>
      <c r="AM394" s="12"/>
      <c r="AN394" s="12"/>
      <c r="AO394" s="12"/>
      <c r="AP394" s="12"/>
    </row>
    <row r="395" spans="1:42" ht="15" x14ac:dyDescent="0.25">
      <c r="A395" s="82" t="str">
        <f>TDCTRIBE!I403</f>
        <v>Southern Plains</v>
      </c>
      <c r="B395" s="82" t="str">
        <f>TDCTRIBE!B403</f>
        <v>KS</v>
      </c>
      <c r="C395" s="82" t="str">
        <f>TDCTRIBE!F403</f>
        <v>Iowa Tribe of Kansas and Nebraska</v>
      </c>
      <c r="D395" s="83">
        <f>TDCTRIBE!Y403</f>
        <v>277598.61832499999</v>
      </c>
      <c r="E395" s="83">
        <f>TDCTRIBE!Z403</f>
        <v>307698.76336500002</v>
      </c>
      <c r="F395" s="83">
        <f>TDCTRIBE!AA403</f>
        <v>345312.43806499999</v>
      </c>
      <c r="G395" s="83">
        <f>TDCTRIBE!AB403</f>
        <v>372782.04278000002</v>
      </c>
      <c r="H395" s="83">
        <f>TDCTRIBE!AC403</f>
        <v>401976.80852000002</v>
      </c>
      <c r="O395" s="9"/>
      <c r="P395" s="1"/>
      <c r="Q395" s="1"/>
      <c r="R395" s="1"/>
      <c r="S395" s="1"/>
      <c r="T395" s="1"/>
      <c r="U395" s="1"/>
      <c r="V395" s="9"/>
      <c r="W395" s="3"/>
      <c r="X395" s="4"/>
      <c r="Y395" s="1"/>
      <c r="Z395" s="1"/>
      <c r="AA395" s="1"/>
      <c r="AB395" s="1"/>
      <c r="AC395" s="1"/>
      <c r="AD395" s="3"/>
      <c r="AE395" s="3"/>
      <c r="AF395" s="5"/>
      <c r="AG395" s="5"/>
      <c r="AH395" s="5"/>
      <c r="AI395" s="5"/>
      <c r="AJ395" s="6"/>
      <c r="AK395" s="6"/>
      <c r="AL395" s="12"/>
      <c r="AM395" s="12"/>
      <c r="AN395" s="12"/>
      <c r="AO395" s="12"/>
      <c r="AP395" s="12"/>
    </row>
    <row r="396" spans="1:42" ht="15" x14ac:dyDescent="0.25">
      <c r="A396" s="82" t="str">
        <f>TDCTRIBE!I404</f>
        <v>Southern Plains</v>
      </c>
      <c r="B396" s="82" t="str">
        <f>TDCTRIBE!B404</f>
        <v>KS</v>
      </c>
      <c r="C396" s="82" t="str">
        <f>TDCTRIBE!F404</f>
        <v>Kickapoo Tribe</v>
      </c>
      <c r="D396" s="83">
        <f>TDCTRIBE!Y404</f>
        <v>272873.67082499998</v>
      </c>
      <c r="E396" s="83">
        <f>TDCTRIBE!Z404</f>
        <v>302529.469515</v>
      </c>
      <c r="F396" s="83">
        <f>TDCTRIBE!AA404</f>
        <v>339561.05781500001</v>
      </c>
      <c r="G396" s="83">
        <f>TDCTRIBE!AB404</f>
        <v>366634.79677999998</v>
      </c>
      <c r="H396" s="83">
        <f>TDCTRIBE!AC404</f>
        <v>395355.13051999995</v>
      </c>
      <c r="O396" s="9"/>
      <c r="P396" s="1"/>
      <c r="Q396" s="1"/>
      <c r="R396" s="1"/>
      <c r="S396" s="1"/>
      <c r="T396" s="1"/>
      <c r="U396" s="1"/>
      <c r="V396" s="9"/>
      <c r="W396" s="3"/>
      <c r="X396" s="4"/>
      <c r="Y396" s="1"/>
      <c r="Z396" s="1"/>
      <c r="AA396" s="1"/>
      <c r="AB396" s="1"/>
      <c r="AC396" s="1"/>
      <c r="AD396" s="3"/>
      <c r="AE396" s="3"/>
      <c r="AF396" s="5"/>
      <c r="AG396" s="5"/>
      <c r="AH396" s="5"/>
      <c r="AI396" s="5"/>
      <c r="AJ396" s="6"/>
      <c r="AK396" s="6"/>
      <c r="AL396" s="12"/>
      <c r="AM396" s="12"/>
      <c r="AN396" s="12"/>
      <c r="AO396" s="12"/>
      <c r="AP396" s="12"/>
    </row>
    <row r="397" spans="1:42" ht="15" x14ac:dyDescent="0.25">
      <c r="A397" s="82" t="str">
        <f>TDCTRIBE!I405</f>
        <v>Southern Plains</v>
      </c>
      <c r="B397" s="82" t="str">
        <f>TDCTRIBE!B405</f>
        <v>KS</v>
      </c>
      <c r="C397" s="82" t="str">
        <f>TDCTRIBE!F405</f>
        <v>Prairie Band of Potawatomi</v>
      </c>
      <c r="D397" s="83">
        <f>TDCTRIBE!Y405</f>
        <v>272873.67082499998</v>
      </c>
      <c r="E397" s="83">
        <f>TDCTRIBE!Z405</f>
        <v>302529.469515</v>
      </c>
      <c r="F397" s="83">
        <f>TDCTRIBE!AA405</f>
        <v>339561.05781500001</v>
      </c>
      <c r="G397" s="83">
        <f>TDCTRIBE!AB405</f>
        <v>366634.79677999998</v>
      </c>
      <c r="H397" s="83">
        <f>TDCTRIBE!AC405</f>
        <v>395355.13051999995</v>
      </c>
      <c r="O397" s="9"/>
      <c r="P397" s="1"/>
      <c r="Q397" s="1"/>
      <c r="R397" s="1"/>
      <c r="S397" s="1"/>
      <c r="T397" s="1"/>
      <c r="U397" s="1"/>
      <c r="V397" s="9"/>
      <c r="W397" s="3"/>
      <c r="X397" s="4"/>
      <c r="Y397" s="1"/>
      <c r="Z397" s="1"/>
      <c r="AA397" s="1"/>
      <c r="AB397" s="1"/>
      <c r="AC397" s="1"/>
      <c r="AD397" s="3"/>
      <c r="AE397" s="3"/>
      <c r="AF397" s="5"/>
      <c r="AG397" s="5"/>
      <c r="AH397" s="5"/>
      <c r="AI397" s="5"/>
      <c r="AJ397" s="6"/>
      <c r="AK397" s="6"/>
      <c r="AL397" s="12"/>
      <c r="AM397" s="12"/>
      <c r="AN397" s="12"/>
      <c r="AO397" s="12"/>
      <c r="AP397" s="12"/>
    </row>
    <row r="398" spans="1:42" ht="15" x14ac:dyDescent="0.25">
      <c r="A398" s="82" t="str">
        <f>TDCTRIBE!I406</f>
        <v>Southern Plains</v>
      </c>
      <c r="B398" s="82" t="str">
        <f>TDCTRIBE!B406</f>
        <v>KS</v>
      </c>
      <c r="C398" s="82" t="str">
        <f>TDCTRIBE!F406</f>
        <v>Sac and Fox of Missouri</v>
      </c>
      <c r="D398" s="83">
        <f>TDCTRIBE!Y406</f>
        <v>272873.67082499998</v>
      </c>
      <c r="E398" s="83">
        <f>TDCTRIBE!Z406</f>
        <v>302529.469515</v>
      </c>
      <c r="F398" s="83">
        <f>TDCTRIBE!AA406</f>
        <v>339561.05781500001</v>
      </c>
      <c r="G398" s="83">
        <f>TDCTRIBE!AB406</f>
        <v>366634.79677999998</v>
      </c>
      <c r="H398" s="83">
        <f>TDCTRIBE!AC406</f>
        <v>395355.13051999995</v>
      </c>
      <c r="O398" s="9"/>
      <c r="P398" s="1"/>
      <c r="Q398" s="1"/>
      <c r="R398" s="1"/>
      <c r="S398" s="1"/>
      <c r="T398" s="1"/>
      <c r="U398" s="1"/>
      <c r="V398" s="9"/>
      <c r="W398" s="3"/>
      <c r="X398" s="4"/>
      <c r="Y398" s="1"/>
      <c r="Z398" s="1"/>
      <c r="AA398" s="1"/>
      <c r="AB398" s="1"/>
      <c r="AC398" s="1"/>
      <c r="AD398" s="3"/>
      <c r="AE398" s="3"/>
      <c r="AF398" s="5"/>
      <c r="AG398" s="5"/>
      <c r="AH398" s="5"/>
      <c r="AI398" s="5"/>
      <c r="AJ398" s="6"/>
      <c r="AK398" s="6"/>
      <c r="AL398" s="12"/>
      <c r="AM398" s="12"/>
      <c r="AN398" s="12"/>
      <c r="AO398" s="12"/>
      <c r="AP398" s="12"/>
    </row>
    <row r="399" spans="1:42" ht="15" x14ac:dyDescent="0.25">
      <c r="A399" s="82" t="str">
        <f>TDCTRIBE!I407</f>
        <v>Southern Plains</v>
      </c>
      <c r="B399" s="82" t="str">
        <f>TDCTRIBE!B407</f>
        <v>LA</v>
      </c>
      <c r="C399" s="82" t="str">
        <f>TDCTRIBE!F407</f>
        <v>Chitimacha Tribe</v>
      </c>
      <c r="D399" s="83">
        <f>TDCTRIBE!Y407</f>
        <v>261288.67407999997</v>
      </c>
      <c r="E399" s="83">
        <f>TDCTRIBE!Z407</f>
        <v>289560.69119600003</v>
      </c>
      <c r="F399" s="83">
        <f>TDCTRIBE!AA407</f>
        <v>324913.43407600001</v>
      </c>
      <c r="G399" s="83">
        <f>TDCTRIBE!AB407</f>
        <v>350706.21331199998</v>
      </c>
      <c r="H399" s="83">
        <f>TDCTRIBE!AC407</f>
        <v>378165.95420799998</v>
      </c>
      <c r="O399" s="9"/>
      <c r="P399" s="1"/>
      <c r="Q399" s="1"/>
      <c r="R399" s="1"/>
      <c r="S399" s="1"/>
      <c r="T399" s="1"/>
      <c r="U399" s="1"/>
      <c r="V399" s="9"/>
      <c r="W399" s="3"/>
      <c r="X399" s="4"/>
      <c r="Y399" s="1"/>
      <c r="Z399" s="1"/>
      <c r="AA399" s="1"/>
      <c r="AB399" s="1"/>
      <c r="AC399" s="1"/>
      <c r="AD399" s="3"/>
      <c r="AE399" s="3"/>
      <c r="AF399" s="5"/>
      <c r="AG399" s="5"/>
      <c r="AH399" s="5"/>
      <c r="AI399" s="5"/>
      <c r="AJ399" s="6"/>
      <c r="AK399" s="6"/>
      <c r="AL399" s="12"/>
      <c r="AM399" s="12"/>
      <c r="AN399" s="12"/>
      <c r="AO399" s="12"/>
      <c r="AP399" s="12"/>
    </row>
    <row r="400" spans="1:42" ht="15" x14ac:dyDescent="0.25">
      <c r="A400" s="82" t="str">
        <f>TDCTRIBE!I408</f>
        <v>Southern Plains</v>
      </c>
      <c r="B400" s="82" t="str">
        <f>TDCTRIBE!B408</f>
        <v>LA</v>
      </c>
      <c r="C400" s="82" t="str">
        <f>TDCTRIBE!F408</f>
        <v>Coushatta Tribe</v>
      </c>
      <c r="D400" s="83">
        <f>TDCTRIBE!Y408</f>
        <v>261288.67407999997</v>
      </c>
      <c r="E400" s="83">
        <f>TDCTRIBE!Z408</f>
        <v>289560.69119600003</v>
      </c>
      <c r="F400" s="83">
        <f>TDCTRIBE!AA408</f>
        <v>324913.43407600001</v>
      </c>
      <c r="G400" s="83">
        <f>TDCTRIBE!AB408</f>
        <v>350706.21331199998</v>
      </c>
      <c r="H400" s="83">
        <f>TDCTRIBE!AC408</f>
        <v>378165.95420799998</v>
      </c>
      <c r="O400" s="9"/>
      <c r="P400" s="1"/>
      <c r="Q400" s="1"/>
      <c r="R400" s="1"/>
      <c r="S400" s="1"/>
      <c r="T400" s="1"/>
      <c r="U400" s="1"/>
      <c r="V400" s="9"/>
      <c r="W400" s="3"/>
      <c r="X400" s="4"/>
      <c r="Y400" s="1"/>
      <c r="Z400" s="1"/>
      <c r="AA400" s="1"/>
      <c r="AB400" s="1"/>
      <c r="AC400" s="1"/>
      <c r="AD400" s="3"/>
      <c r="AE400" s="3"/>
      <c r="AF400" s="5"/>
      <c r="AG400" s="5"/>
      <c r="AH400" s="5"/>
      <c r="AI400" s="5"/>
      <c r="AJ400" s="6"/>
      <c r="AK400" s="6"/>
      <c r="AL400" s="12"/>
      <c r="AM400" s="12"/>
      <c r="AN400" s="12"/>
      <c r="AO400" s="12"/>
      <c r="AP400" s="12"/>
    </row>
    <row r="401" spans="1:42" ht="15" x14ac:dyDescent="0.25">
      <c r="A401" s="82" t="str">
        <f>TDCTRIBE!I409</f>
        <v>Southern Plains</v>
      </c>
      <c r="B401" s="82" t="str">
        <f>TDCTRIBE!B409</f>
        <v>LA</v>
      </c>
      <c r="C401" s="82" t="str">
        <f>TDCTRIBE!F409</f>
        <v>Jena Band of Choctaw</v>
      </c>
      <c r="D401" s="83">
        <f>TDCTRIBE!Y409</f>
        <v>253413.76158000002</v>
      </c>
      <c r="E401" s="83">
        <f>TDCTRIBE!Z409</f>
        <v>280945.20144600002</v>
      </c>
      <c r="F401" s="83">
        <f>TDCTRIBE!AA409</f>
        <v>315327.80032599997</v>
      </c>
      <c r="G401" s="83">
        <f>TDCTRIBE!AB409</f>
        <v>340460.803312</v>
      </c>
      <c r="H401" s="83">
        <f>TDCTRIBE!AC409</f>
        <v>367129.82420800003</v>
      </c>
      <c r="O401" s="9"/>
      <c r="P401" s="1"/>
      <c r="Q401" s="1"/>
      <c r="R401" s="1"/>
      <c r="S401" s="1"/>
      <c r="T401" s="1"/>
      <c r="U401" s="1"/>
      <c r="V401" s="9"/>
      <c r="W401" s="3"/>
      <c r="X401" s="4"/>
      <c r="Y401" s="7"/>
      <c r="Z401" s="1"/>
      <c r="AA401" s="1"/>
      <c r="AB401" s="1"/>
      <c r="AC401" s="1"/>
      <c r="AD401" s="3"/>
      <c r="AE401" s="3"/>
      <c r="AF401" s="5"/>
      <c r="AG401" s="5"/>
      <c r="AH401" s="5"/>
      <c r="AI401" s="5"/>
      <c r="AJ401" s="6"/>
      <c r="AK401" s="6"/>
      <c r="AL401" s="12"/>
      <c r="AM401" s="12"/>
      <c r="AN401" s="12"/>
      <c r="AO401" s="12"/>
      <c r="AP401" s="12"/>
    </row>
    <row r="402" spans="1:42" ht="15" x14ac:dyDescent="0.25">
      <c r="A402" s="82" t="str">
        <f>TDCTRIBE!I410</f>
        <v>Southern Plains</v>
      </c>
      <c r="B402" s="82" t="str">
        <f>TDCTRIBE!B410</f>
        <v>LA</v>
      </c>
      <c r="C402" s="82" t="str">
        <f>TDCTRIBE!F410</f>
        <v>Tunica-Biloxi Tribe</v>
      </c>
      <c r="D402" s="83">
        <f>TDCTRIBE!Y410</f>
        <v>253413.76158000002</v>
      </c>
      <c r="E402" s="83">
        <f>TDCTRIBE!Z410</f>
        <v>280945.20144600002</v>
      </c>
      <c r="F402" s="83">
        <f>TDCTRIBE!AA410</f>
        <v>315327.80032599997</v>
      </c>
      <c r="G402" s="83">
        <f>TDCTRIBE!AB410</f>
        <v>340460.803312</v>
      </c>
      <c r="H402" s="83">
        <f>TDCTRIBE!AC410</f>
        <v>367129.82420800003</v>
      </c>
      <c r="O402" s="9"/>
      <c r="P402" s="1"/>
      <c r="Q402" s="1"/>
      <c r="R402" s="1"/>
      <c r="S402" s="1"/>
      <c r="T402" s="1"/>
      <c r="U402" s="1"/>
      <c r="V402" s="9"/>
      <c r="W402" s="3"/>
      <c r="X402" s="4"/>
      <c r="Y402" s="1"/>
      <c r="Z402" s="1"/>
      <c r="AA402" s="1"/>
      <c r="AB402" s="1"/>
      <c r="AC402" s="1"/>
      <c r="AD402" s="3"/>
      <c r="AE402" s="3"/>
      <c r="AF402" s="5"/>
      <c r="AG402" s="5"/>
      <c r="AH402" s="5"/>
      <c r="AI402" s="5"/>
      <c r="AJ402" s="6"/>
      <c r="AK402" s="6"/>
      <c r="AL402" s="12"/>
      <c r="AM402" s="12"/>
      <c r="AN402" s="12"/>
      <c r="AO402" s="12"/>
      <c r="AP402" s="12"/>
    </row>
    <row r="403" spans="1:42" ht="15" x14ac:dyDescent="0.25">
      <c r="A403" s="82" t="str">
        <f>TDCTRIBE!I411</f>
        <v>Southern Plains</v>
      </c>
      <c r="B403" s="82" t="str">
        <f>TDCTRIBE!B411</f>
        <v>OK</v>
      </c>
      <c r="C403" s="82" t="str">
        <f>TDCTRIBE!F411</f>
        <v>Absentee-Shawnee</v>
      </c>
      <c r="D403" s="83">
        <f>TDCTRIBE!Y411</f>
        <v>257413.80675500006</v>
      </c>
      <c r="E403" s="83">
        <f>TDCTRIBE!Z411</f>
        <v>285531.63438100001</v>
      </c>
      <c r="F403" s="83">
        <f>TDCTRIBE!AA411</f>
        <v>320586.75896100001</v>
      </c>
      <c r="G403" s="83">
        <f>TDCTRIBE!AB411</f>
        <v>346276.56893199997</v>
      </c>
      <c r="H403" s="83">
        <f>TDCTRIBE!AC411</f>
        <v>373416.765288</v>
      </c>
      <c r="O403" s="9"/>
      <c r="P403" s="1"/>
      <c r="Q403" s="1"/>
      <c r="R403" s="1"/>
      <c r="S403" s="1"/>
      <c r="T403" s="1"/>
      <c r="U403" s="1"/>
      <c r="V403" s="9"/>
      <c r="W403" s="3"/>
      <c r="X403" s="4"/>
      <c r="Y403" s="1"/>
      <c r="Z403" s="1"/>
      <c r="AA403" s="1"/>
      <c r="AB403" s="1"/>
      <c r="AC403" s="1"/>
      <c r="AD403" s="3"/>
      <c r="AE403" s="3"/>
      <c r="AF403" s="5"/>
      <c r="AG403" s="5"/>
      <c r="AH403" s="5"/>
      <c r="AI403" s="5"/>
      <c r="AJ403" s="6"/>
      <c r="AK403" s="6"/>
      <c r="AL403" s="12"/>
      <c r="AM403" s="12"/>
      <c r="AN403" s="12"/>
      <c r="AO403" s="12"/>
      <c r="AP403" s="12"/>
    </row>
    <row r="404" spans="1:42" ht="15" x14ac:dyDescent="0.25">
      <c r="A404" s="82" t="str">
        <f>TDCTRIBE!I412</f>
        <v>Southern Plains</v>
      </c>
      <c r="B404" s="82" t="str">
        <f>TDCTRIBE!B412</f>
        <v>OK</v>
      </c>
      <c r="C404" s="82" t="str">
        <f>TDCTRIBE!F412</f>
        <v>Alabama-Quassarte Tribal Town</v>
      </c>
      <c r="D404" s="83">
        <f>TDCTRIBE!Y412</f>
        <v>254698.78315</v>
      </c>
      <c r="E404" s="83">
        <f>TDCTRIBE!Z412</f>
        <v>282435.15502999997</v>
      </c>
      <c r="F404" s="83">
        <f>TDCTRIBE!AA412</f>
        <v>317047.95843000006</v>
      </c>
      <c r="G404" s="83">
        <f>TDCTRIBE!AB412</f>
        <v>342377.29316</v>
      </c>
      <c r="H404" s="83">
        <f>TDCTRIBE!AC412</f>
        <v>369203.15544000006</v>
      </c>
      <c r="O404" s="9"/>
      <c r="P404" s="1"/>
      <c r="Q404" s="1"/>
      <c r="R404" s="1"/>
      <c r="S404" s="1"/>
      <c r="T404" s="1"/>
      <c r="U404" s="1"/>
      <c r="V404" s="9"/>
      <c r="W404" s="3"/>
      <c r="X404" s="4"/>
      <c r="Y404" s="7"/>
      <c r="Z404" s="1"/>
      <c r="AA404" s="1"/>
      <c r="AB404" s="1"/>
      <c r="AC404" s="1"/>
      <c r="AD404" s="3"/>
      <c r="AE404" s="3"/>
      <c r="AF404" s="5"/>
      <c r="AG404" s="5"/>
      <c r="AH404" s="5"/>
      <c r="AI404" s="5"/>
      <c r="AJ404" s="6"/>
      <c r="AK404" s="6"/>
      <c r="AL404" s="12"/>
      <c r="AM404" s="12"/>
      <c r="AN404" s="12"/>
      <c r="AO404" s="12"/>
      <c r="AP404" s="12"/>
    </row>
    <row r="405" spans="1:42" ht="15" x14ac:dyDescent="0.25">
      <c r="A405" s="82" t="str">
        <f>TDCTRIBE!I413</f>
        <v>Southern Plains</v>
      </c>
      <c r="B405" s="82" t="str">
        <f>TDCTRIBE!B413</f>
        <v>OK</v>
      </c>
      <c r="C405" s="82" t="str">
        <f>TDCTRIBE!F413</f>
        <v>Apache Tribe</v>
      </c>
      <c r="D405" s="83">
        <f>TDCTRIBE!Y413</f>
        <v>252273.72047499998</v>
      </c>
      <c r="E405" s="83">
        <f>TDCTRIBE!Z413</f>
        <v>279571.820045</v>
      </c>
      <c r="F405" s="83">
        <f>TDCTRIBE!AA413</f>
        <v>313706.12654500006</v>
      </c>
      <c r="G405" s="83">
        <f>TDCTRIBE!AB413</f>
        <v>338610.60953999998</v>
      </c>
      <c r="H405" s="83">
        <f>TDCTRIBE!AC413</f>
        <v>365123.44036000001</v>
      </c>
      <c r="O405" s="9"/>
      <c r="P405" s="1"/>
      <c r="Q405" s="1"/>
      <c r="R405" s="1"/>
      <c r="S405" s="1"/>
      <c r="T405" s="1"/>
      <c r="U405" s="1"/>
      <c r="V405" s="9"/>
      <c r="W405" s="3"/>
      <c r="X405" s="4"/>
      <c r="Y405" s="1"/>
      <c r="Z405" s="1"/>
      <c r="AA405" s="1"/>
      <c r="AB405" s="1"/>
      <c r="AC405" s="1"/>
      <c r="AD405" s="3"/>
      <c r="AE405" s="3"/>
      <c r="AF405" s="5"/>
      <c r="AG405" s="5"/>
      <c r="AH405" s="5"/>
      <c r="AI405" s="5"/>
      <c r="AJ405" s="6"/>
      <c r="AK405" s="6"/>
      <c r="AL405" s="12"/>
      <c r="AM405" s="12"/>
      <c r="AN405" s="12"/>
      <c r="AO405" s="12"/>
      <c r="AP405" s="12"/>
    </row>
    <row r="406" spans="1:42" ht="15" x14ac:dyDescent="0.25">
      <c r="A406" s="82" t="str">
        <f>TDCTRIBE!I414</f>
        <v>Southern Plains</v>
      </c>
      <c r="B406" s="82" t="str">
        <f>TDCTRIBE!B414</f>
        <v>OK</v>
      </c>
      <c r="C406" s="82" t="str">
        <f>TDCTRIBE!F414</f>
        <v>Caddo Tribe</v>
      </c>
      <c r="D406" s="83">
        <f>TDCTRIBE!Y414</f>
        <v>252273.72047499998</v>
      </c>
      <c r="E406" s="83">
        <f>TDCTRIBE!Z414</f>
        <v>279571.820045</v>
      </c>
      <c r="F406" s="83">
        <f>TDCTRIBE!AA414</f>
        <v>313706.12654500006</v>
      </c>
      <c r="G406" s="83">
        <f>TDCTRIBE!AB414</f>
        <v>338610.60953999998</v>
      </c>
      <c r="H406" s="83">
        <f>TDCTRIBE!AC414</f>
        <v>365123.44036000001</v>
      </c>
      <c r="O406" s="9"/>
      <c r="P406" s="1"/>
      <c r="Q406" s="1"/>
      <c r="R406" s="1"/>
      <c r="S406" s="1"/>
      <c r="T406" s="1"/>
      <c r="U406" s="1"/>
      <c r="V406" s="9"/>
      <c r="W406" s="3"/>
      <c r="X406" s="4"/>
      <c r="Y406" s="1"/>
      <c r="Z406" s="1"/>
      <c r="AA406" s="1"/>
      <c r="AB406" s="1"/>
      <c r="AC406" s="1"/>
      <c r="AD406" s="3"/>
      <c r="AE406" s="3"/>
      <c r="AF406" s="5"/>
      <c r="AG406" s="5"/>
      <c r="AH406" s="5"/>
      <c r="AI406" s="5"/>
      <c r="AJ406" s="6"/>
      <c r="AK406" s="6"/>
      <c r="AL406" s="12"/>
      <c r="AM406" s="12"/>
      <c r="AN406" s="12"/>
      <c r="AO406" s="12"/>
      <c r="AP406" s="12"/>
    </row>
    <row r="407" spans="1:42" ht="15" x14ac:dyDescent="0.25">
      <c r="A407" s="82" t="str">
        <f>TDCTRIBE!I415</f>
        <v>Southern Plains</v>
      </c>
      <c r="B407" s="82" t="str">
        <f>TDCTRIBE!B415</f>
        <v>OK</v>
      </c>
      <c r="C407" s="82" t="str">
        <f>TDCTRIBE!F415</f>
        <v>Cherokee Nation</v>
      </c>
      <c r="D407" s="83">
        <f>TDCTRIBE!Y415</f>
        <v>254698.78315</v>
      </c>
      <c r="E407" s="83">
        <f>TDCTRIBE!Z415</f>
        <v>282435.15502999997</v>
      </c>
      <c r="F407" s="83">
        <f>TDCTRIBE!AA415</f>
        <v>317047.95843000006</v>
      </c>
      <c r="G407" s="83">
        <f>TDCTRIBE!AB415</f>
        <v>342377.29316</v>
      </c>
      <c r="H407" s="83">
        <f>TDCTRIBE!AC415</f>
        <v>369203.15544000006</v>
      </c>
      <c r="O407" s="9"/>
      <c r="P407" s="1"/>
      <c r="Q407" s="1"/>
      <c r="R407" s="1"/>
      <c r="S407" s="1"/>
      <c r="T407" s="1"/>
      <c r="U407" s="1"/>
      <c r="V407" s="9"/>
      <c r="W407" s="3"/>
      <c r="X407" s="4"/>
      <c r="Y407" s="1"/>
      <c r="Z407" s="1"/>
      <c r="AA407" s="1"/>
      <c r="AB407" s="1"/>
      <c r="AC407" s="1"/>
      <c r="AD407" s="3"/>
      <c r="AE407" s="3"/>
      <c r="AF407" s="5"/>
      <c r="AG407" s="5"/>
      <c r="AH407" s="5"/>
      <c r="AI407" s="5"/>
      <c r="AJ407" s="6"/>
      <c r="AK407" s="6"/>
      <c r="AL407" s="12"/>
      <c r="AM407" s="12"/>
      <c r="AN407" s="12"/>
      <c r="AO407" s="12"/>
      <c r="AP407" s="12"/>
    </row>
    <row r="408" spans="1:42" ht="15" x14ac:dyDescent="0.25">
      <c r="A408" s="82" t="str">
        <f>TDCTRIBE!I416</f>
        <v>Southern Plains</v>
      </c>
      <c r="B408" s="82" t="str">
        <f>TDCTRIBE!B416</f>
        <v>OK</v>
      </c>
      <c r="C408" s="82" t="str">
        <f>TDCTRIBE!F416</f>
        <v>Cheyenne-Arapaho Tribes</v>
      </c>
      <c r="D408" s="83">
        <f>TDCTRIBE!Y416</f>
        <v>260563.77175500002</v>
      </c>
      <c r="E408" s="83">
        <f>TDCTRIBE!Z416</f>
        <v>288977.830281</v>
      </c>
      <c r="F408" s="83">
        <f>TDCTRIBE!AA416</f>
        <v>324421.01246100006</v>
      </c>
      <c r="G408" s="83">
        <f>TDCTRIBE!AB416</f>
        <v>350374.73293200001</v>
      </c>
      <c r="H408" s="83">
        <f>TDCTRIBE!AC416</f>
        <v>377831.21728800004</v>
      </c>
      <c r="O408" s="9"/>
      <c r="P408" s="1"/>
      <c r="Q408" s="1"/>
      <c r="R408" s="1"/>
      <c r="S408" s="1"/>
      <c r="T408" s="1"/>
      <c r="U408" s="1"/>
      <c r="V408" s="9"/>
      <c r="W408" s="3"/>
      <c r="X408" s="4"/>
      <c r="Y408" s="1"/>
      <c r="Z408" s="1"/>
      <c r="AA408" s="1"/>
      <c r="AB408" s="1"/>
      <c r="AC408" s="1"/>
      <c r="AD408" s="3"/>
      <c r="AE408" s="3"/>
      <c r="AF408" s="5"/>
      <c r="AG408" s="5"/>
      <c r="AH408" s="5"/>
      <c r="AI408" s="5"/>
      <c r="AJ408" s="6"/>
      <c r="AK408" s="6"/>
      <c r="AL408" s="12"/>
      <c r="AM408" s="12"/>
      <c r="AN408" s="12"/>
      <c r="AO408" s="12"/>
      <c r="AP408" s="12"/>
    </row>
    <row r="409" spans="1:42" ht="15" x14ac:dyDescent="0.25">
      <c r="A409" s="82" t="str">
        <f>TDCTRIBE!I417</f>
        <v>Southern Plains</v>
      </c>
      <c r="B409" s="82" t="str">
        <f>TDCTRIBE!B417</f>
        <v>OK</v>
      </c>
      <c r="C409" s="82" t="str">
        <f>TDCTRIBE!F417</f>
        <v>Chickasaw</v>
      </c>
      <c r="D409" s="83">
        <f>TDCTRIBE!Y417</f>
        <v>245973.79047500002</v>
      </c>
      <c r="E409" s="83">
        <f>TDCTRIBE!Z417</f>
        <v>272679.42824500002</v>
      </c>
      <c r="F409" s="83">
        <f>TDCTRIBE!AA417</f>
        <v>306037.61954500002</v>
      </c>
      <c r="G409" s="83">
        <f>TDCTRIBE!AB417</f>
        <v>330414.28154</v>
      </c>
      <c r="H409" s="83">
        <f>TDCTRIBE!AC417</f>
        <v>356294.53636000003</v>
      </c>
      <c r="O409" s="9"/>
      <c r="P409" s="1"/>
      <c r="Q409" s="1"/>
      <c r="R409" s="1"/>
      <c r="S409" s="1"/>
      <c r="T409" s="1"/>
      <c r="U409" s="1"/>
      <c r="V409" s="9"/>
      <c r="W409" s="3"/>
      <c r="X409" s="4"/>
      <c r="Y409" s="1"/>
      <c r="Z409" s="1"/>
      <c r="AA409" s="1"/>
      <c r="AB409" s="1"/>
      <c r="AC409" s="1"/>
      <c r="AD409" s="3"/>
      <c r="AE409" s="3"/>
      <c r="AF409" s="5"/>
      <c r="AG409" s="5"/>
      <c r="AH409" s="5"/>
      <c r="AI409" s="5"/>
      <c r="AJ409" s="6"/>
      <c r="AK409" s="6"/>
      <c r="AL409" s="12"/>
      <c r="AM409" s="12"/>
      <c r="AN409" s="12"/>
      <c r="AO409" s="12"/>
      <c r="AP409" s="12"/>
    </row>
    <row r="410" spans="1:42" ht="15" x14ac:dyDescent="0.25">
      <c r="A410" s="82" t="str">
        <f>TDCTRIBE!I418</f>
        <v>Southern Plains</v>
      </c>
      <c r="B410" s="82" t="str">
        <f>TDCTRIBE!B418</f>
        <v>OK</v>
      </c>
      <c r="C410" s="82" t="str">
        <f>TDCTRIBE!F418</f>
        <v>Choctaw Nation</v>
      </c>
      <c r="D410" s="83">
        <f>TDCTRIBE!Y418</f>
        <v>251548.81815000004</v>
      </c>
      <c r="E410" s="83">
        <f>TDCTRIBE!Z418</f>
        <v>278988.95912999997</v>
      </c>
      <c r="F410" s="83">
        <f>TDCTRIBE!AA418</f>
        <v>313213.70493000007</v>
      </c>
      <c r="G410" s="83">
        <f>TDCTRIBE!AB418</f>
        <v>338279.12916000001</v>
      </c>
      <c r="H410" s="83">
        <f>TDCTRIBE!AC418</f>
        <v>364788.70344000001</v>
      </c>
      <c r="O410" s="9"/>
      <c r="P410" s="1"/>
      <c r="Q410" s="1"/>
      <c r="R410" s="1"/>
      <c r="S410" s="1"/>
      <c r="T410" s="1"/>
      <c r="U410" s="1"/>
      <c r="V410" s="9"/>
      <c r="W410" s="3"/>
      <c r="X410" s="4"/>
      <c r="Y410" s="1"/>
      <c r="Z410" s="1"/>
      <c r="AA410" s="1"/>
      <c r="AB410" s="1"/>
      <c r="AC410" s="1"/>
      <c r="AD410" s="3"/>
      <c r="AE410" s="3"/>
      <c r="AF410" s="5"/>
      <c r="AG410" s="5"/>
      <c r="AH410" s="5"/>
      <c r="AI410" s="5"/>
      <c r="AJ410" s="6"/>
      <c r="AK410" s="6"/>
      <c r="AL410" s="12"/>
      <c r="AM410" s="12"/>
      <c r="AN410" s="12"/>
      <c r="AO410" s="12"/>
      <c r="AP410" s="12"/>
    </row>
    <row r="411" spans="1:42" ht="15" x14ac:dyDescent="0.25">
      <c r="A411" s="82" t="str">
        <f>TDCTRIBE!I419</f>
        <v>Southern Plains</v>
      </c>
      <c r="B411" s="82" t="str">
        <f>TDCTRIBE!B419</f>
        <v>OK</v>
      </c>
      <c r="C411" s="82" t="str">
        <f>TDCTRIBE!F419</f>
        <v>Citizen Band Potawatomi Tribe</v>
      </c>
      <c r="D411" s="83">
        <f>TDCTRIBE!Y419</f>
        <v>257413.80675500006</v>
      </c>
      <c r="E411" s="83">
        <f>TDCTRIBE!Z419</f>
        <v>285531.63438100001</v>
      </c>
      <c r="F411" s="83">
        <f>TDCTRIBE!AA419</f>
        <v>320586.75896100001</v>
      </c>
      <c r="G411" s="83">
        <f>TDCTRIBE!AB419</f>
        <v>346276.56893199997</v>
      </c>
      <c r="H411" s="83">
        <f>TDCTRIBE!AC419</f>
        <v>373416.765288</v>
      </c>
      <c r="O411" s="9"/>
      <c r="P411" s="1"/>
      <c r="Q411" s="1"/>
      <c r="R411" s="1"/>
      <c r="S411" s="1"/>
      <c r="T411" s="1"/>
      <c r="U411" s="1"/>
      <c r="V411" s="9"/>
      <c r="W411" s="3"/>
      <c r="X411" s="4"/>
      <c r="Y411" s="1"/>
      <c r="Z411" s="1"/>
      <c r="AA411" s="1"/>
      <c r="AB411" s="1"/>
      <c r="AC411" s="1"/>
      <c r="AD411" s="3"/>
      <c r="AE411" s="3"/>
      <c r="AF411" s="5"/>
      <c r="AG411" s="5"/>
      <c r="AH411" s="5"/>
      <c r="AI411" s="5"/>
      <c r="AJ411" s="6"/>
      <c r="AK411" s="6"/>
      <c r="AL411" s="12"/>
      <c r="AM411" s="12"/>
      <c r="AN411" s="12"/>
      <c r="AO411" s="12"/>
      <c r="AP411" s="12"/>
    </row>
    <row r="412" spans="1:42" ht="15" x14ac:dyDescent="0.25">
      <c r="A412" s="82" t="str">
        <f>TDCTRIBE!I420</f>
        <v>Southern Plains</v>
      </c>
      <c r="B412" s="82" t="str">
        <f>TDCTRIBE!B420</f>
        <v>OK</v>
      </c>
      <c r="C412" s="82" t="str">
        <f>TDCTRIBE!F420</f>
        <v>Comanche Tribe</v>
      </c>
      <c r="D412" s="83">
        <f>TDCTRIBE!Y420</f>
        <v>250698.737975</v>
      </c>
      <c r="E412" s="83">
        <f>TDCTRIBE!Z420</f>
        <v>277848.72209499998</v>
      </c>
      <c r="F412" s="83">
        <f>TDCTRIBE!AA420</f>
        <v>311788.99979500001</v>
      </c>
      <c r="G412" s="83">
        <f>TDCTRIBE!AB420</f>
        <v>336561.52753999998</v>
      </c>
      <c r="H412" s="83">
        <f>TDCTRIBE!AC420</f>
        <v>362916.21435999998</v>
      </c>
      <c r="O412" s="9"/>
      <c r="P412" s="1"/>
      <c r="Q412" s="1"/>
      <c r="R412" s="1"/>
      <c r="S412" s="1"/>
      <c r="T412" s="1"/>
      <c r="U412" s="1"/>
      <c r="V412" s="9"/>
      <c r="W412" s="3"/>
      <c r="X412" s="4"/>
      <c r="Y412" s="1"/>
      <c r="Z412" s="1"/>
      <c r="AA412" s="1"/>
      <c r="AB412" s="1"/>
      <c r="AC412" s="1"/>
      <c r="AD412" s="3"/>
      <c r="AE412" s="3"/>
      <c r="AF412" s="5"/>
      <c r="AG412" s="5"/>
      <c r="AH412" s="5"/>
      <c r="AI412" s="5"/>
      <c r="AJ412" s="6"/>
      <c r="AK412" s="6"/>
      <c r="AL412" s="12"/>
      <c r="AM412" s="12"/>
      <c r="AN412" s="12"/>
      <c r="AO412" s="12"/>
      <c r="AP412" s="12"/>
    </row>
    <row r="413" spans="1:42" ht="15" x14ac:dyDescent="0.25">
      <c r="A413" s="82" t="str">
        <f>TDCTRIBE!I421</f>
        <v>Southern Plains</v>
      </c>
      <c r="B413" s="82" t="str">
        <f>TDCTRIBE!B421</f>
        <v>OK</v>
      </c>
      <c r="C413" s="82" t="str">
        <f>TDCTRIBE!F421</f>
        <v>Delaware Tribe</v>
      </c>
      <c r="D413" s="83">
        <f>TDCTRIBE!Y421</f>
        <v>252273.72047499998</v>
      </c>
      <c r="E413" s="83">
        <f>TDCTRIBE!Z421</f>
        <v>279571.820045</v>
      </c>
      <c r="F413" s="83">
        <f>TDCTRIBE!AA421</f>
        <v>313706.12654500006</v>
      </c>
      <c r="G413" s="83">
        <f>TDCTRIBE!AB421</f>
        <v>338610.60953999998</v>
      </c>
      <c r="H413" s="83">
        <f>TDCTRIBE!AC421</f>
        <v>365123.44036000001</v>
      </c>
      <c r="O413" s="9"/>
      <c r="P413" s="1"/>
      <c r="Q413" s="1"/>
      <c r="R413" s="1"/>
      <c r="S413" s="1"/>
      <c r="T413" s="1"/>
      <c r="U413" s="1"/>
      <c r="V413" s="9"/>
      <c r="W413" s="3"/>
      <c r="X413" s="4"/>
      <c r="Y413" s="1"/>
      <c r="Z413" s="1"/>
      <c r="AA413" s="1"/>
      <c r="AB413" s="1"/>
      <c r="AC413" s="1"/>
      <c r="AD413" s="3"/>
      <c r="AE413" s="3"/>
      <c r="AF413" s="5"/>
      <c r="AG413" s="5"/>
      <c r="AH413" s="5"/>
      <c r="AI413" s="5"/>
      <c r="AJ413" s="6"/>
      <c r="AK413" s="6"/>
      <c r="AL413" s="12"/>
      <c r="AM413" s="12"/>
      <c r="AN413" s="12"/>
      <c r="AO413" s="12"/>
      <c r="AP413" s="12"/>
    </row>
    <row r="414" spans="1:42" ht="15" x14ac:dyDescent="0.25">
      <c r="A414" s="82" t="str">
        <f>TDCTRIBE!I422</f>
        <v>Southern Plains</v>
      </c>
      <c r="B414" s="82" t="str">
        <f>TDCTRIBE!B422</f>
        <v>OK</v>
      </c>
      <c r="C414" s="82" t="str">
        <f>TDCTRIBE!F422</f>
        <v>Delaware Tribe of Indians (Eastern)</v>
      </c>
      <c r="D414" s="83">
        <f>TDCTRIBE!Y422</f>
        <v>254698.78315</v>
      </c>
      <c r="E414" s="83">
        <f>TDCTRIBE!Z422</f>
        <v>282435.15502999997</v>
      </c>
      <c r="F414" s="83">
        <f>TDCTRIBE!AA422</f>
        <v>317047.95843000006</v>
      </c>
      <c r="G414" s="83">
        <f>TDCTRIBE!AB422</f>
        <v>342377.29316</v>
      </c>
      <c r="H414" s="83">
        <f>TDCTRIBE!AC422</f>
        <v>369203.15544000006</v>
      </c>
      <c r="O414" s="9"/>
      <c r="P414" s="1"/>
      <c r="Q414" s="1"/>
      <c r="R414" s="1"/>
      <c r="S414" s="1"/>
      <c r="T414" s="1"/>
      <c r="U414" s="1"/>
      <c r="V414" s="9"/>
      <c r="W414" s="3"/>
      <c r="X414" s="4"/>
      <c r="Y414" s="1"/>
      <c r="Z414" s="7"/>
      <c r="AA414" s="1"/>
      <c r="AB414" s="1"/>
      <c r="AC414" s="1"/>
      <c r="AD414" s="3"/>
      <c r="AE414" s="3"/>
      <c r="AF414" s="5"/>
      <c r="AG414" s="5"/>
      <c r="AH414" s="5"/>
      <c r="AI414" s="5"/>
      <c r="AJ414" s="6"/>
      <c r="AK414" s="6"/>
      <c r="AL414" s="12"/>
      <c r="AM414" s="12"/>
      <c r="AN414" s="12"/>
      <c r="AO414" s="12"/>
      <c r="AP414" s="12"/>
    </row>
    <row r="415" spans="1:42" ht="15" x14ac:dyDescent="0.25">
      <c r="A415" s="82" t="str">
        <f>TDCTRIBE!I423</f>
        <v>Southern Plains</v>
      </c>
      <c r="B415" s="82" t="str">
        <f>TDCTRIBE!B423</f>
        <v>OK</v>
      </c>
      <c r="C415" s="82" t="str">
        <f>TDCTRIBE!F423</f>
        <v>Eastern Shawnee Tribe</v>
      </c>
      <c r="D415" s="83">
        <f>TDCTRIBE!Y423</f>
        <v>254698.78315</v>
      </c>
      <c r="E415" s="83">
        <f>TDCTRIBE!Z423</f>
        <v>282435.15502999997</v>
      </c>
      <c r="F415" s="83">
        <f>TDCTRIBE!AA423</f>
        <v>317047.95843000006</v>
      </c>
      <c r="G415" s="83">
        <f>TDCTRIBE!AB423</f>
        <v>342377.29316</v>
      </c>
      <c r="H415" s="83">
        <f>TDCTRIBE!AC423</f>
        <v>369203.15544000006</v>
      </c>
      <c r="O415" s="9"/>
      <c r="P415" s="1"/>
      <c r="Q415" s="1"/>
      <c r="R415" s="1"/>
      <c r="S415" s="1"/>
      <c r="T415" s="1"/>
      <c r="U415" s="1"/>
      <c r="V415" s="9"/>
      <c r="W415" s="3"/>
      <c r="X415" s="4"/>
      <c r="Y415" s="1"/>
      <c r="Z415" s="1"/>
      <c r="AA415" s="1"/>
      <c r="AB415" s="1"/>
      <c r="AC415" s="1"/>
      <c r="AD415" s="3"/>
      <c r="AE415" s="3"/>
      <c r="AF415" s="5"/>
      <c r="AG415" s="5"/>
      <c r="AH415" s="5"/>
      <c r="AI415" s="5"/>
      <c r="AJ415" s="6"/>
      <c r="AK415" s="6"/>
      <c r="AL415" s="12"/>
      <c r="AM415" s="12"/>
      <c r="AN415" s="12"/>
      <c r="AO415" s="12"/>
      <c r="AP415" s="12"/>
    </row>
    <row r="416" spans="1:42" ht="15" x14ac:dyDescent="0.25">
      <c r="A416" s="82" t="str">
        <f>TDCTRIBE!I424</f>
        <v>Southern Plains</v>
      </c>
      <c r="B416" s="82" t="str">
        <f>TDCTRIBE!B424</f>
        <v>OK</v>
      </c>
      <c r="C416" s="82" t="str">
        <f>TDCTRIBE!F424</f>
        <v>Fort Sill Apache Tribe</v>
      </c>
      <c r="D416" s="83">
        <f>TDCTRIBE!Y424</f>
        <v>252273.72047499998</v>
      </c>
      <c r="E416" s="83">
        <f>TDCTRIBE!Z424</f>
        <v>279571.820045</v>
      </c>
      <c r="F416" s="83">
        <f>TDCTRIBE!AA424</f>
        <v>313706.12654500006</v>
      </c>
      <c r="G416" s="83">
        <f>TDCTRIBE!AB424</f>
        <v>338610.60953999998</v>
      </c>
      <c r="H416" s="83">
        <f>TDCTRIBE!AC424</f>
        <v>365123.44036000001</v>
      </c>
      <c r="O416" s="9"/>
      <c r="P416" s="1"/>
      <c r="Q416" s="1"/>
      <c r="R416" s="1"/>
      <c r="S416" s="1"/>
      <c r="T416" s="1"/>
      <c r="U416" s="1"/>
      <c r="V416" s="9"/>
      <c r="W416" s="3"/>
      <c r="X416" s="4"/>
      <c r="Y416" s="1"/>
      <c r="Z416" s="1"/>
      <c r="AA416" s="1"/>
      <c r="AB416" s="1"/>
      <c r="AC416" s="8"/>
      <c r="AD416" s="3"/>
      <c r="AE416" s="3"/>
      <c r="AF416" s="5"/>
      <c r="AG416" s="5"/>
      <c r="AH416" s="5"/>
      <c r="AI416" s="5"/>
      <c r="AJ416" s="6"/>
      <c r="AK416" s="6"/>
      <c r="AL416" s="12"/>
      <c r="AM416" s="12"/>
      <c r="AN416" s="12"/>
      <c r="AO416" s="12"/>
      <c r="AP416" s="12"/>
    </row>
    <row r="417" spans="1:42" ht="15" x14ac:dyDescent="0.25">
      <c r="A417" s="82" t="str">
        <f>TDCTRIBE!I425</f>
        <v>Southern Plains</v>
      </c>
      <c r="B417" s="82" t="str">
        <f>TDCTRIBE!B425</f>
        <v>OK</v>
      </c>
      <c r="C417" s="82" t="str">
        <f>TDCTRIBE!F425</f>
        <v>Iowa Tribe of Oklahoma</v>
      </c>
      <c r="D417" s="83">
        <f>TDCTRIBE!Y425</f>
        <v>262138.75425500001</v>
      </c>
      <c r="E417" s="83">
        <f>TDCTRIBE!Z425</f>
        <v>290700.92823100003</v>
      </c>
      <c r="F417" s="83">
        <f>TDCTRIBE!AA425</f>
        <v>326338.13921100006</v>
      </c>
      <c r="G417" s="83">
        <f>TDCTRIBE!AB425</f>
        <v>352423.81493200001</v>
      </c>
      <c r="H417" s="83">
        <f>TDCTRIBE!AC425</f>
        <v>380038.44328799995</v>
      </c>
      <c r="O417" s="9"/>
      <c r="P417" s="1"/>
      <c r="Q417" s="1"/>
      <c r="R417" s="1"/>
      <c r="S417" s="1"/>
      <c r="T417" s="1"/>
      <c r="U417" s="1"/>
      <c r="V417" s="9"/>
      <c r="W417" s="3"/>
      <c r="X417" s="4"/>
      <c r="Y417" s="1"/>
      <c r="Z417" s="1"/>
      <c r="AA417" s="1"/>
      <c r="AB417" s="1"/>
      <c r="AC417" s="1"/>
      <c r="AD417" s="3"/>
      <c r="AE417" s="3"/>
      <c r="AF417" s="5"/>
      <c r="AG417" s="5"/>
      <c r="AH417" s="5"/>
      <c r="AI417" s="5"/>
      <c r="AJ417" s="6"/>
      <c r="AK417" s="6"/>
      <c r="AL417" s="12"/>
      <c r="AM417" s="12"/>
      <c r="AN417" s="12"/>
      <c r="AO417" s="12"/>
      <c r="AP417" s="12"/>
    </row>
    <row r="418" spans="1:42" ht="15" x14ac:dyDescent="0.25">
      <c r="A418" s="82" t="str">
        <f>TDCTRIBE!I426</f>
        <v>Southern Plains</v>
      </c>
      <c r="B418" s="82" t="str">
        <f>TDCTRIBE!B426</f>
        <v>OK</v>
      </c>
      <c r="C418" s="82" t="str">
        <f>TDCTRIBE!F426</f>
        <v>Kaw Tribe</v>
      </c>
      <c r="D418" s="83">
        <f>TDCTRIBE!Y426</f>
        <v>257413.80675500006</v>
      </c>
      <c r="E418" s="83">
        <f>TDCTRIBE!Z426</f>
        <v>285531.63438100001</v>
      </c>
      <c r="F418" s="83">
        <f>TDCTRIBE!AA426</f>
        <v>320586.75896100001</v>
      </c>
      <c r="G418" s="83">
        <f>TDCTRIBE!AB426</f>
        <v>346276.56893199997</v>
      </c>
      <c r="H418" s="83">
        <f>TDCTRIBE!AC426</f>
        <v>373416.765288</v>
      </c>
      <c r="O418" s="9"/>
      <c r="P418" s="1"/>
      <c r="Q418" s="1"/>
      <c r="R418" s="1"/>
      <c r="S418" s="1"/>
      <c r="T418" s="1"/>
      <c r="U418" s="1"/>
      <c r="V418" s="9"/>
      <c r="W418" s="3"/>
      <c r="X418" s="4"/>
      <c r="Y418" s="1"/>
      <c r="Z418" s="1"/>
      <c r="AA418" s="1"/>
      <c r="AB418" s="1"/>
      <c r="AC418" s="1"/>
      <c r="AD418" s="3"/>
      <c r="AE418" s="3"/>
      <c r="AF418" s="5"/>
      <c r="AG418" s="5"/>
      <c r="AH418" s="5"/>
      <c r="AI418" s="5"/>
      <c r="AJ418" s="6"/>
      <c r="AK418" s="6"/>
      <c r="AL418" s="12"/>
      <c r="AM418" s="12"/>
      <c r="AN418" s="12"/>
      <c r="AO418" s="12"/>
      <c r="AP418" s="12"/>
    </row>
    <row r="419" spans="1:42" ht="15" x14ac:dyDescent="0.25">
      <c r="A419" s="82" t="str">
        <f>TDCTRIBE!I427</f>
        <v>Southern Plains</v>
      </c>
      <c r="B419" s="82" t="str">
        <f>TDCTRIBE!B427</f>
        <v>OK</v>
      </c>
      <c r="C419" s="82" t="str">
        <f>TDCTRIBE!F427</f>
        <v>Kialegee Tribal Town</v>
      </c>
      <c r="D419" s="83">
        <f>TDCTRIBE!Y427</f>
        <v>253123.80065000002</v>
      </c>
      <c r="E419" s="83">
        <f>TDCTRIBE!Z427</f>
        <v>280712.05708</v>
      </c>
      <c r="F419" s="83">
        <f>TDCTRIBE!AA427</f>
        <v>315130.83168000006</v>
      </c>
      <c r="G419" s="83">
        <f>TDCTRIBE!AB427</f>
        <v>340328.21116000001</v>
      </c>
      <c r="H419" s="83">
        <f>TDCTRIBE!AC427</f>
        <v>366995.92943999998</v>
      </c>
      <c r="O419" s="9"/>
      <c r="P419" s="1"/>
      <c r="Q419" s="1"/>
      <c r="R419" s="1"/>
      <c r="S419" s="1"/>
      <c r="T419" s="1"/>
      <c r="U419" s="1"/>
      <c r="V419" s="9"/>
      <c r="W419" s="3"/>
      <c r="X419" s="4"/>
      <c r="Y419" s="1"/>
      <c r="Z419" s="1"/>
      <c r="AA419" s="1"/>
      <c r="AB419" s="1"/>
      <c r="AC419" s="1"/>
      <c r="AD419" s="3"/>
      <c r="AE419" s="3"/>
      <c r="AF419" s="5"/>
      <c r="AG419" s="5"/>
      <c r="AH419" s="5"/>
      <c r="AI419" s="5"/>
      <c r="AJ419" s="6"/>
      <c r="AK419" s="6"/>
      <c r="AL419" s="12"/>
      <c r="AM419" s="12"/>
      <c r="AN419" s="12"/>
      <c r="AO419" s="12"/>
      <c r="AP419" s="12"/>
    </row>
    <row r="420" spans="1:42" ht="15" x14ac:dyDescent="0.25">
      <c r="A420" s="82" t="str">
        <f>TDCTRIBE!I428</f>
        <v>Southern Plains</v>
      </c>
      <c r="B420" s="82" t="str">
        <f>TDCTRIBE!B428</f>
        <v>OK</v>
      </c>
      <c r="C420" s="82" t="str">
        <f>TDCTRIBE!F428</f>
        <v>Kickapoo Tribe of Oklahoma</v>
      </c>
      <c r="D420" s="83">
        <f>TDCTRIBE!Y428</f>
        <v>253123.80065000002</v>
      </c>
      <c r="E420" s="83">
        <f>TDCTRIBE!Z428</f>
        <v>280712.05708</v>
      </c>
      <c r="F420" s="83">
        <f>TDCTRIBE!AA428</f>
        <v>315130.83168000006</v>
      </c>
      <c r="G420" s="83">
        <f>TDCTRIBE!AB428</f>
        <v>340328.21116000001</v>
      </c>
      <c r="H420" s="83">
        <f>TDCTRIBE!AC428</f>
        <v>366995.92943999998</v>
      </c>
      <c r="O420" s="9"/>
      <c r="P420" s="1"/>
      <c r="Q420" s="1"/>
      <c r="R420" s="1"/>
      <c r="S420" s="7"/>
      <c r="T420" s="1"/>
      <c r="U420" s="1"/>
      <c r="V420" s="9"/>
      <c r="W420" s="3"/>
      <c r="X420" s="4"/>
      <c r="Y420" s="7"/>
      <c r="Z420" s="1"/>
      <c r="AA420" s="1"/>
      <c r="AB420" s="1"/>
      <c r="AC420" s="1"/>
      <c r="AD420" s="3"/>
      <c r="AE420" s="3"/>
      <c r="AF420" s="5"/>
      <c r="AG420" s="5"/>
      <c r="AH420" s="5"/>
      <c r="AI420" s="5"/>
      <c r="AJ420" s="6"/>
      <c r="AK420" s="6"/>
      <c r="AL420" s="12"/>
      <c r="AM420" s="12"/>
      <c r="AN420" s="12"/>
      <c r="AO420" s="12"/>
      <c r="AP420" s="12"/>
    </row>
    <row r="421" spans="1:42" ht="15" x14ac:dyDescent="0.25">
      <c r="A421" s="82" t="str">
        <f>TDCTRIBE!I429</f>
        <v>Southern Plains</v>
      </c>
      <c r="B421" s="82" t="str">
        <f>TDCTRIBE!B429</f>
        <v>OK</v>
      </c>
      <c r="C421" s="82" t="str">
        <f>TDCTRIBE!F429</f>
        <v>Kiowa Tribe</v>
      </c>
      <c r="D421" s="83">
        <f>TDCTRIBE!Y429</f>
        <v>252273.72047499998</v>
      </c>
      <c r="E421" s="83">
        <f>TDCTRIBE!Z429</f>
        <v>279571.820045</v>
      </c>
      <c r="F421" s="83">
        <f>TDCTRIBE!AA429</f>
        <v>313706.12654500006</v>
      </c>
      <c r="G421" s="83">
        <f>TDCTRIBE!AB429</f>
        <v>338610.60953999998</v>
      </c>
      <c r="H421" s="83">
        <f>TDCTRIBE!AC429</f>
        <v>365123.44036000001</v>
      </c>
      <c r="O421" s="9"/>
      <c r="P421" s="1"/>
      <c r="Q421" s="1"/>
      <c r="R421" s="1"/>
      <c r="S421" s="1"/>
      <c r="T421" s="1"/>
      <c r="U421" s="1"/>
      <c r="V421" s="9"/>
      <c r="W421" s="3"/>
      <c r="X421" s="4"/>
      <c r="Y421" s="1"/>
      <c r="Z421" s="1"/>
      <c r="AA421" s="1"/>
      <c r="AB421" s="1"/>
      <c r="AC421" s="1"/>
      <c r="AD421" s="3"/>
      <c r="AE421" s="3"/>
      <c r="AF421" s="5"/>
      <c r="AG421" s="5"/>
      <c r="AH421" s="5"/>
      <c r="AI421" s="5"/>
      <c r="AJ421" s="6"/>
      <c r="AK421" s="6"/>
      <c r="AL421" s="12"/>
      <c r="AM421" s="12"/>
      <c r="AN421" s="12"/>
      <c r="AO421" s="12"/>
      <c r="AP421" s="12"/>
    </row>
    <row r="422" spans="1:42" ht="15" x14ac:dyDescent="0.25">
      <c r="A422" s="82" t="str">
        <f>TDCTRIBE!I430</f>
        <v>Southern Plains</v>
      </c>
      <c r="B422" s="82" t="str">
        <f>TDCTRIBE!B430</f>
        <v>OK</v>
      </c>
      <c r="C422" s="82" t="str">
        <f>TDCTRIBE!F430</f>
        <v>Loyal Shawnee of OK</v>
      </c>
      <c r="D422" s="83">
        <f>TDCTRIBE!Y430</f>
        <v>254698.78315</v>
      </c>
      <c r="E422" s="83">
        <f>TDCTRIBE!Z430</f>
        <v>282435.15502999997</v>
      </c>
      <c r="F422" s="83">
        <f>TDCTRIBE!AA430</f>
        <v>317047.95843000006</v>
      </c>
      <c r="G422" s="83">
        <f>TDCTRIBE!AB430</f>
        <v>342377.29316</v>
      </c>
      <c r="H422" s="83">
        <f>TDCTRIBE!AC430</f>
        <v>369203.15544000006</v>
      </c>
      <c r="O422" s="9"/>
      <c r="P422" s="1"/>
      <c r="Q422" s="1"/>
      <c r="R422" s="1"/>
      <c r="S422" s="1"/>
      <c r="T422" s="1"/>
      <c r="U422" s="1"/>
      <c r="V422" s="9"/>
      <c r="W422" s="3"/>
      <c r="X422" s="4"/>
      <c r="Y422" s="1"/>
      <c r="Z422" s="1"/>
      <c r="AA422" s="1"/>
      <c r="AB422" s="1"/>
      <c r="AC422" s="1"/>
      <c r="AD422" s="3"/>
      <c r="AE422" s="3"/>
      <c r="AF422" s="5"/>
      <c r="AG422" s="5"/>
      <c r="AH422" s="5"/>
      <c r="AI422" s="5"/>
      <c r="AJ422" s="6"/>
      <c r="AK422" s="6"/>
      <c r="AL422" s="12"/>
      <c r="AM422" s="12"/>
      <c r="AN422" s="12"/>
      <c r="AO422" s="12"/>
      <c r="AP422" s="12"/>
    </row>
    <row r="423" spans="1:42" ht="15" x14ac:dyDescent="0.25">
      <c r="A423" s="82" t="str">
        <f>TDCTRIBE!I431</f>
        <v>Southern Plains</v>
      </c>
      <c r="B423" s="82" t="str">
        <f>TDCTRIBE!B431</f>
        <v>OK</v>
      </c>
      <c r="C423" s="82" t="str">
        <f>TDCTRIBE!F431</f>
        <v>Miami Tribe</v>
      </c>
      <c r="D423" s="83">
        <f>TDCTRIBE!Y431</f>
        <v>254698.78315</v>
      </c>
      <c r="E423" s="83">
        <f>TDCTRIBE!Z431</f>
        <v>282435.15502999997</v>
      </c>
      <c r="F423" s="83">
        <f>TDCTRIBE!AA431</f>
        <v>317047.95843000006</v>
      </c>
      <c r="G423" s="83">
        <f>TDCTRIBE!AB431</f>
        <v>342377.29316</v>
      </c>
      <c r="H423" s="83">
        <f>TDCTRIBE!AC431</f>
        <v>369203.15544000006</v>
      </c>
      <c r="O423" s="9"/>
      <c r="P423" s="1"/>
      <c r="Q423" s="1"/>
      <c r="R423" s="1"/>
      <c r="S423" s="1"/>
      <c r="T423" s="1"/>
      <c r="U423" s="1"/>
      <c r="V423" s="9"/>
      <c r="W423" s="3"/>
      <c r="X423" s="4"/>
      <c r="Y423" s="1"/>
      <c r="Z423" s="1"/>
      <c r="AA423" s="1"/>
      <c r="AB423" s="1"/>
      <c r="AC423" s="1"/>
      <c r="AD423" s="3"/>
      <c r="AE423" s="3"/>
      <c r="AF423" s="5"/>
      <c r="AG423" s="5"/>
      <c r="AH423" s="5"/>
      <c r="AI423" s="5"/>
      <c r="AJ423" s="6"/>
      <c r="AK423" s="6"/>
      <c r="AL423" s="12"/>
      <c r="AM423" s="12"/>
      <c r="AN423" s="12"/>
      <c r="AO423" s="12"/>
      <c r="AP423" s="12"/>
    </row>
    <row r="424" spans="1:42" ht="15" x14ac:dyDescent="0.25">
      <c r="A424" s="82" t="str">
        <f>TDCTRIBE!I432</f>
        <v>Southern Plains</v>
      </c>
      <c r="B424" s="82" t="str">
        <f>TDCTRIBE!B432</f>
        <v>OK</v>
      </c>
      <c r="C424" s="82" t="str">
        <f>TDCTRIBE!F432</f>
        <v>Modoc Tribe</v>
      </c>
      <c r="D424" s="83">
        <f>TDCTRIBE!Y432</f>
        <v>254698.78315</v>
      </c>
      <c r="E424" s="83">
        <f>TDCTRIBE!Z432</f>
        <v>282435.15502999997</v>
      </c>
      <c r="F424" s="83">
        <f>TDCTRIBE!AA432</f>
        <v>317047.95843000006</v>
      </c>
      <c r="G424" s="83">
        <f>TDCTRIBE!AB432</f>
        <v>342377.29316</v>
      </c>
      <c r="H424" s="83">
        <f>TDCTRIBE!AC432</f>
        <v>369203.15544000006</v>
      </c>
      <c r="O424" s="9"/>
      <c r="P424" s="1"/>
      <c r="Q424" s="1"/>
      <c r="R424" s="1"/>
      <c r="S424" s="1"/>
      <c r="T424" s="1"/>
      <c r="U424" s="1"/>
      <c r="V424" s="9"/>
      <c r="W424" s="3"/>
      <c r="X424" s="4"/>
      <c r="Y424" s="1"/>
      <c r="Z424" s="1"/>
      <c r="AA424" s="1"/>
      <c r="AB424" s="1"/>
      <c r="AC424" s="1"/>
      <c r="AD424" s="3"/>
      <c r="AE424" s="3"/>
      <c r="AF424" s="5"/>
      <c r="AG424" s="5"/>
      <c r="AH424" s="5"/>
      <c r="AI424" s="5"/>
      <c r="AJ424" s="6"/>
      <c r="AK424" s="6"/>
      <c r="AL424" s="12"/>
      <c r="AM424" s="12"/>
      <c r="AN424" s="12"/>
      <c r="AO424" s="12"/>
      <c r="AP424" s="12"/>
    </row>
    <row r="425" spans="1:42" ht="15" x14ac:dyDescent="0.25">
      <c r="A425" s="82" t="str">
        <f>TDCTRIBE!I433</f>
        <v>Southern Plains</v>
      </c>
      <c r="B425" s="82" t="str">
        <f>TDCTRIBE!B433</f>
        <v>OK</v>
      </c>
      <c r="C425" s="82" t="str">
        <f>TDCTRIBE!F433</f>
        <v>Muskogee (Creek) Nation</v>
      </c>
      <c r="D425" s="83">
        <f>TDCTRIBE!Y433</f>
        <v>254698.78315</v>
      </c>
      <c r="E425" s="83">
        <f>TDCTRIBE!Z433</f>
        <v>282435.15502999997</v>
      </c>
      <c r="F425" s="83">
        <f>TDCTRIBE!AA433</f>
        <v>317047.95843000006</v>
      </c>
      <c r="G425" s="83">
        <f>TDCTRIBE!AB433</f>
        <v>342377.29316</v>
      </c>
      <c r="H425" s="83">
        <f>TDCTRIBE!AC433</f>
        <v>369203.15544000006</v>
      </c>
      <c r="O425" s="9"/>
      <c r="P425" s="1"/>
      <c r="Q425" s="1"/>
      <c r="R425" s="1"/>
      <c r="S425" s="1"/>
      <c r="T425" s="1"/>
      <c r="U425" s="1"/>
      <c r="V425" s="9"/>
      <c r="W425" s="3"/>
      <c r="X425" s="4"/>
      <c r="Y425" s="1"/>
      <c r="Z425" s="1"/>
      <c r="AA425" s="1"/>
      <c r="AB425" s="1"/>
      <c r="AC425" s="1"/>
      <c r="AD425" s="3"/>
      <c r="AE425" s="3"/>
      <c r="AF425" s="5"/>
      <c r="AG425" s="5"/>
      <c r="AH425" s="5"/>
      <c r="AI425" s="5"/>
      <c r="AJ425" s="6"/>
      <c r="AK425" s="6"/>
      <c r="AL425" s="12"/>
      <c r="AM425" s="12"/>
      <c r="AN425" s="12"/>
      <c r="AO425" s="12"/>
      <c r="AP425" s="12"/>
    </row>
    <row r="426" spans="1:42" ht="15" x14ac:dyDescent="0.25">
      <c r="A426" s="82" t="str">
        <f>TDCTRIBE!I434</f>
        <v>Southern Plains</v>
      </c>
      <c r="B426" s="82" t="str">
        <f>TDCTRIBE!B434</f>
        <v>OK</v>
      </c>
      <c r="C426" s="82" t="str">
        <f>TDCTRIBE!F434</f>
        <v>Osage Tribe</v>
      </c>
      <c r="D426" s="83">
        <f>TDCTRIBE!Y434</f>
        <v>252128.74001000001</v>
      </c>
      <c r="E426" s="83">
        <f>TDCTRIBE!Z434</f>
        <v>279455.24786200002</v>
      </c>
      <c r="F426" s="83">
        <f>TDCTRIBE!AA434</f>
        <v>313607.64222200005</v>
      </c>
      <c r="G426" s="83">
        <f>TDCTRIBE!AB434</f>
        <v>338544.31346399995</v>
      </c>
      <c r="H426" s="83">
        <f>TDCTRIBE!AC434</f>
        <v>365056.49297600001</v>
      </c>
      <c r="O426" s="9"/>
      <c r="P426" s="1"/>
      <c r="Q426" s="1"/>
      <c r="R426" s="1"/>
      <c r="S426" s="1"/>
      <c r="T426" s="1"/>
      <c r="U426" s="1"/>
      <c r="V426" s="9"/>
      <c r="W426" s="3"/>
      <c r="X426" s="4"/>
      <c r="Y426" s="1"/>
      <c r="Z426" s="1"/>
      <c r="AA426" s="1"/>
      <c r="AB426" s="1"/>
      <c r="AC426" s="1"/>
      <c r="AD426" s="3"/>
      <c r="AE426" s="3"/>
      <c r="AF426" s="5"/>
      <c r="AG426" s="5"/>
      <c r="AH426" s="5"/>
      <c r="AI426" s="5"/>
      <c r="AJ426" s="6"/>
      <c r="AK426" s="6"/>
      <c r="AL426" s="12"/>
      <c r="AM426" s="12"/>
      <c r="AN426" s="12"/>
      <c r="AO426" s="12"/>
      <c r="AP426" s="12"/>
    </row>
    <row r="427" spans="1:42" ht="15" x14ac:dyDescent="0.25">
      <c r="A427" s="82" t="str">
        <f>TDCTRIBE!I435</f>
        <v>Southern Plains</v>
      </c>
      <c r="B427" s="82" t="str">
        <f>TDCTRIBE!B435</f>
        <v>OK</v>
      </c>
      <c r="C427" s="82" t="str">
        <f>TDCTRIBE!F435</f>
        <v>Otoe-Missouria Tribe</v>
      </c>
      <c r="D427" s="83">
        <f>TDCTRIBE!Y435</f>
        <v>257413.80675500006</v>
      </c>
      <c r="E427" s="83">
        <f>TDCTRIBE!Z435</f>
        <v>285531.63438100001</v>
      </c>
      <c r="F427" s="83">
        <f>TDCTRIBE!AA435</f>
        <v>320586.75896100001</v>
      </c>
      <c r="G427" s="83">
        <f>TDCTRIBE!AB435</f>
        <v>346276.56893199997</v>
      </c>
      <c r="H427" s="83">
        <f>TDCTRIBE!AC435</f>
        <v>373416.765288</v>
      </c>
      <c r="O427" s="9"/>
      <c r="P427" s="1"/>
      <c r="Q427" s="1"/>
      <c r="R427" s="1"/>
      <c r="S427" s="1"/>
      <c r="T427" s="1"/>
      <c r="U427" s="1"/>
      <c r="V427" s="9"/>
      <c r="W427" s="3"/>
      <c r="X427" s="4"/>
      <c r="Y427" s="1"/>
      <c r="Z427" s="1"/>
      <c r="AA427" s="1"/>
      <c r="AB427" s="1"/>
      <c r="AC427" s="1"/>
      <c r="AD427" s="3"/>
      <c r="AE427" s="3"/>
      <c r="AF427" s="5"/>
      <c r="AG427" s="5"/>
      <c r="AH427" s="5"/>
      <c r="AI427" s="5"/>
      <c r="AJ427" s="6"/>
      <c r="AK427" s="6"/>
      <c r="AL427" s="12"/>
      <c r="AM427" s="12"/>
      <c r="AN427" s="12"/>
      <c r="AO427" s="12"/>
      <c r="AP427" s="12"/>
    </row>
    <row r="428" spans="1:42" ht="15" x14ac:dyDescent="0.25">
      <c r="A428" s="82" t="str">
        <f>TDCTRIBE!I436</f>
        <v>Southern Plains</v>
      </c>
      <c r="B428" s="82" t="str">
        <f>TDCTRIBE!B436</f>
        <v>OK</v>
      </c>
      <c r="C428" s="82" t="str">
        <f>TDCTRIBE!F436</f>
        <v>Ottawa Tribe</v>
      </c>
      <c r="D428" s="83">
        <f>TDCTRIBE!Y436</f>
        <v>254698.78315</v>
      </c>
      <c r="E428" s="83">
        <f>TDCTRIBE!Z436</f>
        <v>282435.15502999997</v>
      </c>
      <c r="F428" s="83">
        <f>TDCTRIBE!AA436</f>
        <v>317047.95843000006</v>
      </c>
      <c r="G428" s="83">
        <f>TDCTRIBE!AB436</f>
        <v>342377.29316</v>
      </c>
      <c r="H428" s="83">
        <f>TDCTRIBE!AC436</f>
        <v>369203.15544000006</v>
      </c>
      <c r="O428" s="9"/>
      <c r="P428" s="1"/>
      <c r="Q428" s="1"/>
      <c r="R428" s="1"/>
      <c r="S428" s="1"/>
      <c r="T428" s="1"/>
      <c r="U428" s="1"/>
      <c r="V428" s="9"/>
      <c r="W428" s="3"/>
      <c r="X428" s="4"/>
      <c r="Y428" s="1"/>
      <c r="Z428" s="1"/>
      <c r="AA428" s="1"/>
      <c r="AB428" s="1"/>
      <c r="AC428" s="1"/>
      <c r="AD428" s="3"/>
      <c r="AE428" s="3"/>
      <c r="AF428" s="5"/>
      <c r="AG428" s="5"/>
      <c r="AH428" s="5"/>
      <c r="AI428" s="5"/>
      <c r="AJ428" s="6"/>
      <c r="AK428" s="6"/>
      <c r="AL428" s="12"/>
      <c r="AM428" s="12"/>
      <c r="AN428" s="12"/>
      <c r="AO428" s="12"/>
      <c r="AP428" s="12"/>
    </row>
    <row r="429" spans="1:42" ht="15" x14ac:dyDescent="0.25">
      <c r="A429" s="82" t="str">
        <f>TDCTRIBE!I437</f>
        <v>Southern Plains</v>
      </c>
      <c r="B429" s="82" t="str">
        <f>TDCTRIBE!B437</f>
        <v>OK</v>
      </c>
      <c r="C429" s="82" t="str">
        <f>TDCTRIBE!F437</f>
        <v>Pawnee Tribe</v>
      </c>
      <c r="D429" s="83">
        <f>TDCTRIBE!Y437</f>
        <v>262138.75425500001</v>
      </c>
      <c r="E429" s="83">
        <f>TDCTRIBE!Z437</f>
        <v>290700.92823100003</v>
      </c>
      <c r="F429" s="83">
        <f>TDCTRIBE!AA437</f>
        <v>326338.13921100006</v>
      </c>
      <c r="G429" s="83">
        <f>TDCTRIBE!AB437</f>
        <v>352423.81493200001</v>
      </c>
      <c r="H429" s="83">
        <f>TDCTRIBE!AC437</f>
        <v>380038.44328799995</v>
      </c>
      <c r="O429" s="9"/>
      <c r="P429" s="1"/>
      <c r="Q429" s="1"/>
      <c r="R429" s="1"/>
      <c r="S429" s="1"/>
      <c r="T429" s="1"/>
      <c r="U429" s="1"/>
      <c r="V429" s="9"/>
      <c r="W429" s="3"/>
      <c r="X429" s="4"/>
      <c r="Y429" s="1"/>
      <c r="Z429" s="1"/>
      <c r="AA429" s="1"/>
      <c r="AB429" s="1"/>
      <c r="AC429" s="1"/>
      <c r="AD429" s="3"/>
      <c r="AE429" s="3"/>
      <c r="AF429" s="5"/>
      <c r="AG429" s="5"/>
      <c r="AH429" s="5"/>
      <c r="AI429" s="5"/>
      <c r="AJ429" s="6"/>
      <c r="AK429" s="6"/>
      <c r="AL429" s="12"/>
      <c r="AM429" s="12"/>
      <c r="AN429" s="12"/>
      <c r="AO429" s="12"/>
      <c r="AP429" s="12"/>
    </row>
    <row r="430" spans="1:42" ht="15" x14ac:dyDescent="0.25">
      <c r="A430" s="82" t="str">
        <f>TDCTRIBE!I438</f>
        <v>Southern Plains</v>
      </c>
      <c r="B430" s="82" t="str">
        <f>TDCTRIBE!B438</f>
        <v>OK</v>
      </c>
      <c r="C430" s="82" t="str">
        <f>TDCTRIBE!F438</f>
        <v>Peoria Tribe</v>
      </c>
      <c r="D430" s="83">
        <f>TDCTRIBE!Y438</f>
        <v>254698.78315</v>
      </c>
      <c r="E430" s="83">
        <f>TDCTRIBE!Z438</f>
        <v>282435.15502999997</v>
      </c>
      <c r="F430" s="83">
        <f>TDCTRIBE!AA438</f>
        <v>317047.95843000006</v>
      </c>
      <c r="G430" s="83">
        <f>TDCTRIBE!AB438</f>
        <v>342377.29316</v>
      </c>
      <c r="H430" s="83">
        <f>TDCTRIBE!AC438</f>
        <v>369203.15544000006</v>
      </c>
      <c r="O430" s="9"/>
      <c r="P430" s="1"/>
      <c r="Q430" s="1"/>
      <c r="R430" s="1"/>
      <c r="S430" s="1"/>
      <c r="T430" s="1"/>
      <c r="U430" s="1"/>
      <c r="V430" s="9"/>
      <c r="W430" s="3"/>
      <c r="X430" s="4"/>
      <c r="Y430" s="1"/>
      <c r="Z430" s="1"/>
      <c r="AA430" s="1"/>
      <c r="AB430" s="1"/>
      <c r="AC430" s="1"/>
      <c r="AD430" s="3"/>
      <c r="AE430" s="3"/>
      <c r="AF430" s="5"/>
      <c r="AG430" s="5"/>
      <c r="AH430" s="5"/>
      <c r="AI430" s="5"/>
      <c r="AJ430" s="6"/>
      <c r="AK430" s="6"/>
      <c r="AL430" s="12"/>
      <c r="AM430" s="12"/>
      <c r="AN430" s="12"/>
      <c r="AO430" s="12"/>
      <c r="AP430" s="12"/>
    </row>
    <row r="431" spans="1:42" ht="15" x14ac:dyDescent="0.25">
      <c r="A431" s="82" t="str">
        <f>TDCTRIBE!I439</f>
        <v>Southern Plains</v>
      </c>
      <c r="B431" s="82" t="str">
        <f>TDCTRIBE!B439</f>
        <v>OK</v>
      </c>
      <c r="C431" s="82" t="str">
        <f>TDCTRIBE!F439</f>
        <v>Ponca Tribe</v>
      </c>
      <c r="D431" s="83">
        <f>TDCTRIBE!Y439</f>
        <v>257413.80675500006</v>
      </c>
      <c r="E431" s="83">
        <f>TDCTRIBE!Z439</f>
        <v>285531.63438100001</v>
      </c>
      <c r="F431" s="83">
        <f>TDCTRIBE!AA439</f>
        <v>320586.75896100001</v>
      </c>
      <c r="G431" s="83">
        <f>TDCTRIBE!AB439</f>
        <v>346276.56893199997</v>
      </c>
      <c r="H431" s="83">
        <f>TDCTRIBE!AC439</f>
        <v>373416.765288</v>
      </c>
      <c r="O431" s="9"/>
      <c r="P431" s="1"/>
      <c r="Q431" s="1"/>
      <c r="R431" s="1"/>
      <c r="S431" s="1"/>
      <c r="T431" s="1"/>
      <c r="U431" s="1"/>
      <c r="V431" s="9"/>
      <c r="W431" s="3"/>
      <c r="X431" s="4"/>
      <c r="Y431" s="1"/>
      <c r="Z431" s="1"/>
      <c r="AA431" s="1"/>
      <c r="AB431" s="1"/>
      <c r="AC431" s="1"/>
      <c r="AD431" s="3"/>
      <c r="AE431" s="3"/>
      <c r="AF431" s="5"/>
      <c r="AG431" s="5"/>
      <c r="AH431" s="5"/>
      <c r="AI431" s="5"/>
      <c r="AJ431" s="6"/>
      <c r="AK431" s="6"/>
      <c r="AL431" s="12"/>
      <c r="AM431" s="12"/>
      <c r="AN431" s="12"/>
      <c r="AO431" s="12"/>
      <c r="AP431" s="12"/>
    </row>
    <row r="432" spans="1:42" ht="15" x14ac:dyDescent="0.25">
      <c r="A432" s="82" t="str">
        <f>TDCTRIBE!I440</f>
        <v>Southern Plains</v>
      </c>
      <c r="B432" s="82" t="str">
        <f>TDCTRIBE!B440</f>
        <v>OK</v>
      </c>
      <c r="C432" s="82" t="str">
        <f>TDCTRIBE!F440</f>
        <v>Quapaw Tribe</v>
      </c>
      <c r="D432" s="83">
        <f>TDCTRIBE!Y440</f>
        <v>254698.78315</v>
      </c>
      <c r="E432" s="83">
        <f>TDCTRIBE!Z440</f>
        <v>282435.15502999997</v>
      </c>
      <c r="F432" s="83">
        <f>TDCTRIBE!AA440</f>
        <v>317047.95843000006</v>
      </c>
      <c r="G432" s="83">
        <f>TDCTRIBE!AB440</f>
        <v>342377.29316</v>
      </c>
      <c r="H432" s="83">
        <f>TDCTRIBE!AC440</f>
        <v>369203.15544000006</v>
      </c>
      <c r="O432" s="9"/>
      <c r="P432" s="1"/>
      <c r="Q432" s="1"/>
      <c r="R432" s="1"/>
      <c r="S432" s="1"/>
      <c r="T432" s="1"/>
      <c r="U432" s="1"/>
      <c r="V432" s="9"/>
      <c r="W432" s="3"/>
      <c r="X432" s="4"/>
      <c r="Y432" s="1"/>
      <c r="Z432" s="1"/>
      <c r="AA432" s="1"/>
      <c r="AB432" s="1"/>
      <c r="AC432" s="1"/>
      <c r="AD432" s="3"/>
      <c r="AE432" s="3"/>
      <c r="AF432" s="5"/>
      <c r="AG432" s="5"/>
      <c r="AH432" s="5"/>
      <c r="AI432" s="5"/>
      <c r="AJ432" s="6"/>
      <c r="AK432" s="6"/>
      <c r="AL432" s="12"/>
      <c r="AM432" s="12"/>
      <c r="AN432" s="12"/>
      <c r="AO432" s="12"/>
      <c r="AP432" s="12"/>
    </row>
    <row r="433" spans="1:42" ht="15" x14ac:dyDescent="0.25">
      <c r="A433" s="82" t="str">
        <f>TDCTRIBE!I441</f>
        <v>Southern Plains</v>
      </c>
      <c r="B433" s="82" t="str">
        <f>TDCTRIBE!B441</f>
        <v>OK</v>
      </c>
      <c r="C433" s="82" t="str">
        <f>TDCTRIBE!F441</f>
        <v>Sac and Fox Tribe</v>
      </c>
      <c r="D433" s="83">
        <f>TDCTRIBE!Y441</f>
        <v>257413.80675500006</v>
      </c>
      <c r="E433" s="83">
        <f>TDCTRIBE!Z441</f>
        <v>285531.63438100001</v>
      </c>
      <c r="F433" s="83">
        <f>TDCTRIBE!AA441</f>
        <v>320586.75896100001</v>
      </c>
      <c r="G433" s="83">
        <f>TDCTRIBE!AB441</f>
        <v>346276.56893199997</v>
      </c>
      <c r="H433" s="83">
        <f>TDCTRIBE!AC441</f>
        <v>373416.765288</v>
      </c>
      <c r="O433" s="9"/>
      <c r="P433" s="1"/>
      <c r="Q433" s="1"/>
      <c r="R433" s="1"/>
      <c r="S433" s="1"/>
      <c r="T433" s="1"/>
      <c r="U433" s="1"/>
      <c r="V433" s="9"/>
      <c r="W433" s="3"/>
      <c r="X433" s="4"/>
      <c r="Y433" s="1"/>
      <c r="Z433" s="1"/>
      <c r="AA433" s="1"/>
      <c r="AB433" s="1"/>
      <c r="AC433" s="1"/>
      <c r="AD433" s="3"/>
      <c r="AE433" s="3"/>
      <c r="AF433" s="5"/>
      <c r="AG433" s="5"/>
      <c r="AH433" s="5"/>
      <c r="AI433" s="5"/>
      <c r="AJ433" s="6"/>
      <c r="AK433" s="6"/>
      <c r="AL433" s="12"/>
      <c r="AM433" s="12"/>
      <c r="AN433" s="12"/>
      <c r="AO433" s="12"/>
      <c r="AP433" s="12"/>
    </row>
    <row r="434" spans="1:42" ht="15" x14ac:dyDescent="0.25">
      <c r="A434" s="82" t="str">
        <f>TDCTRIBE!I442</f>
        <v>Southern Plains</v>
      </c>
      <c r="B434" s="82" t="str">
        <f>TDCTRIBE!B442</f>
        <v>OK</v>
      </c>
      <c r="C434" s="82" t="str">
        <f>TDCTRIBE!F442</f>
        <v>Seminole Nation</v>
      </c>
      <c r="D434" s="83">
        <f>TDCTRIBE!Y442</f>
        <v>253123.80065000002</v>
      </c>
      <c r="E434" s="83">
        <f>TDCTRIBE!Z442</f>
        <v>280712.05708</v>
      </c>
      <c r="F434" s="83">
        <f>TDCTRIBE!AA442</f>
        <v>315130.83168000006</v>
      </c>
      <c r="G434" s="83">
        <f>TDCTRIBE!AB442</f>
        <v>340328.21116000001</v>
      </c>
      <c r="H434" s="83">
        <f>TDCTRIBE!AC442</f>
        <v>366995.92943999998</v>
      </c>
      <c r="O434" s="9"/>
      <c r="P434" s="1"/>
      <c r="Q434" s="1"/>
      <c r="R434" s="1"/>
      <c r="S434" s="1"/>
      <c r="T434" s="1"/>
      <c r="U434" s="1"/>
      <c r="V434" s="9"/>
      <c r="W434" s="3"/>
      <c r="X434" s="4"/>
      <c r="Y434" s="7"/>
      <c r="Z434" s="1"/>
      <c r="AA434" s="1"/>
      <c r="AB434" s="1"/>
      <c r="AC434" s="1"/>
      <c r="AD434" s="3"/>
      <c r="AE434" s="3"/>
      <c r="AF434" s="5"/>
      <c r="AG434" s="5"/>
      <c r="AH434" s="5"/>
      <c r="AI434" s="5"/>
      <c r="AJ434" s="6"/>
      <c r="AK434" s="6"/>
      <c r="AL434" s="12"/>
      <c r="AM434" s="12"/>
      <c r="AN434" s="12"/>
      <c r="AO434" s="12"/>
      <c r="AP434" s="12"/>
    </row>
    <row r="435" spans="1:42" ht="15" x14ac:dyDescent="0.25">
      <c r="A435" s="82" t="str">
        <f>TDCTRIBE!I443</f>
        <v>Southern Plains</v>
      </c>
      <c r="B435" s="82" t="str">
        <f>TDCTRIBE!B443</f>
        <v>OK</v>
      </c>
      <c r="C435" s="82" t="str">
        <f>TDCTRIBE!F443</f>
        <v>Seneca-Cayuga</v>
      </c>
      <c r="D435" s="83">
        <f>TDCTRIBE!Y443</f>
        <v>254698.78315</v>
      </c>
      <c r="E435" s="83">
        <f>TDCTRIBE!Z443</f>
        <v>282435.15502999997</v>
      </c>
      <c r="F435" s="83">
        <f>TDCTRIBE!AA443</f>
        <v>317047.95843000006</v>
      </c>
      <c r="G435" s="83">
        <f>TDCTRIBE!AB443</f>
        <v>342377.29316</v>
      </c>
      <c r="H435" s="83">
        <f>TDCTRIBE!AC443</f>
        <v>369203.15544000006</v>
      </c>
      <c r="O435" s="9"/>
      <c r="P435" s="1"/>
      <c r="Q435" s="1"/>
      <c r="R435" s="1"/>
      <c r="S435" s="1"/>
      <c r="T435" s="1"/>
      <c r="U435" s="1"/>
      <c r="V435" s="9"/>
      <c r="W435" s="3"/>
      <c r="X435" s="4"/>
      <c r="Y435" s="1"/>
      <c r="Z435" s="1"/>
      <c r="AA435" s="1"/>
      <c r="AB435" s="1"/>
      <c r="AC435" s="1"/>
      <c r="AD435" s="3"/>
      <c r="AE435" s="3"/>
      <c r="AF435" s="5"/>
      <c r="AG435" s="5"/>
      <c r="AH435" s="5"/>
      <c r="AI435" s="5"/>
      <c r="AJ435" s="6"/>
      <c r="AK435" s="6"/>
      <c r="AL435" s="12"/>
      <c r="AM435" s="12"/>
      <c r="AN435" s="12"/>
      <c r="AO435" s="12"/>
      <c r="AP435" s="12"/>
    </row>
    <row r="436" spans="1:42" ht="15" x14ac:dyDescent="0.25">
      <c r="A436" s="82" t="str">
        <f>TDCTRIBE!I444</f>
        <v>Southern Plains</v>
      </c>
      <c r="B436" s="82" t="str">
        <f>TDCTRIBE!B444</f>
        <v>OK</v>
      </c>
      <c r="C436" s="82" t="str">
        <f>TDCTRIBE!F444</f>
        <v>Thlopthlocco Tribal Town</v>
      </c>
      <c r="D436" s="83">
        <f>TDCTRIBE!Y444</f>
        <v>253123.80065000002</v>
      </c>
      <c r="E436" s="83">
        <f>TDCTRIBE!Z444</f>
        <v>280712.05708</v>
      </c>
      <c r="F436" s="83">
        <f>TDCTRIBE!AA444</f>
        <v>315130.83168000006</v>
      </c>
      <c r="G436" s="83">
        <f>TDCTRIBE!AB444</f>
        <v>340328.21116000001</v>
      </c>
      <c r="H436" s="83">
        <f>TDCTRIBE!AC444</f>
        <v>366995.92943999998</v>
      </c>
      <c r="O436" s="9"/>
      <c r="P436" s="1"/>
      <c r="Q436" s="1"/>
      <c r="R436" s="1"/>
      <c r="S436" s="1"/>
      <c r="T436" s="1"/>
      <c r="U436" s="1"/>
      <c r="V436" s="9"/>
      <c r="W436" s="3"/>
      <c r="X436" s="4"/>
      <c r="Y436" s="1"/>
      <c r="Z436" s="1"/>
      <c r="AA436" s="1"/>
      <c r="AB436" s="1"/>
      <c r="AC436" s="1"/>
      <c r="AD436" s="3"/>
      <c r="AE436" s="3"/>
      <c r="AF436" s="5"/>
      <c r="AG436" s="5"/>
      <c r="AH436" s="5"/>
      <c r="AI436" s="5"/>
      <c r="AJ436" s="6"/>
      <c r="AK436" s="6"/>
      <c r="AL436" s="12"/>
      <c r="AM436" s="12"/>
      <c r="AN436" s="12"/>
      <c r="AO436" s="12"/>
      <c r="AP436" s="12"/>
    </row>
    <row r="437" spans="1:42" ht="15" x14ac:dyDescent="0.25">
      <c r="A437" s="82" t="str">
        <f>TDCTRIBE!I445</f>
        <v>Southern Plains</v>
      </c>
      <c r="B437" s="82" t="str">
        <f>TDCTRIBE!B445</f>
        <v>OK</v>
      </c>
      <c r="C437" s="82" t="str">
        <f>TDCTRIBE!F445</f>
        <v>Tonkawa Tribe</v>
      </c>
      <c r="D437" s="83">
        <f>TDCTRIBE!Y445</f>
        <v>257413.80675500006</v>
      </c>
      <c r="E437" s="83">
        <f>TDCTRIBE!Z445</f>
        <v>285531.63438100001</v>
      </c>
      <c r="F437" s="83">
        <f>TDCTRIBE!AA445</f>
        <v>320586.75896100001</v>
      </c>
      <c r="G437" s="83">
        <f>TDCTRIBE!AB445</f>
        <v>346276.56893199997</v>
      </c>
      <c r="H437" s="83">
        <f>TDCTRIBE!AC445</f>
        <v>373416.765288</v>
      </c>
      <c r="O437" s="9"/>
      <c r="P437" s="1"/>
      <c r="Q437" s="1"/>
      <c r="R437" s="1"/>
      <c r="S437" s="1"/>
      <c r="T437" s="1"/>
      <c r="U437" s="1"/>
      <c r="V437" s="9"/>
      <c r="W437" s="3"/>
      <c r="X437" s="4"/>
      <c r="Y437" s="1"/>
      <c r="Z437" s="1"/>
      <c r="AA437" s="1"/>
      <c r="AB437" s="1"/>
      <c r="AC437" s="1"/>
      <c r="AD437" s="3"/>
      <c r="AE437" s="3"/>
      <c r="AF437" s="5"/>
      <c r="AG437" s="5"/>
      <c r="AH437" s="5"/>
      <c r="AI437" s="5"/>
      <c r="AJ437" s="6"/>
      <c r="AK437" s="6"/>
      <c r="AL437" s="12"/>
      <c r="AM437" s="12"/>
      <c r="AN437" s="12"/>
      <c r="AO437" s="12"/>
      <c r="AP437" s="12"/>
    </row>
    <row r="438" spans="1:42" ht="15" x14ac:dyDescent="0.25">
      <c r="A438" s="82" t="str">
        <f>TDCTRIBE!I446</f>
        <v>Southern Plains</v>
      </c>
      <c r="B438" s="82" t="str">
        <f>TDCTRIBE!B446</f>
        <v>OK</v>
      </c>
      <c r="C438" s="82" t="str">
        <f>TDCTRIBE!F446</f>
        <v>United Keetoowah</v>
      </c>
      <c r="D438" s="83">
        <f>TDCTRIBE!Y446</f>
        <v>254698.78315</v>
      </c>
      <c r="E438" s="83">
        <f>TDCTRIBE!Z446</f>
        <v>282435.15502999997</v>
      </c>
      <c r="F438" s="83">
        <f>TDCTRIBE!AA446</f>
        <v>317047.95843000006</v>
      </c>
      <c r="G438" s="83">
        <f>TDCTRIBE!AB446</f>
        <v>342377.29316</v>
      </c>
      <c r="H438" s="83">
        <f>TDCTRIBE!AC446</f>
        <v>369203.15544000006</v>
      </c>
      <c r="O438" s="9"/>
      <c r="P438" s="1"/>
      <c r="Q438" s="1"/>
      <c r="R438" s="1"/>
      <c r="S438" s="1"/>
      <c r="T438" s="1"/>
      <c r="U438" s="1"/>
      <c r="V438" s="9"/>
      <c r="W438" s="3"/>
      <c r="X438" s="4"/>
      <c r="Y438" s="1"/>
      <c r="Z438" s="1"/>
      <c r="AA438" s="1"/>
      <c r="AB438" s="1"/>
      <c r="AC438" s="1"/>
      <c r="AD438" s="3"/>
      <c r="AE438" s="3"/>
      <c r="AF438" s="5"/>
      <c r="AG438" s="5"/>
      <c r="AH438" s="5"/>
      <c r="AI438" s="5"/>
      <c r="AJ438" s="6"/>
      <c r="AK438" s="6"/>
      <c r="AL438" s="12"/>
      <c r="AM438" s="12"/>
      <c r="AN438" s="12"/>
      <c r="AO438" s="12"/>
      <c r="AP438" s="12"/>
    </row>
    <row r="439" spans="1:42" ht="15" x14ac:dyDescent="0.25">
      <c r="A439" s="82" t="str">
        <f>TDCTRIBE!I447</f>
        <v>Southern Plains</v>
      </c>
      <c r="B439" s="82" t="str">
        <f>TDCTRIBE!B447</f>
        <v>OK</v>
      </c>
      <c r="C439" s="82" t="str">
        <f>TDCTRIBE!F447</f>
        <v>Wichita Tribe</v>
      </c>
      <c r="D439" s="83">
        <f>TDCTRIBE!Y447</f>
        <v>252273.72047499998</v>
      </c>
      <c r="E439" s="83">
        <f>TDCTRIBE!Z447</f>
        <v>279571.820045</v>
      </c>
      <c r="F439" s="83">
        <f>TDCTRIBE!AA447</f>
        <v>313706.12654500006</v>
      </c>
      <c r="G439" s="83">
        <f>TDCTRIBE!AB447</f>
        <v>338610.60953999998</v>
      </c>
      <c r="H439" s="83">
        <f>TDCTRIBE!AC447</f>
        <v>365123.44036000001</v>
      </c>
      <c r="O439" s="9"/>
      <c r="P439" s="1"/>
      <c r="Q439" s="1"/>
      <c r="R439" s="1"/>
      <c r="S439" s="1"/>
      <c r="T439" s="1"/>
      <c r="U439" s="1"/>
      <c r="V439" s="9"/>
      <c r="W439" s="3"/>
      <c r="X439" s="4"/>
      <c r="Y439" s="1"/>
      <c r="Z439" s="1"/>
      <c r="AA439" s="1"/>
      <c r="AB439" s="1"/>
      <c r="AC439" s="1"/>
      <c r="AD439" s="3"/>
      <c r="AE439" s="3"/>
      <c r="AF439" s="5"/>
      <c r="AG439" s="5"/>
      <c r="AH439" s="5"/>
      <c r="AI439" s="5"/>
      <c r="AJ439" s="6"/>
      <c r="AK439" s="6"/>
      <c r="AL439" s="12"/>
      <c r="AM439" s="12"/>
      <c r="AN439" s="12"/>
      <c r="AO439" s="12"/>
      <c r="AP439" s="12"/>
    </row>
    <row r="440" spans="1:42" ht="15" x14ac:dyDescent="0.25">
      <c r="A440" s="82" t="str">
        <f>TDCTRIBE!I448</f>
        <v>Southern Plains</v>
      </c>
      <c r="B440" s="82" t="str">
        <f>TDCTRIBE!B448</f>
        <v>OK</v>
      </c>
      <c r="C440" s="82" t="str">
        <f>TDCTRIBE!F448</f>
        <v>Wyandotte</v>
      </c>
      <c r="D440" s="83">
        <f>TDCTRIBE!Y448</f>
        <v>254698.78315</v>
      </c>
      <c r="E440" s="83">
        <f>TDCTRIBE!Z448</f>
        <v>282435.15502999997</v>
      </c>
      <c r="F440" s="83">
        <f>TDCTRIBE!AA448</f>
        <v>317047.95843000006</v>
      </c>
      <c r="G440" s="83">
        <f>TDCTRIBE!AB448</f>
        <v>342377.29316</v>
      </c>
      <c r="H440" s="83">
        <f>TDCTRIBE!AC448</f>
        <v>369203.15544000006</v>
      </c>
      <c r="O440" s="9"/>
      <c r="P440" s="1"/>
      <c r="Q440" s="1"/>
      <c r="R440" s="1"/>
      <c r="S440" s="1"/>
      <c r="T440" s="1"/>
      <c r="U440" s="1"/>
      <c r="V440" s="9"/>
      <c r="W440" s="3"/>
      <c r="X440" s="4"/>
      <c r="Y440" s="1"/>
      <c r="Z440" s="1"/>
      <c r="AA440" s="1"/>
      <c r="AB440" s="1"/>
      <c r="AC440" s="1"/>
      <c r="AD440" s="3"/>
      <c r="AE440" s="3"/>
      <c r="AF440" s="5"/>
      <c r="AG440" s="5"/>
      <c r="AH440" s="5"/>
      <c r="AI440" s="5"/>
      <c r="AJ440" s="6"/>
      <c r="AK440" s="6"/>
      <c r="AL440" s="12"/>
      <c r="AM440" s="12"/>
      <c r="AN440" s="12"/>
      <c r="AO440" s="12"/>
      <c r="AP440" s="12"/>
    </row>
    <row r="441" spans="1:42" ht="15" x14ac:dyDescent="0.25">
      <c r="A441" s="82" t="str">
        <f>TDCTRIBE!I449</f>
        <v>Southern Plains</v>
      </c>
      <c r="B441" s="82" t="str">
        <f>TDCTRIBE!B449</f>
        <v>TX</v>
      </c>
      <c r="C441" s="82" t="str">
        <f>TDCTRIBE!F449</f>
        <v>Alabama-Coushatta</v>
      </c>
      <c r="D441" s="83">
        <f>TDCTRIBE!Y449</f>
        <v>253268.78111499999</v>
      </c>
      <c r="E441" s="83">
        <f>TDCTRIBE!Z449</f>
        <v>280828.62926300004</v>
      </c>
      <c r="F441" s="83">
        <f>TDCTRIBE!AA449</f>
        <v>315229.31600300001</v>
      </c>
      <c r="G441" s="83">
        <f>TDCTRIBE!AB449</f>
        <v>340394.50723599998</v>
      </c>
      <c r="H441" s="83">
        <f>TDCTRIBE!AC449</f>
        <v>367062.87682400004</v>
      </c>
      <c r="O441" s="9"/>
      <c r="P441" s="1"/>
      <c r="Q441" s="1"/>
      <c r="R441" s="1"/>
      <c r="S441" s="1"/>
      <c r="T441" s="1"/>
      <c r="U441" s="1"/>
      <c r="V441" s="9"/>
      <c r="W441" s="3"/>
      <c r="X441" s="4"/>
      <c r="Y441" s="1"/>
      <c r="Z441" s="1"/>
      <c r="AA441" s="1"/>
      <c r="AB441" s="1"/>
      <c r="AC441" s="1"/>
      <c r="AD441" s="3"/>
      <c r="AE441" s="3"/>
      <c r="AF441" s="5"/>
      <c r="AG441" s="5"/>
      <c r="AH441" s="5"/>
      <c r="AI441" s="5"/>
      <c r="AJ441" s="6"/>
      <c r="AK441" s="6"/>
      <c r="AL441" s="12"/>
      <c r="AM441" s="12"/>
      <c r="AN441" s="12"/>
      <c r="AO441" s="12"/>
      <c r="AP441" s="12"/>
    </row>
    <row r="442" spans="1:42" ht="15" x14ac:dyDescent="0.25">
      <c r="A442" s="82" t="str">
        <f>TDCTRIBE!I450</f>
        <v>Southern Plains</v>
      </c>
      <c r="B442" s="82" t="str">
        <f>TDCTRIBE!B450</f>
        <v>TX</v>
      </c>
      <c r="C442" s="82" t="str">
        <f>TDCTRIBE!F450</f>
        <v>Texas Band of Kickapoo Indians</v>
      </c>
      <c r="D442" s="83">
        <f>TDCTRIBE!Y450</f>
        <v>240398.76279999997</v>
      </c>
      <c r="E442" s="83">
        <f>TDCTRIBE!Z450</f>
        <v>266369.89736000006</v>
      </c>
      <c r="F442" s="83">
        <f>TDCTRIBE!AA450</f>
        <v>301861.35672000004</v>
      </c>
      <c r="G442" s="83">
        <f>TDCTRIBE!AB450</f>
        <v>325820.00864000001</v>
      </c>
      <c r="H442" s="83">
        <f>TDCTRIBE!AC450</f>
        <v>351330.72576</v>
      </c>
      <c r="O442" s="9"/>
      <c r="P442" s="1"/>
      <c r="Q442" s="1"/>
      <c r="R442" s="1"/>
      <c r="S442" s="1"/>
      <c r="T442" s="1"/>
      <c r="U442" s="1"/>
      <c r="V442" s="9"/>
      <c r="W442" s="3"/>
      <c r="X442" s="4"/>
      <c r="Y442" s="1"/>
      <c r="Z442" s="1"/>
      <c r="AA442" s="1"/>
      <c r="AB442" s="1"/>
      <c r="AC442" s="1"/>
      <c r="AD442" s="3"/>
      <c r="AE442" s="3"/>
      <c r="AF442" s="5"/>
      <c r="AG442" s="5"/>
      <c r="AH442" s="5"/>
      <c r="AI442" s="5"/>
      <c r="AJ442" s="6"/>
      <c r="AK442" s="6"/>
      <c r="AL442" s="12"/>
      <c r="AM442" s="12"/>
      <c r="AN442" s="12"/>
      <c r="AO442" s="12"/>
      <c r="AP442" s="12"/>
    </row>
    <row r="443" spans="1:42" ht="15" x14ac:dyDescent="0.25">
      <c r="A443" s="82" t="str">
        <f>TDCTRIBE!I451</f>
        <v>Southwest</v>
      </c>
      <c r="B443" s="82" t="str">
        <f>TDCTRIBE!B451</f>
        <v>AZ</v>
      </c>
      <c r="C443" s="82" t="str">
        <f>TDCTRIBE!F451</f>
        <v>Ak-Chin Papago</v>
      </c>
      <c r="D443" s="83">
        <f>TDCTRIBE!Y451</f>
        <v>281376.33100500004</v>
      </c>
      <c r="E443" s="83">
        <f>TDCTRIBE!Z451</f>
        <v>310981.33523099998</v>
      </c>
      <c r="F443" s="83">
        <f>TDCTRIBE!AA451</f>
        <v>352565.66679950006</v>
      </c>
      <c r="G443" s="83">
        <f>TDCTRIBE!AB451</f>
        <v>381951.95231900003</v>
      </c>
      <c r="H443" s="83">
        <f>TDCTRIBE!AC451</f>
        <v>411765.13107100001</v>
      </c>
      <c r="O443" s="9"/>
      <c r="P443" s="1"/>
      <c r="Q443" s="1"/>
      <c r="R443" s="1"/>
      <c r="S443" s="1"/>
      <c r="T443" s="1"/>
      <c r="U443" s="1"/>
      <c r="V443" s="9"/>
      <c r="W443" s="3"/>
      <c r="X443" s="4"/>
      <c r="Y443" s="1"/>
      <c r="Z443" s="1"/>
      <c r="AA443" s="1"/>
      <c r="AB443" s="1"/>
      <c r="AC443" s="1"/>
      <c r="AD443" s="3"/>
      <c r="AE443" s="3"/>
      <c r="AF443" s="5"/>
      <c r="AG443" s="5"/>
      <c r="AH443" s="5"/>
      <c r="AI443" s="5"/>
      <c r="AJ443" s="6"/>
      <c r="AK443" s="6"/>
      <c r="AL443" s="12"/>
      <c r="AM443" s="12"/>
      <c r="AN443" s="12"/>
      <c r="AO443" s="12"/>
      <c r="AP443" s="12"/>
    </row>
    <row r="444" spans="1:42" ht="15" x14ac:dyDescent="0.25">
      <c r="A444" s="82" t="str">
        <f>TDCTRIBE!I452</f>
        <v>Southwest</v>
      </c>
      <c r="B444" s="82" t="str">
        <f>TDCTRIBE!B452</f>
        <v>AZ</v>
      </c>
      <c r="C444" s="82" t="str">
        <f>TDCTRIBE!F452</f>
        <v>Cocopah Tribe</v>
      </c>
      <c r="D444" s="83">
        <f>TDCTRIBE!Y452</f>
        <v>287715.77257500001</v>
      </c>
      <c r="E444" s="83">
        <f>TDCTRIBE!Z452</f>
        <v>317983.21096499998</v>
      </c>
      <c r="F444" s="83">
        <f>TDCTRIBE!AA452</f>
        <v>360497.03324249998</v>
      </c>
      <c r="G444" s="83">
        <f>TDCTRIBE!AB452</f>
        <v>390540.68728499999</v>
      </c>
      <c r="H444" s="83">
        <f>TDCTRIBE!AC452</f>
        <v>421023.60856499994</v>
      </c>
      <c r="O444" s="9"/>
      <c r="P444" s="1"/>
      <c r="Q444" s="1"/>
      <c r="R444" s="1"/>
      <c r="S444" s="1"/>
      <c r="T444" s="1"/>
      <c r="U444" s="1"/>
      <c r="V444" s="9"/>
      <c r="W444" s="3"/>
      <c r="X444" s="4"/>
      <c r="Y444" s="1"/>
      <c r="Z444" s="1"/>
      <c r="AA444" s="1"/>
      <c r="AB444" s="1"/>
      <c r="AC444" s="1"/>
      <c r="AD444" s="3"/>
      <c r="AE444" s="3"/>
      <c r="AF444" s="5"/>
      <c r="AG444" s="5"/>
      <c r="AH444" s="5"/>
      <c r="AI444" s="5"/>
      <c r="AJ444" s="6"/>
      <c r="AK444" s="6"/>
      <c r="AL444" s="12"/>
      <c r="AM444" s="12"/>
      <c r="AN444" s="12"/>
      <c r="AO444" s="12"/>
      <c r="AP444" s="12"/>
    </row>
    <row r="445" spans="1:42" ht="15" x14ac:dyDescent="0.25">
      <c r="A445" s="82" t="str">
        <f>TDCTRIBE!I453</f>
        <v>Southwest</v>
      </c>
      <c r="B445" s="82" t="str">
        <f>TDCTRIBE!B453</f>
        <v>AZ</v>
      </c>
      <c r="C445" s="82" t="str">
        <f>TDCTRIBE!F453</f>
        <v>Fort McDowell Mohave Apache</v>
      </c>
      <c r="D445" s="83">
        <f>TDCTRIBE!Y453</f>
        <v>281376.33100500004</v>
      </c>
      <c r="E445" s="83">
        <f>TDCTRIBE!Z453</f>
        <v>310981.33523099998</v>
      </c>
      <c r="F445" s="83">
        <f>TDCTRIBE!AA453</f>
        <v>352565.66679950006</v>
      </c>
      <c r="G445" s="83">
        <f>TDCTRIBE!AB453</f>
        <v>381951.95231900003</v>
      </c>
      <c r="H445" s="83">
        <f>TDCTRIBE!AC453</f>
        <v>411765.13107100001</v>
      </c>
      <c r="O445" s="9"/>
      <c r="P445" s="1"/>
      <c r="Q445" s="1"/>
      <c r="R445" s="1"/>
      <c r="S445" s="1"/>
      <c r="T445" s="1"/>
      <c r="U445" s="1"/>
      <c r="V445" s="9"/>
      <c r="W445" s="3"/>
      <c r="X445" s="4"/>
      <c r="Y445" s="1"/>
      <c r="Z445" s="1"/>
      <c r="AA445" s="1"/>
      <c r="AB445" s="1"/>
      <c r="AC445" s="1"/>
      <c r="AD445" s="3"/>
      <c r="AE445" s="3"/>
      <c r="AF445" s="5"/>
      <c r="AG445" s="5"/>
      <c r="AH445" s="5"/>
      <c r="AI445" s="5"/>
      <c r="AJ445" s="6"/>
      <c r="AK445" s="6"/>
      <c r="AL445" s="12"/>
      <c r="AM445" s="12"/>
      <c r="AN445" s="12"/>
      <c r="AO445" s="12"/>
      <c r="AP445" s="12"/>
    </row>
    <row r="446" spans="1:42" ht="15" x14ac:dyDescent="0.25">
      <c r="A446" s="82" t="str">
        <f>TDCTRIBE!I454</f>
        <v>Southwest</v>
      </c>
      <c r="B446" s="82" t="str">
        <f>TDCTRIBE!B454</f>
        <v>AZ</v>
      </c>
      <c r="C446" s="82" t="str">
        <f>TDCTRIBE!F454</f>
        <v>Fort Mojave Tribe</v>
      </c>
      <c r="D446" s="83">
        <f>TDCTRIBE!Y454</f>
        <v>314239.00777499995</v>
      </c>
      <c r="E446" s="83">
        <f>TDCTRIBE!Z454</f>
        <v>347835.78070499992</v>
      </c>
      <c r="F446" s="83">
        <f>TDCTRIBE!AA454</f>
        <v>395142.79747249995</v>
      </c>
      <c r="G446" s="83">
        <f>TDCTRIBE!AB454</f>
        <v>428511.42204499996</v>
      </c>
      <c r="H446" s="83">
        <f>TDCTRIBE!AC454</f>
        <v>462034.68440499995</v>
      </c>
      <c r="O446" s="9"/>
      <c r="P446" s="1"/>
      <c r="Q446" s="1"/>
      <c r="R446" s="1"/>
      <c r="S446" s="1"/>
      <c r="T446" s="1"/>
      <c r="U446" s="1"/>
      <c r="V446" s="9"/>
      <c r="W446" s="3"/>
      <c r="X446" s="4"/>
      <c r="Y446" s="1"/>
      <c r="Z446" s="1"/>
      <c r="AA446" s="1"/>
      <c r="AB446" s="1"/>
      <c r="AC446" s="1"/>
      <c r="AD446" s="3"/>
      <c r="AE446" s="3"/>
      <c r="AF446" s="5"/>
      <c r="AG446" s="5"/>
      <c r="AH446" s="5"/>
      <c r="AI446" s="5"/>
      <c r="AJ446" s="6"/>
      <c r="AK446" s="6"/>
      <c r="AL446" s="12"/>
      <c r="AM446" s="12"/>
      <c r="AN446" s="12"/>
      <c r="AO446" s="12"/>
      <c r="AP446" s="12"/>
    </row>
    <row r="447" spans="1:42" ht="15" x14ac:dyDescent="0.25">
      <c r="A447" s="82" t="str">
        <f>TDCTRIBE!I455</f>
        <v>Southwest</v>
      </c>
      <c r="B447" s="82" t="str">
        <f>TDCTRIBE!B455</f>
        <v>AZ</v>
      </c>
      <c r="C447" s="82" t="str">
        <f>TDCTRIBE!F455</f>
        <v>Gila River</v>
      </c>
      <c r="D447" s="83">
        <f>TDCTRIBE!Y455</f>
        <v>284728.25650500006</v>
      </c>
      <c r="E447" s="83">
        <f>TDCTRIBE!Z455</f>
        <v>314632.80683099997</v>
      </c>
      <c r="F447" s="83">
        <f>TDCTRIBE!AA455</f>
        <v>356626.38499950006</v>
      </c>
      <c r="G447" s="83">
        <f>TDCTRIBE!AB455</f>
        <v>386308.00821900007</v>
      </c>
      <c r="H447" s="83">
        <f>TDCTRIBE!AC455</f>
        <v>416453.64917100006</v>
      </c>
      <c r="O447" s="9"/>
      <c r="P447" s="1"/>
      <c r="Q447" s="1"/>
      <c r="R447" s="1"/>
      <c r="S447" s="1"/>
      <c r="T447" s="1"/>
      <c r="U447" s="1"/>
      <c r="V447" s="9"/>
      <c r="W447" s="3"/>
      <c r="X447" s="4"/>
      <c r="Y447" s="1"/>
      <c r="Z447" s="1"/>
      <c r="AA447" s="1"/>
      <c r="AB447" s="1"/>
      <c r="AC447" s="1"/>
      <c r="AD447" s="3"/>
      <c r="AE447" s="3"/>
      <c r="AF447" s="5"/>
      <c r="AG447" s="5"/>
      <c r="AH447" s="5"/>
      <c r="AI447" s="5"/>
      <c r="AJ447" s="6"/>
      <c r="AK447" s="6"/>
      <c r="AL447" s="12"/>
      <c r="AM447" s="12"/>
      <c r="AN447" s="12"/>
      <c r="AO447" s="12"/>
      <c r="AP447" s="12"/>
    </row>
    <row r="448" spans="1:42" ht="15" x14ac:dyDescent="0.25">
      <c r="A448" s="82" t="str">
        <f>TDCTRIBE!I456</f>
        <v>Southwest</v>
      </c>
      <c r="B448" s="82" t="str">
        <f>TDCTRIBE!B456</f>
        <v>AZ</v>
      </c>
      <c r="C448" s="82" t="str">
        <f>TDCTRIBE!F456</f>
        <v>Havasupai</v>
      </c>
      <c r="D448" s="83">
        <f>TDCTRIBE!Y456</f>
        <v>499584.11603099992</v>
      </c>
      <c r="E448" s="83">
        <f>TDCTRIBE!Z456</f>
        <v>552218.74004219996</v>
      </c>
      <c r="F448" s="83">
        <f>TDCTRIBE!AA456</f>
        <v>626166.7200019001</v>
      </c>
      <c r="G448" s="83">
        <f>TDCTRIBE!AB456</f>
        <v>678415.14751779998</v>
      </c>
      <c r="H448" s="83">
        <f>TDCTRIBE!AC456</f>
        <v>731378.77140019997</v>
      </c>
      <c r="O448" s="9"/>
      <c r="P448" s="1"/>
      <c r="Q448" s="1"/>
      <c r="R448" s="1"/>
      <c r="S448" s="1"/>
      <c r="T448" s="1"/>
      <c r="U448" s="1"/>
      <c r="V448" s="9"/>
      <c r="W448" s="3"/>
      <c r="X448" s="4"/>
      <c r="Y448" s="1"/>
      <c r="Z448" s="1"/>
      <c r="AA448" s="1"/>
      <c r="AB448" s="1"/>
      <c r="AC448" s="1"/>
      <c r="AD448" s="3"/>
      <c r="AE448" s="3"/>
      <c r="AF448" s="5"/>
      <c r="AG448" s="5"/>
      <c r="AH448" s="5"/>
      <c r="AI448" s="5"/>
      <c r="AJ448" s="6"/>
      <c r="AK448" s="6"/>
      <c r="AL448" s="12"/>
      <c r="AM448" s="12"/>
      <c r="AN448" s="12"/>
      <c r="AO448" s="12"/>
      <c r="AP448" s="12"/>
    </row>
    <row r="449" spans="1:42" ht="15" x14ac:dyDescent="0.25">
      <c r="A449" s="82" t="str">
        <f>TDCTRIBE!I457</f>
        <v>Southwest</v>
      </c>
      <c r="B449" s="82" t="str">
        <f>TDCTRIBE!B457</f>
        <v>AZ</v>
      </c>
      <c r="C449" s="82" t="str">
        <f>TDCTRIBE!F457</f>
        <v>Hopi</v>
      </c>
      <c r="D449" s="83">
        <f>TDCTRIBE!Y457</f>
        <v>293873.00942999998</v>
      </c>
      <c r="E449" s="83">
        <f>TDCTRIBE!Z457</f>
        <v>324834.55296599999</v>
      </c>
      <c r="F449" s="83">
        <f>TDCTRIBE!AA457</f>
        <v>368333.36470700009</v>
      </c>
      <c r="G449" s="83">
        <f>TDCTRIBE!AB457</f>
        <v>399067.73383400001</v>
      </c>
      <c r="H449" s="83">
        <f>TDCTRIBE!AC457</f>
        <v>430222.806706</v>
      </c>
      <c r="O449" s="9"/>
      <c r="P449" s="1"/>
      <c r="Q449" s="1"/>
      <c r="R449" s="1"/>
      <c r="S449" s="1"/>
      <c r="T449" s="1"/>
      <c r="U449" s="1"/>
      <c r="V449" s="9"/>
      <c r="W449" s="3"/>
      <c r="X449" s="4"/>
      <c r="Y449" s="1"/>
      <c r="Z449" s="1"/>
      <c r="AA449" s="1"/>
      <c r="AB449" s="1"/>
      <c r="AC449" s="1"/>
      <c r="AD449" s="3"/>
      <c r="AE449" s="3"/>
      <c r="AF449" s="5"/>
      <c r="AG449" s="5"/>
      <c r="AH449" s="5"/>
      <c r="AI449" s="5"/>
      <c r="AJ449" s="6"/>
      <c r="AK449" s="6"/>
      <c r="AL449" s="12"/>
      <c r="AM449" s="12"/>
      <c r="AN449" s="12"/>
      <c r="AO449" s="12"/>
      <c r="AP449" s="12"/>
    </row>
    <row r="450" spans="1:42" ht="15" x14ac:dyDescent="0.25">
      <c r="A450" s="82" t="str">
        <f>TDCTRIBE!I458</f>
        <v>Southwest</v>
      </c>
      <c r="B450" s="82" t="str">
        <f>TDCTRIBE!B458</f>
        <v>AZ</v>
      </c>
      <c r="C450" s="82" t="str">
        <f>TDCTRIBE!F458</f>
        <v>Hualapai</v>
      </c>
      <c r="D450" s="83">
        <f>TDCTRIBE!Y458</f>
        <v>293690.80471499998</v>
      </c>
      <c r="E450" s="83">
        <f>TDCTRIBE!Z458</f>
        <v>324684.019233</v>
      </c>
      <c r="F450" s="83">
        <f>TDCTRIBE!AA458</f>
        <v>368238.32972850004</v>
      </c>
      <c r="G450" s="83">
        <f>TDCTRIBE!AB458</f>
        <v>399006.04541700002</v>
      </c>
      <c r="H450" s="83">
        <f>TDCTRIBE!AC458</f>
        <v>430163.52735299995</v>
      </c>
      <c r="O450" s="9"/>
      <c r="P450" s="1"/>
      <c r="Q450" s="1"/>
      <c r="R450" s="1"/>
      <c r="S450" s="1"/>
      <c r="T450" s="1"/>
      <c r="U450" s="1"/>
      <c r="V450" s="9"/>
      <c r="W450" s="3"/>
      <c r="X450" s="4"/>
      <c r="Y450" s="1"/>
      <c r="Z450" s="1"/>
      <c r="AA450" s="1"/>
      <c r="AB450" s="1"/>
      <c r="AC450" s="1"/>
      <c r="AD450" s="3"/>
      <c r="AE450" s="3"/>
      <c r="AF450" s="5"/>
      <c r="AG450" s="5"/>
      <c r="AH450" s="5"/>
      <c r="AI450" s="5"/>
      <c r="AJ450" s="6"/>
      <c r="AK450" s="6"/>
      <c r="AL450" s="12"/>
      <c r="AM450" s="12"/>
      <c r="AN450" s="12"/>
      <c r="AO450" s="12"/>
      <c r="AP450" s="12"/>
    </row>
    <row r="451" spans="1:42" ht="15" x14ac:dyDescent="0.25">
      <c r="A451" s="82" t="str">
        <f>TDCTRIBE!I459</f>
        <v>Southwest</v>
      </c>
      <c r="B451" s="82" t="str">
        <f>TDCTRIBE!B459</f>
        <v>AZ</v>
      </c>
      <c r="C451" s="82" t="str">
        <f>TDCTRIBE!F459</f>
        <v>Kaibab Band of Paiute</v>
      </c>
      <c r="D451" s="83">
        <f>TDCTRIBE!Y459</f>
        <v>293873.00942999998</v>
      </c>
      <c r="E451" s="83">
        <f>TDCTRIBE!Z459</f>
        <v>324834.55296599999</v>
      </c>
      <c r="F451" s="83">
        <f>TDCTRIBE!AA459</f>
        <v>368333.36470700009</v>
      </c>
      <c r="G451" s="83">
        <f>TDCTRIBE!AB459</f>
        <v>399067.73383400001</v>
      </c>
      <c r="H451" s="83">
        <f>TDCTRIBE!AC459</f>
        <v>430222.806706</v>
      </c>
      <c r="O451" s="9"/>
      <c r="P451" s="1"/>
      <c r="Q451" s="1"/>
      <c r="R451" s="1"/>
      <c r="S451" s="1"/>
      <c r="T451" s="1"/>
      <c r="U451" s="1"/>
      <c r="V451" s="9"/>
      <c r="W451" s="3"/>
      <c r="X451" s="4"/>
      <c r="Y451" s="1"/>
      <c r="Z451" s="1"/>
      <c r="AA451" s="1"/>
      <c r="AB451" s="1"/>
      <c r="AC451" s="1"/>
      <c r="AD451" s="3"/>
      <c r="AE451" s="3"/>
      <c r="AF451" s="5"/>
      <c r="AG451" s="5"/>
      <c r="AH451" s="5"/>
      <c r="AI451" s="5"/>
      <c r="AJ451" s="6"/>
      <c r="AK451" s="6"/>
      <c r="AL451" s="12"/>
      <c r="AM451" s="12"/>
      <c r="AN451" s="12"/>
      <c r="AO451" s="12"/>
      <c r="AP451" s="12"/>
    </row>
    <row r="452" spans="1:42" ht="15" x14ac:dyDescent="0.25">
      <c r="A452" s="82" t="str">
        <f>TDCTRIBE!I460</f>
        <v>Southwest</v>
      </c>
      <c r="B452" s="82" t="str">
        <f>TDCTRIBE!B460</f>
        <v>AZ</v>
      </c>
      <c r="C452" s="82" t="str">
        <f>TDCTRIBE!F460</f>
        <v xml:space="preserve">Navajo Nation </v>
      </c>
      <c r="D452" s="83">
        <f>TDCTRIBE!Y460</f>
        <v>293873.00942999998</v>
      </c>
      <c r="E452" s="83">
        <f>TDCTRIBE!Z460</f>
        <v>324834.55296599999</v>
      </c>
      <c r="F452" s="83">
        <f>TDCTRIBE!AA460</f>
        <v>368333.36470700009</v>
      </c>
      <c r="G452" s="83">
        <f>TDCTRIBE!AB460</f>
        <v>399067.73383400001</v>
      </c>
      <c r="H452" s="83">
        <f>TDCTRIBE!AC460</f>
        <v>430222.806706</v>
      </c>
      <c r="O452" s="9"/>
      <c r="P452" s="1"/>
      <c r="Q452" s="1"/>
      <c r="R452" s="1"/>
      <c r="S452" s="1"/>
      <c r="T452" s="1"/>
      <c r="U452" s="1"/>
      <c r="V452" s="9"/>
      <c r="W452" s="3"/>
      <c r="X452" s="4"/>
      <c r="Y452" s="1"/>
      <c r="Z452" s="1"/>
      <c r="AA452" s="1"/>
      <c r="AB452" s="1"/>
      <c r="AC452" s="1"/>
      <c r="AD452" s="3"/>
      <c r="AE452" s="3"/>
      <c r="AF452" s="5"/>
      <c r="AG452" s="5"/>
      <c r="AH452" s="5"/>
      <c r="AI452" s="5"/>
      <c r="AJ452" s="6"/>
      <c r="AK452" s="6"/>
      <c r="AL452" s="12"/>
      <c r="AM452" s="12"/>
      <c r="AN452" s="12"/>
      <c r="AO452" s="12"/>
      <c r="AP452" s="12"/>
    </row>
    <row r="453" spans="1:42" ht="15" x14ac:dyDescent="0.25">
      <c r="A453" s="82" t="str">
        <f>TDCTRIBE!I461</f>
        <v>Southwest</v>
      </c>
      <c r="B453" s="82" t="str">
        <f>TDCTRIBE!B461</f>
        <v>AZ</v>
      </c>
      <c r="C453" s="82" t="str">
        <f>TDCTRIBE!F461</f>
        <v>Pascua Yaqui Tribe</v>
      </c>
      <c r="D453" s="83">
        <f>TDCTRIBE!Y461</f>
        <v>282870.08903999999</v>
      </c>
      <c r="E453" s="83">
        <f>TDCTRIBE!Z461</f>
        <v>312656.53729799995</v>
      </c>
      <c r="F453" s="83">
        <f>TDCTRIBE!AA461</f>
        <v>354500.99092100002</v>
      </c>
      <c r="G453" s="83">
        <f>TDCTRIBE!AB461</f>
        <v>384068.29185199999</v>
      </c>
      <c r="H453" s="83">
        <f>TDCTRIBE!AC461</f>
        <v>414050.11076800001</v>
      </c>
      <c r="O453" s="9"/>
      <c r="P453" s="1"/>
      <c r="Q453" s="1"/>
      <c r="R453" s="1"/>
      <c r="S453" s="1"/>
      <c r="T453" s="1"/>
      <c r="U453" s="1"/>
      <c r="V453" s="9"/>
      <c r="W453" s="3"/>
      <c r="X453" s="4"/>
      <c r="Y453" s="1"/>
      <c r="Z453" s="1"/>
      <c r="AA453" s="1"/>
      <c r="AB453" s="1"/>
      <c r="AC453" s="1"/>
      <c r="AD453" s="3"/>
      <c r="AE453" s="3"/>
      <c r="AF453" s="5"/>
      <c r="AG453" s="5"/>
      <c r="AH453" s="5"/>
      <c r="AI453" s="5"/>
      <c r="AJ453" s="6"/>
      <c r="AK453" s="6"/>
      <c r="AL453" s="12"/>
      <c r="AM453" s="12"/>
      <c r="AN453" s="12"/>
      <c r="AO453" s="12"/>
      <c r="AP453" s="12"/>
    </row>
    <row r="454" spans="1:42" ht="15" x14ac:dyDescent="0.25">
      <c r="A454" s="82" t="str">
        <f>TDCTRIBE!I462</f>
        <v>Southwest</v>
      </c>
      <c r="B454" s="82" t="str">
        <f>TDCTRIBE!B462</f>
        <v>AZ</v>
      </c>
      <c r="C454" s="82" t="str">
        <f>TDCTRIBE!F462</f>
        <v>Payson Tonto Apache</v>
      </c>
      <c r="D454" s="83">
        <f>TDCTRIBE!Y462</f>
        <v>287169.15843000001</v>
      </c>
      <c r="E454" s="83">
        <f>TDCTRIBE!Z462</f>
        <v>317531.60976599995</v>
      </c>
      <c r="F454" s="83">
        <f>TDCTRIBE!AA462</f>
        <v>360211.92830700002</v>
      </c>
      <c r="G454" s="83">
        <f>TDCTRIBE!AB462</f>
        <v>390355.622034</v>
      </c>
      <c r="H454" s="83">
        <f>TDCTRIBE!AC462</f>
        <v>420845.77050599997</v>
      </c>
      <c r="O454" s="9"/>
      <c r="P454" s="1"/>
      <c r="Q454" s="1"/>
      <c r="R454" s="1"/>
      <c r="S454" s="1"/>
      <c r="T454" s="1"/>
      <c r="U454" s="1"/>
      <c r="V454" s="9"/>
      <c r="W454" s="3"/>
      <c r="X454" s="4"/>
      <c r="Y454" s="1"/>
      <c r="Z454" s="1"/>
      <c r="AA454" s="1"/>
      <c r="AB454" s="1"/>
      <c r="AC454" s="1"/>
      <c r="AD454" s="3"/>
      <c r="AE454" s="3"/>
      <c r="AF454" s="5"/>
      <c r="AG454" s="5"/>
      <c r="AH454" s="5"/>
      <c r="AI454" s="5"/>
      <c r="AJ454" s="6"/>
      <c r="AK454" s="6"/>
      <c r="AL454" s="12"/>
      <c r="AM454" s="12"/>
      <c r="AN454" s="12"/>
      <c r="AO454" s="12"/>
      <c r="AP454" s="12"/>
    </row>
    <row r="455" spans="1:42" ht="15" x14ac:dyDescent="0.25">
      <c r="A455" s="82" t="str">
        <f>TDCTRIBE!I463</f>
        <v>Southwest</v>
      </c>
      <c r="B455" s="82" t="str">
        <f>TDCTRIBE!B463</f>
        <v>AZ</v>
      </c>
      <c r="C455" s="82" t="str">
        <f>TDCTRIBE!F463</f>
        <v>Salt River PIma-Maricopa</v>
      </c>
      <c r="D455" s="83">
        <f>TDCTRIBE!Y463</f>
        <v>284728.25650500006</v>
      </c>
      <c r="E455" s="83">
        <f>TDCTRIBE!Z463</f>
        <v>314632.80683099997</v>
      </c>
      <c r="F455" s="83">
        <f>TDCTRIBE!AA463</f>
        <v>356626.38499950006</v>
      </c>
      <c r="G455" s="83">
        <f>TDCTRIBE!AB463</f>
        <v>386308.00821900007</v>
      </c>
      <c r="H455" s="83">
        <f>TDCTRIBE!AC463</f>
        <v>416453.64917100006</v>
      </c>
      <c r="O455" s="9"/>
      <c r="P455" s="1"/>
      <c r="Q455" s="1"/>
      <c r="R455" s="1"/>
      <c r="S455" s="1"/>
      <c r="T455" s="1"/>
      <c r="U455" s="1"/>
      <c r="V455" s="9"/>
      <c r="W455" s="3"/>
      <c r="X455" s="4"/>
      <c r="Y455" s="1"/>
      <c r="Z455" s="1"/>
      <c r="AA455" s="1"/>
      <c r="AB455" s="1"/>
      <c r="AC455" s="1"/>
      <c r="AD455" s="3"/>
      <c r="AE455" s="3"/>
      <c r="AF455" s="5"/>
      <c r="AG455" s="5"/>
      <c r="AH455" s="5"/>
      <c r="AI455" s="5"/>
      <c r="AJ455" s="6"/>
      <c r="AK455" s="6"/>
      <c r="AL455" s="12"/>
      <c r="AM455" s="12"/>
      <c r="AN455" s="12"/>
      <c r="AO455" s="12"/>
      <c r="AP455" s="12"/>
    </row>
    <row r="456" spans="1:42" ht="15" x14ac:dyDescent="0.25">
      <c r="A456" s="82" t="str">
        <f>TDCTRIBE!I464</f>
        <v>Southwest</v>
      </c>
      <c r="B456" s="82" t="str">
        <f>TDCTRIBE!B464</f>
        <v>AZ</v>
      </c>
      <c r="C456" s="82" t="str">
        <f>TDCTRIBE!F464</f>
        <v>San Carlos Apache</v>
      </c>
      <c r="D456" s="83">
        <f>TDCTRIBE!Y464</f>
        <v>279700.36825499998</v>
      </c>
      <c r="E456" s="83">
        <f>TDCTRIBE!Z464</f>
        <v>309155.59943099995</v>
      </c>
      <c r="F456" s="83">
        <f>TDCTRIBE!AA464</f>
        <v>350535.3076995</v>
      </c>
      <c r="G456" s="83">
        <f>TDCTRIBE!AB464</f>
        <v>379773.92436900001</v>
      </c>
      <c r="H456" s="83">
        <f>TDCTRIBE!AC464</f>
        <v>409420.87202100002</v>
      </c>
      <c r="O456" s="9"/>
      <c r="P456" s="1"/>
      <c r="Q456" s="1"/>
      <c r="R456" s="1"/>
      <c r="S456" s="1"/>
      <c r="T456" s="1"/>
      <c r="U456" s="1"/>
      <c r="V456" s="9"/>
      <c r="W456" s="3"/>
      <c r="X456" s="4"/>
      <c r="Y456" s="1"/>
      <c r="Z456" s="1"/>
      <c r="AA456" s="1"/>
      <c r="AB456" s="1"/>
      <c r="AC456" s="1"/>
      <c r="AD456" s="3"/>
      <c r="AE456" s="3"/>
      <c r="AF456" s="5"/>
      <c r="AG456" s="5"/>
      <c r="AH456" s="5"/>
      <c r="AI456" s="5"/>
      <c r="AJ456" s="6"/>
      <c r="AK456" s="6"/>
      <c r="AL456" s="12"/>
      <c r="AM456" s="12"/>
      <c r="AN456" s="12"/>
      <c r="AO456" s="12"/>
      <c r="AP456" s="12"/>
    </row>
    <row r="457" spans="1:42" ht="15" x14ac:dyDescent="0.25">
      <c r="A457" s="82" t="str">
        <f>TDCTRIBE!I465</f>
        <v>Southwest</v>
      </c>
      <c r="B457" s="82" t="str">
        <f>TDCTRIBE!B465</f>
        <v>AZ</v>
      </c>
      <c r="C457" s="82" t="str">
        <f>TDCTRIBE!F465</f>
        <v>San Juan Southern Paiute Tribe</v>
      </c>
      <c r="D457" s="83">
        <f>TDCTRIBE!Y465</f>
        <v>293873.00942999998</v>
      </c>
      <c r="E457" s="83">
        <f>TDCTRIBE!Z465</f>
        <v>324834.55296599999</v>
      </c>
      <c r="F457" s="83">
        <f>TDCTRIBE!AA465</f>
        <v>368333.36470700009</v>
      </c>
      <c r="G457" s="83">
        <f>TDCTRIBE!AB465</f>
        <v>399067.73383400001</v>
      </c>
      <c r="H457" s="83">
        <f>TDCTRIBE!AC465</f>
        <v>430222.806706</v>
      </c>
      <c r="O457" s="9"/>
      <c r="P457" s="1"/>
      <c r="Q457" s="1"/>
      <c r="R457" s="1"/>
      <c r="S457" s="1"/>
      <c r="T457" s="1"/>
      <c r="U457" s="1"/>
      <c r="V457" s="9"/>
      <c r="W457" s="3"/>
      <c r="X457" s="4"/>
      <c r="Y457" s="1"/>
      <c r="Z457" s="1"/>
      <c r="AA457" s="1"/>
      <c r="AB457" s="1"/>
      <c r="AC457" s="1"/>
      <c r="AD457" s="3"/>
      <c r="AE457" s="3"/>
      <c r="AF457" s="5"/>
      <c r="AG457" s="5"/>
      <c r="AH457" s="5"/>
      <c r="AI457" s="5"/>
      <c r="AJ457" s="6"/>
      <c r="AK457" s="6"/>
      <c r="AL457" s="12"/>
      <c r="AM457" s="12"/>
      <c r="AN457" s="12"/>
      <c r="AO457" s="12"/>
      <c r="AP457" s="12"/>
    </row>
    <row r="458" spans="1:42" ht="15" x14ac:dyDescent="0.25">
      <c r="A458" s="82" t="str">
        <f>TDCTRIBE!I466</f>
        <v>Southwest</v>
      </c>
      <c r="B458" s="82" t="str">
        <f>TDCTRIBE!B466</f>
        <v>AZ</v>
      </c>
      <c r="C458" s="82" t="str">
        <f>TDCTRIBE!F466</f>
        <v>Tohono O'Odham Nation</v>
      </c>
      <c r="D458" s="83">
        <f>TDCTRIBE!Y466</f>
        <v>284728.25650500006</v>
      </c>
      <c r="E458" s="83">
        <f>TDCTRIBE!Z466</f>
        <v>314632.80683099997</v>
      </c>
      <c r="F458" s="83">
        <f>TDCTRIBE!AA466</f>
        <v>356626.38499950006</v>
      </c>
      <c r="G458" s="83">
        <f>TDCTRIBE!AB466</f>
        <v>386308.00821900007</v>
      </c>
      <c r="H458" s="83">
        <f>TDCTRIBE!AC466</f>
        <v>416453.64917100006</v>
      </c>
      <c r="O458" s="9"/>
      <c r="P458" s="1"/>
      <c r="Q458" s="1"/>
      <c r="R458" s="1"/>
      <c r="S458" s="1"/>
      <c r="T458" s="1"/>
      <c r="U458" s="1"/>
      <c r="V458" s="9"/>
      <c r="W458" s="3"/>
      <c r="X458" s="4"/>
      <c r="Y458" s="1"/>
      <c r="Z458" s="1"/>
      <c r="AA458" s="1"/>
      <c r="AB458" s="1"/>
      <c r="AC458" s="1"/>
      <c r="AD458" s="3"/>
      <c r="AE458" s="3"/>
      <c r="AF458" s="5"/>
      <c r="AG458" s="5"/>
      <c r="AH458" s="5"/>
      <c r="AI458" s="5"/>
      <c r="AJ458" s="6"/>
      <c r="AK458" s="6"/>
      <c r="AL458" s="12"/>
      <c r="AM458" s="12"/>
      <c r="AN458" s="12"/>
      <c r="AO458" s="12"/>
      <c r="AP458" s="12"/>
    </row>
    <row r="459" spans="1:42" ht="15" x14ac:dyDescent="0.25">
      <c r="A459" s="82" t="str">
        <f>TDCTRIBE!I467</f>
        <v>Southwest</v>
      </c>
      <c r="B459" s="82" t="str">
        <f>TDCTRIBE!B467</f>
        <v>AZ</v>
      </c>
      <c r="C459" s="82" t="str">
        <f>TDCTRIBE!F467</f>
        <v>White Mountain Apache (Fort Apache)</v>
      </c>
      <c r="D459" s="83">
        <f>TDCTRIBE!Y467</f>
        <v>284728.25650500006</v>
      </c>
      <c r="E459" s="83">
        <f>TDCTRIBE!Z467</f>
        <v>314632.80683099997</v>
      </c>
      <c r="F459" s="83">
        <f>TDCTRIBE!AA467</f>
        <v>356626.38499950006</v>
      </c>
      <c r="G459" s="83">
        <f>TDCTRIBE!AB467</f>
        <v>386308.00821900007</v>
      </c>
      <c r="H459" s="83">
        <f>TDCTRIBE!AC467</f>
        <v>416453.64917100006</v>
      </c>
      <c r="O459" s="9"/>
      <c r="P459" s="1"/>
      <c r="Q459" s="1"/>
      <c r="R459" s="1"/>
      <c r="S459" s="1"/>
      <c r="T459" s="1"/>
      <c r="U459" s="1"/>
      <c r="V459" s="9"/>
      <c r="W459" s="3"/>
      <c r="X459" s="4"/>
      <c r="Y459" s="1"/>
      <c r="Z459" s="1"/>
      <c r="AA459" s="1"/>
      <c r="AB459" s="1"/>
      <c r="AC459" s="1"/>
      <c r="AD459" s="3"/>
      <c r="AE459" s="3"/>
      <c r="AF459" s="5"/>
      <c r="AG459" s="5"/>
      <c r="AH459" s="5"/>
      <c r="AI459" s="5"/>
      <c r="AJ459" s="6"/>
      <c r="AK459" s="6"/>
      <c r="AL459" s="12"/>
      <c r="AM459" s="12"/>
      <c r="AN459" s="12"/>
      <c r="AO459" s="12"/>
      <c r="AP459" s="12"/>
    </row>
    <row r="460" spans="1:42" ht="15" x14ac:dyDescent="0.25">
      <c r="A460" s="82" t="str">
        <f>TDCTRIBE!I468</f>
        <v>Southwest</v>
      </c>
      <c r="B460" s="82" t="str">
        <f>TDCTRIBE!B468</f>
        <v>AZ</v>
      </c>
      <c r="C460" s="82" t="str">
        <f>TDCTRIBE!F468</f>
        <v>Yavapai-Apache (Camp Verde)</v>
      </c>
      <c r="D460" s="83">
        <f>TDCTRIBE!Y468</f>
        <v>293690.80471499998</v>
      </c>
      <c r="E460" s="83">
        <f>TDCTRIBE!Z468</f>
        <v>324684.019233</v>
      </c>
      <c r="F460" s="83">
        <f>TDCTRIBE!AA468</f>
        <v>368238.32972850004</v>
      </c>
      <c r="G460" s="83">
        <f>TDCTRIBE!AB468</f>
        <v>399006.04541700002</v>
      </c>
      <c r="H460" s="83">
        <f>TDCTRIBE!AC468</f>
        <v>430163.52735299995</v>
      </c>
      <c r="O460" s="9"/>
      <c r="P460" s="1"/>
      <c r="Q460" s="1"/>
      <c r="R460" s="1"/>
      <c r="S460" s="1"/>
      <c r="T460" s="1"/>
      <c r="U460" s="1"/>
      <c r="V460" s="9"/>
      <c r="W460" s="3"/>
      <c r="X460" s="4"/>
      <c r="Y460" s="1"/>
      <c r="Z460" s="1"/>
      <c r="AA460" s="1"/>
      <c r="AB460" s="1"/>
      <c r="AC460" s="1"/>
      <c r="AD460" s="3"/>
      <c r="AE460" s="3"/>
      <c r="AF460" s="5"/>
      <c r="AG460" s="5"/>
      <c r="AH460" s="5"/>
      <c r="AI460" s="5"/>
      <c r="AJ460" s="6"/>
      <c r="AK460" s="6"/>
      <c r="AL460" s="12"/>
      <c r="AM460" s="12"/>
      <c r="AN460" s="12"/>
      <c r="AO460" s="12"/>
      <c r="AP460" s="12"/>
    </row>
    <row r="461" spans="1:42" ht="15" x14ac:dyDescent="0.25">
      <c r="A461" s="82" t="str">
        <f>TDCTRIBE!I469</f>
        <v>Southwest</v>
      </c>
      <c r="B461" s="82" t="str">
        <f>TDCTRIBE!B469</f>
        <v>AZ</v>
      </c>
      <c r="C461" s="82" t="str">
        <f>TDCTRIBE!F469</f>
        <v>Yavapai-Prescott</v>
      </c>
      <c r="D461" s="83">
        <f>TDCTRIBE!Y469</f>
        <v>293690.80471499998</v>
      </c>
      <c r="E461" s="83">
        <f>TDCTRIBE!Z469</f>
        <v>324684.019233</v>
      </c>
      <c r="F461" s="83">
        <f>TDCTRIBE!AA469</f>
        <v>368238.32972850004</v>
      </c>
      <c r="G461" s="83">
        <f>TDCTRIBE!AB469</f>
        <v>399006.04541700002</v>
      </c>
      <c r="H461" s="83">
        <f>TDCTRIBE!AC469</f>
        <v>430163.52735299995</v>
      </c>
      <c r="O461" s="9"/>
      <c r="P461" s="1"/>
      <c r="Q461" s="1"/>
      <c r="R461" s="1"/>
      <c r="S461" s="1"/>
      <c r="T461" s="1"/>
      <c r="U461" s="1"/>
      <c r="V461" s="9"/>
      <c r="W461" s="3"/>
      <c r="X461" s="4"/>
      <c r="Y461" s="1"/>
      <c r="Z461" s="1"/>
      <c r="AA461" s="1"/>
      <c r="AB461" s="1"/>
      <c r="AC461" s="1"/>
      <c r="AD461" s="3"/>
      <c r="AE461" s="3"/>
      <c r="AF461" s="5"/>
      <c r="AG461" s="5"/>
      <c r="AH461" s="5"/>
      <c r="AI461" s="5"/>
      <c r="AJ461" s="6"/>
      <c r="AK461" s="6"/>
      <c r="AL461" s="12"/>
      <c r="AM461" s="12"/>
      <c r="AN461" s="12"/>
      <c r="AO461" s="12"/>
      <c r="AP461" s="12"/>
    </row>
    <row r="462" spans="1:42" ht="15" x14ac:dyDescent="0.25">
      <c r="A462" s="82" t="str">
        <f>TDCTRIBE!I470</f>
        <v>Southwest</v>
      </c>
      <c r="B462" s="82" t="str">
        <f>TDCTRIBE!B470</f>
        <v>CA</v>
      </c>
      <c r="C462" s="82" t="str">
        <f>TDCTRIBE!F470</f>
        <v>Agua Caliente Band of Cahuilla</v>
      </c>
      <c r="D462" s="83">
        <f>TDCTRIBE!Y470</f>
        <v>354008.25326999993</v>
      </c>
      <c r="E462" s="83">
        <f>TDCTRIBE!Z470</f>
        <v>392429.30987399997</v>
      </c>
      <c r="F462" s="83">
        <f>TDCTRIBE!AA470</f>
        <v>445001.55499800004</v>
      </c>
      <c r="G462" s="83">
        <f>TDCTRIBE!AB470</f>
        <v>480482.85717599996</v>
      </c>
      <c r="H462" s="83">
        <f>TDCTRIBE!AC470</f>
        <v>518121.54878399998</v>
      </c>
      <c r="O462" s="9"/>
      <c r="P462" s="1"/>
      <c r="Q462" s="1"/>
      <c r="R462" s="1"/>
      <c r="S462" s="1"/>
      <c r="T462" s="1"/>
      <c r="U462" s="1"/>
      <c r="V462" s="9"/>
      <c r="W462" s="3"/>
      <c r="X462" s="4"/>
      <c r="Y462" s="1"/>
      <c r="Z462" s="1"/>
      <c r="AA462" s="1"/>
      <c r="AB462" s="1"/>
      <c r="AC462" s="1"/>
      <c r="AD462" s="3"/>
      <c r="AE462" s="3"/>
      <c r="AF462" s="5"/>
      <c r="AG462" s="5"/>
      <c r="AH462" s="5"/>
      <c r="AI462" s="5"/>
      <c r="AJ462" s="6"/>
      <c r="AK462" s="6"/>
      <c r="AL462" s="12"/>
      <c r="AM462" s="12"/>
      <c r="AN462" s="12"/>
      <c r="AO462" s="12"/>
      <c r="AP462" s="12"/>
    </row>
    <row r="463" spans="1:42" ht="15" x14ac:dyDescent="0.25">
      <c r="A463" s="82" t="str">
        <f>TDCTRIBE!I471</f>
        <v>Southwest</v>
      </c>
      <c r="B463" s="82" t="str">
        <f>TDCTRIBE!B471</f>
        <v>CA</v>
      </c>
      <c r="C463" s="82" t="str">
        <f>TDCTRIBE!F471</f>
        <v>Alturas Rancheria</v>
      </c>
      <c r="D463" s="83">
        <f>TDCTRIBE!Y471</f>
        <v>390057.86126999999</v>
      </c>
      <c r="E463" s="83">
        <f>TDCTRIBE!Z471</f>
        <v>430765.891374</v>
      </c>
      <c r="F463" s="83">
        <f>TDCTRIBE!AA471</f>
        <v>487874.07122300001</v>
      </c>
      <c r="G463" s="83">
        <f>TDCTRIBE!AB471</f>
        <v>528268.88882599992</v>
      </c>
      <c r="H463" s="83">
        <f>TDCTRIBE!AC471</f>
        <v>569455.64523400005</v>
      </c>
      <c r="O463" s="9"/>
      <c r="P463" s="1"/>
      <c r="Q463" s="1"/>
      <c r="R463" s="1"/>
      <c r="S463" s="1"/>
      <c r="T463" s="1"/>
      <c r="U463" s="1"/>
      <c r="V463" s="9"/>
      <c r="W463" s="3"/>
      <c r="X463" s="4"/>
      <c r="Y463" s="1"/>
      <c r="Z463" s="1"/>
      <c r="AA463" s="1"/>
      <c r="AB463" s="1"/>
      <c r="AC463" s="1"/>
      <c r="AD463" s="3"/>
      <c r="AE463" s="3"/>
      <c r="AF463" s="5"/>
      <c r="AG463" s="5"/>
      <c r="AH463" s="5"/>
      <c r="AI463" s="5"/>
      <c r="AJ463" s="6"/>
      <c r="AK463" s="6"/>
      <c r="AL463" s="12"/>
      <c r="AM463" s="12"/>
      <c r="AN463" s="12"/>
      <c r="AO463" s="12"/>
      <c r="AP463" s="12"/>
    </row>
    <row r="464" spans="1:42" ht="15" x14ac:dyDescent="0.25">
      <c r="A464" s="82" t="str">
        <f>TDCTRIBE!I472</f>
        <v>Southwest</v>
      </c>
      <c r="B464" s="82" t="str">
        <f>TDCTRIBE!B472</f>
        <v>CA</v>
      </c>
      <c r="C464" s="82" t="str">
        <f>TDCTRIBE!F472</f>
        <v>Auburn Rancheria</v>
      </c>
      <c r="D464" s="83">
        <f>TDCTRIBE!Y472</f>
        <v>390057.86126999999</v>
      </c>
      <c r="E464" s="83">
        <f>TDCTRIBE!Z472</f>
        <v>430765.891374</v>
      </c>
      <c r="F464" s="83">
        <f>TDCTRIBE!AA472</f>
        <v>487874.07122300001</v>
      </c>
      <c r="G464" s="83">
        <f>TDCTRIBE!AB472</f>
        <v>528268.88882599992</v>
      </c>
      <c r="H464" s="83">
        <f>TDCTRIBE!AC472</f>
        <v>569455.64523400005</v>
      </c>
      <c r="O464" s="9"/>
      <c r="P464" s="1"/>
      <c r="Q464" s="1"/>
      <c r="R464" s="1"/>
      <c r="S464" s="1"/>
      <c r="T464" s="1"/>
      <c r="U464" s="1"/>
      <c r="V464" s="9"/>
      <c r="W464" s="3"/>
      <c r="X464" s="4"/>
      <c r="Y464" s="1"/>
      <c r="Z464" s="1"/>
      <c r="AA464" s="1"/>
      <c r="AB464" s="1"/>
      <c r="AC464" s="1"/>
      <c r="AD464" s="3"/>
      <c r="AE464" s="3"/>
      <c r="AF464" s="5"/>
      <c r="AG464" s="5"/>
      <c r="AH464" s="5"/>
      <c r="AI464" s="5"/>
      <c r="AJ464" s="6"/>
      <c r="AK464" s="6"/>
      <c r="AL464" s="12"/>
      <c r="AM464" s="12"/>
      <c r="AN464" s="12"/>
      <c r="AO464" s="12"/>
      <c r="AP464" s="12"/>
    </row>
    <row r="465" spans="1:42" ht="15" x14ac:dyDescent="0.25">
      <c r="A465" s="82" t="str">
        <f>TDCTRIBE!I473</f>
        <v>Southwest</v>
      </c>
      <c r="B465" s="82" t="str">
        <f>TDCTRIBE!B473</f>
        <v>CA</v>
      </c>
      <c r="C465" s="82" t="str">
        <f>TDCTRIBE!F473</f>
        <v>Augustine Band of Cahuilla</v>
      </c>
      <c r="D465" s="83">
        <f>TDCTRIBE!Y473</f>
        <v>354008.25326999993</v>
      </c>
      <c r="E465" s="83">
        <f>TDCTRIBE!Z473</f>
        <v>392429.30987399997</v>
      </c>
      <c r="F465" s="83">
        <f>TDCTRIBE!AA473</f>
        <v>445001.55499800004</v>
      </c>
      <c r="G465" s="83">
        <f>TDCTRIBE!AB473</f>
        <v>480482.85717599996</v>
      </c>
      <c r="H465" s="83">
        <f>TDCTRIBE!AC473</f>
        <v>518121.54878399998</v>
      </c>
      <c r="O465" s="9"/>
      <c r="P465" s="1"/>
      <c r="Q465" s="1"/>
      <c r="R465" s="1"/>
      <c r="S465" s="1"/>
      <c r="T465" s="1"/>
      <c r="U465" s="1"/>
      <c r="V465" s="9"/>
      <c r="W465" s="3"/>
      <c r="X465" s="4"/>
      <c r="Y465" s="1"/>
      <c r="Z465" s="1"/>
      <c r="AA465" s="1"/>
      <c r="AB465" s="1"/>
      <c r="AC465" s="1"/>
      <c r="AD465" s="3"/>
      <c r="AE465" s="3"/>
      <c r="AF465" s="5"/>
      <c r="AG465" s="5"/>
      <c r="AH465" s="5"/>
      <c r="AI465" s="5"/>
      <c r="AJ465" s="6"/>
      <c r="AK465" s="6"/>
      <c r="AL465" s="12"/>
      <c r="AM465" s="12"/>
      <c r="AN465" s="12"/>
      <c r="AO465" s="12"/>
      <c r="AP465" s="12"/>
    </row>
    <row r="466" spans="1:42" ht="15" x14ac:dyDescent="0.25">
      <c r="A466" s="82" t="str">
        <f>TDCTRIBE!I474</f>
        <v>Southwest</v>
      </c>
      <c r="B466" s="82" t="str">
        <f>TDCTRIBE!B474</f>
        <v>CA</v>
      </c>
      <c r="C466" s="82" t="str">
        <f>TDCTRIBE!F474</f>
        <v xml:space="preserve">Barona </v>
      </c>
      <c r="D466" s="83">
        <f>TDCTRIBE!Y474</f>
        <v>340558.31309499999</v>
      </c>
      <c r="E466" s="83">
        <f>TDCTRIBE!Z474</f>
        <v>377504.28923900001</v>
      </c>
      <c r="F466" s="83">
        <f>TDCTRIBE!AA474</f>
        <v>428052.34695300006</v>
      </c>
      <c r="G466" s="83">
        <f>TDCTRIBE!AB474</f>
        <v>462168.18863599998</v>
      </c>
      <c r="H466" s="83">
        <f>TDCTRIBE!AC474</f>
        <v>498370.60442400002</v>
      </c>
      <c r="O466" s="9"/>
      <c r="P466" s="1"/>
      <c r="Q466" s="1"/>
      <c r="R466" s="1"/>
      <c r="S466" s="1"/>
      <c r="T466" s="1"/>
      <c r="U466" s="1"/>
      <c r="V466" s="9"/>
      <c r="W466" s="3"/>
      <c r="X466" s="4"/>
      <c r="Y466" s="1"/>
      <c r="Z466" s="1"/>
      <c r="AA466" s="1"/>
      <c r="AB466" s="1"/>
      <c r="AC466" s="1"/>
      <c r="AD466" s="3"/>
      <c r="AE466" s="3"/>
      <c r="AF466" s="5"/>
      <c r="AG466" s="5"/>
      <c r="AH466" s="5"/>
      <c r="AI466" s="5"/>
      <c r="AJ466" s="6"/>
      <c r="AK466" s="6"/>
      <c r="AL466" s="12"/>
      <c r="AM466" s="12"/>
      <c r="AN466" s="12"/>
      <c r="AO466" s="12"/>
      <c r="AP466" s="12"/>
    </row>
    <row r="467" spans="1:42" ht="15" x14ac:dyDescent="0.25">
      <c r="A467" s="82" t="str">
        <f>TDCTRIBE!I475</f>
        <v>Southwest</v>
      </c>
      <c r="B467" s="82" t="str">
        <f>TDCTRIBE!B475</f>
        <v>CA</v>
      </c>
      <c r="C467" s="82" t="str">
        <f>TDCTRIBE!F475</f>
        <v>Berry Creek Rancheria</v>
      </c>
      <c r="D467" s="83">
        <f>TDCTRIBE!Y475</f>
        <v>383354.01027000003</v>
      </c>
      <c r="E467" s="83">
        <f>TDCTRIBE!Z475</f>
        <v>423462.94817400002</v>
      </c>
      <c r="F467" s="83">
        <f>TDCTRIBE!AA475</f>
        <v>479752.63482300006</v>
      </c>
      <c r="G467" s="83">
        <f>TDCTRIBE!AB475</f>
        <v>519556.77702600003</v>
      </c>
      <c r="H467" s="83">
        <f>TDCTRIBE!AC475</f>
        <v>560078.60903400008</v>
      </c>
      <c r="O467" s="9"/>
      <c r="P467" s="1"/>
      <c r="Q467" s="1"/>
      <c r="R467" s="1"/>
      <c r="S467" s="1"/>
      <c r="T467" s="1"/>
      <c r="U467" s="1"/>
      <c r="V467" s="9"/>
      <c r="W467" s="3"/>
      <c r="X467" s="4"/>
      <c r="Y467" s="1"/>
      <c r="Z467" s="1"/>
      <c r="AA467" s="1"/>
      <c r="AB467" s="1"/>
      <c r="AC467" s="1"/>
      <c r="AD467" s="3"/>
      <c r="AE467" s="3"/>
      <c r="AF467" s="5"/>
      <c r="AG467" s="5"/>
      <c r="AH467" s="5"/>
      <c r="AI467" s="5"/>
      <c r="AJ467" s="6"/>
      <c r="AK467" s="6"/>
      <c r="AL467" s="12"/>
      <c r="AM467" s="12"/>
      <c r="AN467" s="12"/>
      <c r="AO467" s="12"/>
      <c r="AP467" s="12"/>
    </row>
    <row r="468" spans="1:42" ht="15" x14ac:dyDescent="0.25">
      <c r="A468" s="82" t="str">
        <f>TDCTRIBE!I476</f>
        <v>Southwest</v>
      </c>
      <c r="B468" s="82" t="str">
        <f>TDCTRIBE!B476</f>
        <v>CA</v>
      </c>
      <c r="C468" s="82" t="str">
        <f>TDCTRIBE!F476</f>
        <v>Big Lagoon Rancheria</v>
      </c>
      <c r="D468" s="83">
        <f>TDCTRIBE!Y476</f>
        <v>396032.89341000002</v>
      </c>
      <c r="E468" s="83">
        <f>TDCTRIBE!Z476</f>
        <v>437466.69964199996</v>
      </c>
      <c r="F468" s="83">
        <f>TDCTRIBE!AA476</f>
        <v>495615.36770900013</v>
      </c>
      <c r="G468" s="83">
        <f>TDCTRIBE!AB476</f>
        <v>536734.24695800012</v>
      </c>
      <c r="H468" s="83">
        <f>TDCTRIBE!AC476</f>
        <v>578595.56402199995</v>
      </c>
      <c r="O468" s="9"/>
      <c r="P468" s="1"/>
      <c r="Q468" s="1"/>
      <c r="R468" s="1"/>
      <c r="S468" s="1"/>
      <c r="T468" s="1"/>
      <c r="U468" s="1"/>
      <c r="V468" s="9"/>
      <c r="W468" s="3"/>
      <c r="X468" s="4"/>
      <c r="Y468" s="1"/>
      <c r="Z468" s="1"/>
      <c r="AA468" s="1"/>
      <c r="AB468" s="1"/>
      <c r="AC468" s="1"/>
      <c r="AD468" s="3"/>
      <c r="AE468" s="3"/>
      <c r="AF468" s="5"/>
      <c r="AG468" s="5"/>
      <c r="AH468" s="5"/>
      <c r="AI468" s="5"/>
      <c r="AJ468" s="6"/>
      <c r="AK468" s="6"/>
      <c r="AL468" s="12"/>
      <c r="AM468" s="12"/>
      <c r="AN468" s="12"/>
      <c r="AO468" s="12"/>
      <c r="AP468" s="12"/>
    </row>
    <row r="469" spans="1:42" ht="15" x14ac:dyDescent="0.25">
      <c r="A469" s="82" t="str">
        <f>TDCTRIBE!I477</f>
        <v>Southwest</v>
      </c>
      <c r="B469" s="82" t="str">
        <f>TDCTRIBE!B477</f>
        <v>CA</v>
      </c>
      <c r="C469" s="82" t="str">
        <f>TDCTRIBE!F477</f>
        <v>Big Pine Band</v>
      </c>
      <c r="D469" s="83">
        <f>TDCTRIBE!Y477</f>
        <v>371622.27102000004</v>
      </c>
      <c r="E469" s="83">
        <f>TDCTRIBE!Z477</f>
        <v>410682.79757399991</v>
      </c>
      <c r="F469" s="83">
        <f>TDCTRIBE!AA477</f>
        <v>465540.12112300005</v>
      </c>
      <c r="G469" s="83">
        <f>TDCTRIBE!AB477</f>
        <v>504310.58137600002</v>
      </c>
      <c r="H469" s="83">
        <f>TDCTRIBE!AC477</f>
        <v>543668.7956839999</v>
      </c>
      <c r="O469" s="9"/>
      <c r="P469" s="1"/>
      <c r="Q469" s="1"/>
      <c r="R469" s="1"/>
      <c r="S469" s="1"/>
      <c r="T469" s="1"/>
      <c r="U469" s="1"/>
      <c r="V469" s="9"/>
      <c r="W469" s="3"/>
      <c r="X469" s="4"/>
      <c r="Y469" s="1"/>
      <c r="Z469" s="1"/>
      <c r="AA469" s="1"/>
      <c r="AB469" s="1"/>
      <c r="AC469" s="1"/>
      <c r="AD469" s="3"/>
      <c r="AE469" s="3"/>
      <c r="AF469" s="5"/>
      <c r="AG469" s="5"/>
      <c r="AH469" s="5"/>
      <c r="AI469" s="5"/>
      <c r="AJ469" s="6"/>
      <c r="AK469" s="6"/>
      <c r="AL469" s="12"/>
      <c r="AM469" s="12"/>
      <c r="AN469" s="12"/>
      <c r="AO469" s="12"/>
      <c r="AP469" s="12"/>
    </row>
    <row r="470" spans="1:42" ht="15" x14ac:dyDescent="0.25">
      <c r="A470" s="82" t="str">
        <f>TDCTRIBE!I478</f>
        <v>Southwest</v>
      </c>
      <c r="B470" s="82" t="str">
        <f>TDCTRIBE!B478</f>
        <v>CA</v>
      </c>
      <c r="C470" s="82" t="str">
        <f>TDCTRIBE!F478</f>
        <v>Big Sandy Rancheria</v>
      </c>
      <c r="D470" s="83">
        <f>TDCTRIBE!Y478</f>
        <v>391769.94433500001</v>
      </c>
      <c r="E470" s="83">
        <f>TDCTRIBE!Z478</f>
        <v>433062.55937699997</v>
      </c>
      <c r="F470" s="83">
        <f>TDCTRIBE!AA478</f>
        <v>491079.47461650008</v>
      </c>
      <c r="G470" s="83">
        <f>TDCTRIBE!AB478</f>
        <v>532069.74897299998</v>
      </c>
      <c r="H470" s="83">
        <f>TDCTRIBE!AC478</f>
        <v>573610.64915700001</v>
      </c>
      <c r="O470" s="9"/>
      <c r="P470" s="1"/>
      <c r="Q470" s="1"/>
      <c r="R470" s="1"/>
      <c r="S470" s="1"/>
      <c r="T470" s="1"/>
      <c r="U470" s="1"/>
      <c r="V470" s="9"/>
      <c r="W470" s="3"/>
      <c r="X470" s="4"/>
      <c r="Y470" s="1"/>
      <c r="Z470" s="1"/>
      <c r="AA470" s="1"/>
      <c r="AB470" s="1"/>
      <c r="AC470" s="1"/>
      <c r="AD470" s="3"/>
      <c r="AE470" s="3"/>
      <c r="AF470" s="5"/>
      <c r="AG470" s="5"/>
      <c r="AH470" s="5"/>
      <c r="AI470" s="5"/>
      <c r="AJ470" s="6"/>
      <c r="AK470" s="6"/>
      <c r="AL470" s="12"/>
      <c r="AM470" s="12"/>
      <c r="AN470" s="12"/>
      <c r="AO470" s="12"/>
      <c r="AP470" s="12"/>
    </row>
    <row r="471" spans="1:42" ht="15" x14ac:dyDescent="0.25">
      <c r="A471" s="82" t="str">
        <f>TDCTRIBE!I479</f>
        <v>Southwest</v>
      </c>
      <c r="B471" s="82" t="str">
        <f>TDCTRIBE!B479</f>
        <v>CA</v>
      </c>
      <c r="C471" s="82" t="str">
        <f>TDCTRIBE!F479</f>
        <v>Big Valley Rancheria</v>
      </c>
      <c r="D471" s="83">
        <f>TDCTRIBE!Y479</f>
        <v>395085.74952000001</v>
      </c>
      <c r="E471" s="83">
        <f>TDCTRIBE!Z479</f>
        <v>436243.09877399995</v>
      </c>
      <c r="F471" s="83">
        <f>TDCTRIBE!AA479</f>
        <v>493965.14852300007</v>
      </c>
      <c r="G471" s="83">
        <f>TDCTRIBE!AB479</f>
        <v>534802.97267599998</v>
      </c>
      <c r="H471" s="83">
        <f>TDCTRIBE!AC479</f>
        <v>576488.42238400003</v>
      </c>
      <c r="O471" s="9"/>
      <c r="P471" s="1"/>
      <c r="Q471" s="1"/>
      <c r="R471" s="1"/>
      <c r="S471" s="1"/>
      <c r="T471" s="1"/>
      <c r="U471" s="1"/>
      <c r="V471" s="9"/>
      <c r="W471" s="3"/>
      <c r="X471" s="4"/>
      <c r="Y471" s="1"/>
      <c r="Z471" s="1"/>
      <c r="AA471" s="1"/>
      <c r="AB471" s="1"/>
      <c r="AC471" s="1"/>
      <c r="AD471" s="3"/>
      <c r="AE471" s="3"/>
      <c r="AF471" s="5"/>
      <c r="AG471" s="5"/>
      <c r="AH471" s="5"/>
      <c r="AI471" s="5"/>
      <c r="AJ471" s="6"/>
      <c r="AK471" s="6"/>
      <c r="AL471" s="12"/>
      <c r="AM471" s="12"/>
      <c r="AN471" s="12"/>
      <c r="AO471" s="12"/>
      <c r="AP471" s="12"/>
    </row>
    <row r="472" spans="1:42" ht="15" x14ac:dyDescent="0.25">
      <c r="A472" s="82" t="str">
        <f>TDCTRIBE!I480</f>
        <v>Southwest</v>
      </c>
      <c r="B472" s="82" t="str">
        <f>TDCTRIBE!B480</f>
        <v>CA</v>
      </c>
      <c r="C472" s="82" t="str">
        <f>TDCTRIBE!F480</f>
        <v>Blue Lake Rancheria</v>
      </c>
      <c r="D472" s="83">
        <f>TDCTRIBE!Y480</f>
        <v>396032.89341000002</v>
      </c>
      <c r="E472" s="83">
        <f>TDCTRIBE!Z480</f>
        <v>437466.69964199996</v>
      </c>
      <c r="F472" s="83">
        <f>TDCTRIBE!AA480</f>
        <v>495615.36770900013</v>
      </c>
      <c r="G472" s="83">
        <f>TDCTRIBE!AB480</f>
        <v>536734.24695800012</v>
      </c>
      <c r="H472" s="83">
        <f>TDCTRIBE!AC480</f>
        <v>578595.56402199995</v>
      </c>
      <c r="O472" s="9"/>
      <c r="P472" s="1"/>
      <c r="Q472" s="1"/>
      <c r="R472" s="1"/>
      <c r="S472" s="1"/>
      <c r="T472" s="1"/>
      <c r="U472" s="1"/>
      <c r="V472" s="9"/>
      <c r="W472" s="3"/>
      <c r="X472" s="4"/>
      <c r="Y472" s="1"/>
      <c r="Z472" s="1"/>
      <c r="AA472" s="1"/>
      <c r="AB472" s="1"/>
      <c r="AC472" s="1"/>
      <c r="AD472" s="3"/>
      <c r="AE472" s="3"/>
      <c r="AF472" s="5"/>
      <c r="AG472" s="5"/>
      <c r="AH472" s="5"/>
      <c r="AI472" s="5"/>
      <c r="AJ472" s="6"/>
      <c r="AK472" s="6"/>
      <c r="AL472" s="12"/>
      <c r="AM472" s="12"/>
      <c r="AN472" s="12"/>
      <c r="AO472" s="12"/>
      <c r="AP472" s="12"/>
    </row>
    <row r="473" spans="1:42" ht="15" x14ac:dyDescent="0.25">
      <c r="A473" s="82" t="str">
        <f>TDCTRIBE!I481</f>
        <v>Southwest</v>
      </c>
      <c r="B473" s="82" t="str">
        <f>TDCTRIBE!B481</f>
        <v>CA</v>
      </c>
      <c r="C473" s="82" t="str">
        <f>TDCTRIBE!F481</f>
        <v>Bridgeport Paiute Indian Colony</v>
      </c>
      <c r="D473" s="83">
        <f>TDCTRIBE!Y481</f>
        <v>371622.27102000004</v>
      </c>
      <c r="E473" s="83">
        <f>TDCTRIBE!Z481</f>
        <v>410682.79757399991</v>
      </c>
      <c r="F473" s="83">
        <f>TDCTRIBE!AA481</f>
        <v>465540.12112300005</v>
      </c>
      <c r="G473" s="83">
        <f>TDCTRIBE!AB481</f>
        <v>504310.58137600002</v>
      </c>
      <c r="H473" s="83">
        <f>TDCTRIBE!AC481</f>
        <v>543668.7956839999</v>
      </c>
      <c r="O473" s="9"/>
      <c r="P473" s="1"/>
      <c r="Q473" s="1"/>
      <c r="R473" s="1"/>
      <c r="S473" s="1"/>
      <c r="T473" s="1"/>
      <c r="U473" s="1"/>
      <c r="V473" s="9"/>
      <c r="W473" s="3"/>
      <c r="X473" s="4"/>
      <c r="Y473" s="1"/>
      <c r="Z473" s="1"/>
      <c r="AA473" s="1"/>
      <c r="AB473" s="1"/>
      <c r="AC473" s="1"/>
      <c r="AD473" s="3"/>
      <c r="AE473" s="3"/>
      <c r="AF473" s="5"/>
      <c r="AG473" s="5"/>
      <c r="AH473" s="5"/>
      <c r="AI473" s="5"/>
      <c r="AJ473" s="6"/>
      <c r="AK473" s="6"/>
      <c r="AL473" s="12"/>
      <c r="AM473" s="12"/>
      <c r="AN473" s="12"/>
      <c r="AO473" s="12"/>
      <c r="AP473" s="12"/>
    </row>
    <row r="474" spans="1:42" ht="15" x14ac:dyDescent="0.25">
      <c r="A474" s="82" t="str">
        <f>TDCTRIBE!I482</f>
        <v>Southwest</v>
      </c>
      <c r="B474" s="82" t="str">
        <f>TDCTRIBE!B482</f>
        <v>CA</v>
      </c>
      <c r="C474" s="82" t="str">
        <f>TDCTRIBE!F482</f>
        <v>Buena Vista Rancheria</v>
      </c>
      <c r="D474" s="83">
        <f>TDCTRIBE!Y482</f>
        <v>390057.86126999999</v>
      </c>
      <c r="E474" s="83">
        <f>TDCTRIBE!Z482</f>
        <v>430765.891374</v>
      </c>
      <c r="F474" s="83">
        <f>TDCTRIBE!AA482</f>
        <v>487874.07122300001</v>
      </c>
      <c r="G474" s="83">
        <f>TDCTRIBE!AB482</f>
        <v>528268.88882599992</v>
      </c>
      <c r="H474" s="83">
        <f>TDCTRIBE!AC482</f>
        <v>569455.64523400005</v>
      </c>
      <c r="O474" s="9"/>
      <c r="P474" s="1"/>
      <c r="Q474" s="1"/>
      <c r="R474" s="1"/>
      <c r="S474" s="1"/>
      <c r="T474" s="1"/>
      <c r="U474" s="1"/>
      <c r="V474" s="9"/>
      <c r="W474" s="3"/>
      <c r="X474" s="4"/>
      <c r="Y474" s="1"/>
      <c r="Z474" s="1"/>
      <c r="AA474" s="1"/>
      <c r="AB474" s="1"/>
      <c r="AC474" s="1"/>
      <c r="AD474" s="3"/>
      <c r="AE474" s="3"/>
      <c r="AF474" s="5"/>
      <c r="AG474" s="5"/>
      <c r="AH474" s="5"/>
      <c r="AI474" s="5"/>
      <c r="AJ474" s="6"/>
      <c r="AK474" s="6"/>
      <c r="AL474" s="12"/>
      <c r="AM474" s="12"/>
      <c r="AN474" s="12"/>
      <c r="AO474" s="12"/>
      <c r="AP474" s="12"/>
    </row>
    <row r="475" spans="1:42" ht="15" x14ac:dyDescent="0.25">
      <c r="A475" s="82" t="str">
        <f>TDCTRIBE!I483</f>
        <v>Southwest</v>
      </c>
      <c r="B475" s="82" t="str">
        <f>TDCTRIBE!B483</f>
        <v>CA</v>
      </c>
      <c r="C475" s="82" t="str">
        <f>TDCTRIBE!F483</f>
        <v>Cabazon Band</v>
      </c>
      <c r="D475" s="83">
        <f>TDCTRIBE!Y483</f>
        <v>354008.25326999993</v>
      </c>
      <c r="E475" s="83">
        <f>TDCTRIBE!Z483</f>
        <v>392429.30987399997</v>
      </c>
      <c r="F475" s="83">
        <f>TDCTRIBE!AA483</f>
        <v>445001.55499800004</v>
      </c>
      <c r="G475" s="83">
        <f>TDCTRIBE!AB483</f>
        <v>480482.85717599996</v>
      </c>
      <c r="H475" s="83">
        <f>TDCTRIBE!AC483</f>
        <v>518121.54878399998</v>
      </c>
      <c r="O475" s="9"/>
      <c r="P475" s="1"/>
      <c r="Q475" s="1"/>
      <c r="R475" s="1"/>
      <c r="S475" s="1"/>
      <c r="T475" s="1"/>
      <c r="U475" s="1"/>
      <c r="V475" s="9"/>
      <c r="W475" s="3"/>
      <c r="X475" s="4"/>
      <c r="Y475" s="1"/>
      <c r="Z475" s="1"/>
      <c r="AA475" s="1"/>
      <c r="AB475" s="1"/>
      <c r="AC475" s="1"/>
      <c r="AD475" s="3"/>
      <c r="AE475" s="3"/>
      <c r="AF475" s="5"/>
      <c r="AG475" s="5"/>
      <c r="AH475" s="5"/>
      <c r="AI475" s="5"/>
      <c r="AJ475" s="6"/>
      <c r="AK475" s="6"/>
      <c r="AL475" s="12"/>
      <c r="AM475" s="12"/>
      <c r="AN475" s="12"/>
      <c r="AO475" s="12"/>
      <c r="AP475" s="12"/>
    </row>
    <row r="476" spans="1:42" ht="15" x14ac:dyDescent="0.25">
      <c r="A476" s="82" t="str">
        <f>TDCTRIBE!I484</f>
        <v>Southwest</v>
      </c>
      <c r="B476" s="82" t="str">
        <f>TDCTRIBE!B484</f>
        <v>CA</v>
      </c>
      <c r="C476" s="82" t="str">
        <f>TDCTRIBE!F484</f>
        <v>Cahuilla Band</v>
      </c>
      <c r="D476" s="83">
        <f>TDCTRIBE!Y484</f>
        <v>354008.25326999993</v>
      </c>
      <c r="E476" s="83">
        <f>TDCTRIBE!Z484</f>
        <v>392429.30987399997</v>
      </c>
      <c r="F476" s="83">
        <f>TDCTRIBE!AA484</f>
        <v>445001.55499800004</v>
      </c>
      <c r="G476" s="83">
        <f>TDCTRIBE!AB484</f>
        <v>480482.85717599996</v>
      </c>
      <c r="H476" s="83">
        <f>TDCTRIBE!AC484</f>
        <v>518121.54878399998</v>
      </c>
      <c r="O476" s="9"/>
      <c r="P476" s="1"/>
      <c r="Q476" s="1"/>
      <c r="R476" s="1"/>
      <c r="S476" s="1"/>
      <c r="T476" s="1"/>
      <c r="U476" s="1"/>
      <c r="V476" s="9"/>
      <c r="W476" s="3"/>
      <c r="X476" s="4"/>
      <c r="Y476" s="1"/>
      <c r="Z476" s="1"/>
      <c r="AA476" s="1"/>
      <c r="AB476" s="1"/>
      <c r="AC476" s="1"/>
      <c r="AD476" s="3"/>
      <c r="AE476" s="3"/>
      <c r="AF476" s="5"/>
      <c r="AG476" s="5"/>
      <c r="AH476" s="5"/>
      <c r="AI476" s="5"/>
      <c r="AJ476" s="6"/>
      <c r="AK476" s="6"/>
      <c r="AL476" s="12"/>
      <c r="AM476" s="12"/>
      <c r="AN476" s="12"/>
      <c r="AO476" s="12"/>
      <c r="AP476" s="12"/>
    </row>
    <row r="477" spans="1:42" ht="15" x14ac:dyDescent="0.25">
      <c r="A477" s="82" t="str">
        <f>TDCTRIBE!I485</f>
        <v>Southwest</v>
      </c>
      <c r="B477" s="82" t="str">
        <f>TDCTRIBE!B485</f>
        <v>CA</v>
      </c>
      <c r="C477" s="82" t="str">
        <f>TDCTRIBE!F485</f>
        <v>Camp Antelope Tribe</v>
      </c>
      <c r="D477" s="83">
        <f>TDCTRIBE!Y485</f>
        <v>371622.27102000004</v>
      </c>
      <c r="E477" s="83">
        <f>TDCTRIBE!Z485</f>
        <v>410682.79757399991</v>
      </c>
      <c r="F477" s="83">
        <f>TDCTRIBE!AA485</f>
        <v>465540.12112300005</v>
      </c>
      <c r="G477" s="83">
        <f>TDCTRIBE!AB485</f>
        <v>504310.58137600002</v>
      </c>
      <c r="H477" s="83">
        <f>TDCTRIBE!AC485</f>
        <v>543668.7956839999</v>
      </c>
      <c r="O477" s="9"/>
      <c r="P477" s="1"/>
      <c r="Q477" s="1"/>
      <c r="R477" s="1"/>
      <c r="S477" s="1"/>
      <c r="T477" s="1"/>
      <c r="U477" s="1"/>
      <c r="V477" s="9"/>
      <c r="W477" s="3"/>
      <c r="X477" s="4"/>
      <c r="Y477" s="1"/>
      <c r="Z477" s="1"/>
      <c r="AA477" s="1"/>
      <c r="AB477" s="1"/>
      <c r="AC477" s="1"/>
      <c r="AD477" s="3"/>
      <c r="AE477" s="3"/>
      <c r="AF477" s="5"/>
      <c r="AG477" s="5"/>
      <c r="AH477" s="5"/>
      <c r="AI477" s="5"/>
      <c r="AJ477" s="6"/>
      <c r="AK477" s="6"/>
      <c r="AL477" s="12"/>
      <c r="AM477" s="12"/>
      <c r="AN477" s="12"/>
      <c r="AO477" s="12"/>
      <c r="AP477" s="12"/>
    </row>
    <row r="478" spans="1:42" ht="15" x14ac:dyDescent="0.25">
      <c r="A478" s="82" t="str">
        <f>TDCTRIBE!I486</f>
        <v>Southwest</v>
      </c>
      <c r="B478" s="82" t="str">
        <f>TDCTRIBE!B486</f>
        <v>CA</v>
      </c>
      <c r="C478" s="82" t="str">
        <f>TDCTRIBE!F486</f>
        <v>Campo Band</v>
      </c>
      <c r="D478" s="83">
        <f>TDCTRIBE!Y486</f>
        <v>340558.31309499999</v>
      </c>
      <c r="E478" s="83">
        <f>TDCTRIBE!Z486</f>
        <v>377504.28923900001</v>
      </c>
      <c r="F478" s="83">
        <f>TDCTRIBE!AA486</f>
        <v>428052.34695300006</v>
      </c>
      <c r="G478" s="83">
        <f>TDCTRIBE!AB486</f>
        <v>462168.18863599998</v>
      </c>
      <c r="H478" s="83">
        <f>TDCTRIBE!AC486</f>
        <v>498370.60442400002</v>
      </c>
      <c r="O478" s="9"/>
      <c r="P478" s="1"/>
      <c r="Q478" s="1"/>
      <c r="R478" s="1"/>
      <c r="S478" s="1"/>
      <c r="T478" s="1"/>
      <c r="U478" s="1"/>
      <c r="V478" s="9"/>
      <c r="W478" s="3"/>
      <c r="X478" s="4"/>
      <c r="Y478" s="1"/>
      <c r="Z478" s="1"/>
      <c r="AA478" s="1"/>
      <c r="AB478" s="1"/>
      <c r="AC478" s="1"/>
      <c r="AD478" s="3"/>
      <c r="AE478" s="3"/>
      <c r="AF478" s="5"/>
      <c r="AG478" s="5"/>
      <c r="AH478" s="5"/>
      <c r="AI478" s="5"/>
      <c r="AJ478" s="6"/>
      <c r="AK478" s="6"/>
      <c r="AL478" s="12"/>
      <c r="AM478" s="12"/>
      <c r="AN478" s="12"/>
      <c r="AO478" s="12"/>
      <c r="AP478" s="12"/>
    </row>
    <row r="479" spans="1:42" ht="15" x14ac:dyDescent="0.25">
      <c r="A479" s="82" t="str">
        <f>TDCTRIBE!I487</f>
        <v>Southwest</v>
      </c>
      <c r="B479" s="82" t="str">
        <f>TDCTRIBE!B487</f>
        <v>CA</v>
      </c>
      <c r="C479" s="82" t="str">
        <f>TDCTRIBE!F487</f>
        <v>Cedarville Rancheria</v>
      </c>
      <c r="D479" s="83">
        <f>TDCTRIBE!Y487</f>
        <v>390057.86126999999</v>
      </c>
      <c r="E479" s="83">
        <f>TDCTRIBE!Z487</f>
        <v>430765.891374</v>
      </c>
      <c r="F479" s="83">
        <f>TDCTRIBE!AA487</f>
        <v>487874.07122300001</v>
      </c>
      <c r="G479" s="83">
        <f>TDCTRIBE!AB487</f>
        <v>528268.88882599992</v>
      </c>
      <c r="H479" s="83">
        <f>TDCTRIBE!AC487</f>
        <v>569455.64523400005</v>
      </c>
      <c r="O479" s="9"/>
      <c r="P479" s="1"/>
      <c r="Q479" s="1"/>
      <c r="R479" s="1"/>
      <c r="S479" s="1"/>
      <c r="T479" s="1"/>
      <c r="U479" s="1"/>
      <c r="V479" s="9"/>
      <c r="W479" s="3"/>
      <c r="X479" s="4"/>
      <c r="Y479" s="1"/>
      <c r="Z479" s="1"/>
      <c r="AA479" s="1"/>
      <c r="AB479" s="1"/>
      <c r="AC479" s="1"/>
      <c r="AD479" s="3"/>
      <c r="AE479" s="3"/>
      <c r="AF479" s="5"/>
      <c r="AG479" s="5"/>
      <c r="AH479" s="5"/>
      <c r="AI479" s="5"/>
      <c r="AJ479" s="6"/>
      <c r="AK479" s="6"/>
      <c r="AL479" s="12"/>
      <c r="AM479" s="12"/>
      <c r="AN479" s="12"/>
      <c r="AO479" s="12"/>
      <c r="AP479" s="12"/>
    </row>
    <row r="480" spans="1:42" ht="15" x14ac:dyDescent="0.25">
      <c r="A480" s="82" t="str">
        <f>TDCTRIBE!I488</f>
        <v>Southwest</v>
      </c>
      <c r="B480" s="82" t="str">
        <f>TDCTRIBE!B488</f>
        <v>CA</v>
      </c>
      <c r="C480" s="82" t="str">
        <f>TDCTRIBE!F488</f>
        <v>Chemehuevi</v>
      </c>
      <c r="D480" s="83">
        <f>TDCTRIBE!Y488</f>
        <v>352433.27076999994</v>
      </c>
      <c r="E480" s="83">
        <f>TDCTRIBE!Z488</f>
        <v>390706.21192399994</v>
      </c>
      <c r="F480" s="83">
        <f>TDCTRIBE!AA488</f>
        <v>443084.42824800004</v>
      </c>
      <c r="G480" s="83">
        <f>TDCTRIBE!AB488</f>
        <v>478433.77517599997</v>
      </c>
      <c r="H480" s="83">
        <f>TDCTRIBE!AC488</f>
        <v>515914.32278399996</v>
      </c>
      <c r="O480" s="9"/>
      <c r="P480" s="1"/>
      <c r="Q480" s="1"/>
      <c r="R480" s="1"/>
      <c r="S480" s="1"/>
      <c r="T480" s="1"/>
      <c r="U480" s="1"/>
      <c r="V480" s="9"/>
      <c r="W480" s="3"/>
      <c r="X480" s="4"/>
      <c r="Y480" s="1"/>
      <c r="Z480" s="1"/>
      <c r="AA480" s="1"/>
      <c r="AB480" s="1"/>
      <c r="AC480" s="1"/>
      <c r="AD480" s="3"/>
      <c r="AE480" s="3"/>
      <c r="AF480" s="5"/>
      <c r="AG480" s="5"/>
      <c r="AH480" s="5"/>
      <c r="AI480" s="5"/>
      <c r="AJ480" s="6"/>
      <c r="AK480" s="6"/>
      <c r="AL480" s="12"/>
      <c r="AM480" s="12"/>
      <c r="AN480" s="12"/>
      <c r="AO480" s="12"/>
      <c r="AP480" s="12"/>
    </row>
    <row r="481" spans="1:42" ht="15" x14ac:dyDescent="0.25">
      <c r="A481" s="82" t="str">
        <f>TDCTRIBE!I489</f>
        <v>Southwest</v>
      </c>
      <c r="B481" s="82" t="str">
        <f>TDCTRIBE!B489</f>
        <v>CA</v>
      </c>
      <c r="C481" s="82" t="str">
        <f>TDCTRIBE!F489</f>
        <v>Chicken Ranch Rancheria</v>
      </c>
      <c r="D481" s="83">
        <f>TDCTRIBE!Y489</f>
        <v>380002.08476999996</v>
      </c>
      <c r="E481" s="83">
        <f>TDCTRIBE!Z489</f>
        <v>419811.47657399997</v>
      </c>
      <c r="F481" s="83">
        <f>TDCTRIBE!AA489</f>
        <v>475691.91662300006</v>
      </c>
      <c r="G481" s="83">
        <f>TDCTRIBE!AB489</f>
        <v>515200.72112599993</v>
      </c>
      <c r="H481" s="83">
        <f>TDCTRIBE!AC489</f>
        <v>555390.09093399998</v>
      </c>
      <c r="O481" s="9"/>
      <c r="P481" s="1"/>
      <c r="Q481" s="1"/>
      <c r="R481" s="1"/>
      <c r="S481" s="1"/>
      <c r="T481" s="1"/>
      <c r="U481" s="1"/>
      <c r="V481" s="9"/>
      <c r="W481" s="3"/>
      <c r="X481" s="4"/>
      <c r="Y481" s="1"/>
      <c r="Z481" s="1"/>
      <c r="AA481" s="1"/>
      <c r="AB481" s="1"/>
      <c r="AC481" s="1"/>
      <c r="AD481" s="3"/>
      <c r="AE481" s="3"/>
      <c r="AF481" s="5"/>
      <c r="AG481" s="5"/>
      <c r="AH481" s="5"/>
      <c r="AI481" s="5"/>
      <c r="AJ481" s="6"/>
      <c r="AK481" s="6"/>
      <c r="AL481" s="12"/>
      <c r="AM481" s="12"/>
      <c r="AN481" s="12"/>
      <c r="AO481" s="12"/>
      <c r="AP481" s="12"/>
    </row>
    <row r="482" spans="1:42" ht="15" x14ac:dyDescent="0.25">
      <c r="A482" s="82" t="str">
        <f>TDCTRIBE!I490</f>
        <v>Southwest</v>
      </c>
      <c r="B482" s="82" t="str">
        <f>TDCTRIBE!B490</f>
        <v>CA</v>
      </c>
      <c r="C482" s="82" t="str">
        <f>TDCTRIBE!F490</f>
        <v>Chico Rancheria</v>
      </c>
      <c r="D482" s="83">
        <f>TDCTRIBE!Y490</f>
        <v>383354.01027000003</v>
      </c>
      <c r="E482" s="83">
        <f>TDCTRIBE!Z490</f>
        <v>423462.94817400002</v>
      </c>
      <c r="F482" s="83">
        <f>TDCTRIBE!AA490</f>
        <v>479752.63482300006</v>
      </c>
      <c r="G482" s="83">
        <f>TDCTRIBE!AB490</f>
        <v>519556.77702600003</v>
      </c>
      <c r="H482" s="83">
        <f>TDCTRIBE!AC490</f>
        <v>560078.60903400008</v>
      </c>
      <c r="O482" s="9"/>
      <c r="P482" s="1"/>
      <c r="Q482" s="1"/>
      <c r="R482" s="1"/>
      <c r="S482" s="1"/>
      <c r="T482" s="1"/>
      <c r="U482" s="1"/>
      <c r="V482" s="9"/>
      <c r="W482" s="3"/>
      <c r="X482" s="4"/>
      <c r="Y482" s="1"/>
      <c r="Z482" s="1"/>
      <c r="AA482" s="1"/>
      <c r="AB482" s="1"/>
      <c r="AC482" s="1"/>
      <c r="AD482" s="3"/>
      <c r="AE482" s="3"/>
      <c r="AF482" s="5"/>
      <c r="AG482" s="5"/>
      <c r="AH482" s="5"/>
      <c r="AI482" s="5"/>
      <c r="AJ482" s="6"/>
      <c r="AK482" s="6"/>
      <c r="AL482" s="12"/>
      <c r="AM482" s="12"/>
      <c r="AN482" s="12"/>
      <c r="AO482" s="12"/>
      <c r="AP482" s="12"/>
    </row>
    <row r="483" spans="1:42" ht="15" x14ac:dyDescent="0.25">
      <c r="A483" s="82" t="str">
        <f>TDCTRIBE!I491</f>
        <v>Southwest</v>
      </c>
      <c r="B483" s="82" t="str">
        <f>TDCTRIBE!B491</f>
        <v>CA</v>
      </c>
      <c r="C483" s="82" t="str">
        <f>TDCTRIBE!F491</f>
        <v>Cloverdale Rancheria</v>
      </c>
      <c r="D483" s="83">
        <f>TDCTRIBE!Y491</f>
        <v>399567.02362500003</v>
      </c>
      <c r="E483" s="83">
        <f>TDCTRIBE!Z491</f>
        <v>441268.704975</v>
      </c>
      <c r="F483" s="83">
        <f>TDCTRIBE!AA491</f>
        <v>499771.12088750006</v>
      </c>
      <c r="G483" s="83">
        <f>TDCTRIBE!AB491</f>
        <v>541151.99127499992</v>
      </c>
      <c r="H483" s="83">
        <f>TDCTRIBE!AC491</f>
        <v>583343.36147500016</v>
      </c>
      <c r="O483" s="9"/>
      <c r="P483" s="1"/>
      <c r="Q483" s="1"/>
      <c r="R483" s="1"/>
      <c r="S483" s="1"/>
      <c r="T483" s="1"/>
      <c r="U483" s="1"/>
      <c r="V483" s="9"/>
      <c r="W483" s="3"/>
      <c r="X483" s="4"/>
      <c r="Y483" s="1"/>
      <c r="Z483" s="1"/>
      <c r="AA483" s="1"/>
      <c r="AB483" s="1"/>
      <c r="AC483" s="1"/>
      <c r="AD483" s="3"/>
      <c r="AE483" s="3"/>
      <c r="AF483" s="5"/>
      <c r="AG483" s="5"/>
      <c r="AH483" s="5"/>
      <c r="AI483" s="5"/>
      <c r="AJ483" s="6"/>
      <c r="AK483" s="6"/>
      <c r="AL483" s="12"/>
      <c r="AM483" s="12"/>
      <c r="AN483" s="12"/>
      <c r="AO483" s="12"/>
      <c r="AP483" s="12"/>
    </row>
    <row r="484" spans="1:42" ht="15" x14ac:dyDescent="0.25">
      <c r="A484" s="82" t="str">
        <f>TDCTRIBE!I492</f>
        <v>Southwest</v>
      </c>
      <c r="B484" s="82" t="str">
        <f>TDCTRIBE!B492</f>
        <v>CA</v>
      </c>
      <c r="C484" s="82" t="str">
        <f>TDCTRIBE!F492</f>
        <v>Cold Springs Rancheria</v>
      </c>
      <c r="D484" s="83">
        <f>TDCTRIBE!Y492</f>
        <v>391769.94433500001</v>
      </c>
      <c r="E484" s="83">
        <f>TDCTRIBE!Z492</f>
        <v>433062.55937699997</v>
      </c>
      <c r="F484" s="83">
        <f>TDCTRIBE!AA492</f>
        <v>491079.47461650008</v>
      </c>
      <c r="G484" s="83">
        <f>TDCTRIBE!AB492</f>
        <v>532069.74897299998</v>
      </c>
      <c r="H484" s="83">
        <f>TDCTRIBE!AC492</f>
        <v>573610.64915700001</v>
      </c>
      <c r="O484" s="9"/>
      <c r="P484" s="1"/>
      <c r="Q484" s="1"/>
      <c r="R484" s="1"/>
      <c r="S484" s="1"/>
      <c r="T484" s="1"/>
      <c r="U484" s="1"/>
      <c r="V484" s="9"/>
      <c r="W484" s="3"/>
      <c r="X484" s="4"/>
      <c r="Y484" s="1"/>
      <c r="Z484" s="1"/>
      <c r="AA484" s="1"/>
      <c r="AB484" s="1"/>
      <c r="AC484" s="1"/>
      <c r="AD484" s="3"/>
      <c r="AE484" s="3"/>
      <c r="AF484" s="5"/>
      <c r="AG484" s="5"/>
      <c r="AH484" s="5"/>
      <c r="AI484" s="5"/>
      <c r="AJ484" s="6"/>
      <c r="AK484" s="6"/>
      <c r="AL484" s="12"/>
      <c r="AM484" s="12"/>
      <c r="AN484" s="12"/>
      <c r="AO484" s="12"/>
      <c r="AP484" s="12"/>
    </row>
    <row r="485" spans="1:42" ht="15" x14ac:dyDescent="0.25">
      <c r="A485" s="82" t="str">
        <f>TDCTRIBE!I493</f>
        <v>Southwest</v>
      </c>
      <c r="B485" s="82" t="str">
        <f>TDCTRIBE!B493</f>
        <v>CA</v>
      </c>
      <c r="C485" s="82" t="str">
        <f>TDCTRIBE!F493</f>
        <v>Colorado River Indian Tribes</v>
      </c>
      <c r="D485" s="83">
        <f>TDCTRIBE!Y493</f>
        <v>352433.27076999994</v>
      </c>
      <c r="E485" s="83">
        <f>TDCTRIBE!Z493</f>
        <v>390706.21192399994</v>
      </c>
      <c r="F485" s="83">
        <f>TDCTRIBE!AA493</f>
        <v>443084.42824800004</v>
      </c>
      <c r="G485" s="83">
        <f>TDCTRIBE!AB493</f>
        <v>478433.77517599997</v>
      </c>
      <c r="H485" s="83">
        <f>TDCTRIBE!AC493</f>
        <v>515914.32278399996</v>
      </c>
      <c r="O485" s="9"/>
      <c r="P485" s="1"/>
      <c r="Q485" s="1"/>
      <c r="R485" s="1"/>
      <c r="S485" s="1"/>
      <c r="T485" s="1"/>
      <c r="U485" s="1"/>
      <c r="V485" s="9"/>
      <c r="W485" s="3"/>
      <c r="X485" s="4"/>
      <c r="Y485" s="1"/>
      <c r="Z485" s="1"/>
      <c r="AA485" s="1"/>
      <c r="AB485" s="1"/>
      <c r="AC485" s="1"/>
      <c r="AD485" s="3"/>
      <c r="AE485" s="3"/>
      <c r="AF485" s="5"/>
      <c r="AG485" s="5"/>
      <c r="AH485" s="5"/>
      <c r="AI485" s="5"/>
      <c r="AJ485" s="6"/>
      <c r="AK485" s="6"/>
      <c r="AL485" s="12"/>
      <c r="AM485" s="12"/>
      <c r="AN485" s="12"/>
      <c r="AO485" s="12"/>
      <c r="AP485" s="12"/>
    </row>
    <row r="486" spans="1:42" ht="15" x14ac:dyDescent="0.25">
      <c r="A486" s="82" t="str">
        <f>TDCTRIBE!I494</f>
        <v>Southwest</v>
      </c>
      <c r="B486" s="82" t="str">
        <f>TDCTRIBE!B494</f>
        <v>CA</v>
      </c>
      <c r="C486" s="82" t="str">
        <f>TDCTRIBE!F494</f>
        <v>Colusa Rancheria</v>
      </c>
      <c r="D486" s="83">
        <f>TDCTRIBE!Y494</f>
        <v>383354.01027000003</v>
      </c>
      <c r="E486" s="83">
        <f>TDCTRIBE!Z494</f>
        <v>423462.94817400002</v>
      </c>
      <c r="F486" s="83">
        <f>TDCTRIBE!AA494</f>
        <v>479752.63482300006</v>
      </c>
      <c r="G486" s="83">
        <f>TDCTRIBE!AB494</f>
        <v>519556.77702600003</v>
      </c>
      <c r="H486" s="83">
        <f>TDCTRIBE!AC494</f>
        <v>560078.60903400008</v>
      </c>
      <c r="O486" s="9"/>
      <c r="P486" s="1"/>
      <c r="Q486" s="1"/>
      <c r="R486" s="1"/>
      <c r="S486" s="1"/>
      <c r="T486" s="1"/>
      <c r="U486" s="1"/>
      <c r="V486" s="9"/>
      <c r="W486" s="3"/>
      <c r="X486" s="4"/>
      <c r="Y486" s="1"/>
      <c r="Z486" s="1"/>
      <c r="AA486" s="1"/>
      <c r="AB486" s="1"/>
      <c r="AC486" s="1"/>
      <c r="AD486" s="3"/>
      <c r="AE486" s="3"/>
      <c r="AF486" s="5"/>
      <c r="AG486" s="5"/>
      <c r="AH486" s="5"/>
      <c r="AI486" s="5"/>
      <c r="AJ486" s="6"/>
      <c r="AK486" s="6"/>
      <c r="AL486" s="12"/>
      <c r="AM486" s="12"/>
      <c r="AN486" s="12"/>
      <c r="AO486" s="12"/>
      <c r="AP486" s="12"/>
    </row>
    <row r="487" spans="1:42" ht="15" x14ac:dyDescent="0.25">
      <c r="A487" s="82" t="str">
        <f>TDCTRIBE!I495</f>
        <v>Southwest</v>
      </c>
      <c r="B487" s="82" t="str">
        <f>TDCTRIBE!B495</f>
        <v>CA</v>
      </c>
      <c r="C487" s="82" t="str">
        <f>TDCTRIBE!F495</f>
        <v>Cortina Rancheria</v>
      </c>
      <c r="D487" s="83">
        <f>TDCTRIBE!Y495</f>
        <v>390057.86126999999</v>
      </c>
      <c r="E487" s="83">
        <f>TDCTRIBE!Z495</f>
        <v>430765.891374</v>
      </c>
      <c r="F487" s="83">
        <f>TDCTRIBE!AA495</f>
        <v>487874.07122300001</v>
      </c>
      <c r="G487" s="83">
        <f>TDCTRIBE!AB495</f>
        <v>528268.88882599992</v>
      </c>
      <c r="H487" s="83">
        <f>TDCTRIBE!AC495</f>
        <v>569455.64523400005</v>
      </c>
      <c r="O487" s="9"/>
      <c r="P487" s="1"/>
      <c r="Q487" s="1"/>
      <c r="R487" s="1"/>
      <c r="S487" s="1"/>
      <c r="T487" s="1"/>
      <c r="U487" s="1"/>
      <c r="V487" s="9"/>
      <c r="W487" s="3"/>
      <c r="X487" s="4"/>
      <c r="Y487" s="1"/>
      <c r="Z487" s="1"/>
      <c r="AA487" s="1"/>
      <c r="AB487" s="1"/>
      <c r="AC487" s="1"/>
      <c r="AD487" s="3"/>
      <c r="AE487" s="3"/>
      <c r="AF487" s="5"/>
      <c r="AG487" s="5"/>
      <c r="AH487" s="5"/>
      <c r="AI487" s="5"/>
      <c r="AJ487" s="6"/>
      <c r="AK487" s="6"/>
      <c r="AL487" s="12"/>
      <c r="AM487" s="12"/>
      <c r="AN487" s="12"/>
      <c r="AO487" s="12"/>
      <c r="AP487" s="12"/>
    </row>
    <row r="488" spans="1:42" ht="15" x14ac:dyDescent="0.25">
      <c r="A488" s="82" t="str">
        <f>TDCTRIBE!I496</f>
        <v>Southwest</v>
      </c>
      <c r="B488" s="82" t="str">
        <f>TDCTRIBE!B496</f>
        <v>CA</v>
      </c>
      <c r="C488" s="82" t="str">
        <f>TDCTRIBE!F496</f>
        <v>Coyote Valley Band</v>
      </c>
      <c r="D488" s="83">
        <f>TDCTRIBE!Y496</f>
        <v>395085.74952000001</v>
      </c>
      <c r="E488" s="83">
        <f>TDCTRIBE!Z496</f>
        <v>436243.09877399995</v>
      </c>
      <c r="F488" s="83">
        <f>TDCTRIBE!AA496</f>
        <v>493965.14852300007</v>
      </c>
      <c r="G488" s="83">
        <f>TDCTRIBE!AB496</f>
        <v>534802.97267599998</v>
      </c>
      <c r="H488" s="83">
        <f>TDCTRIBE!AC496</f>
        <v>576488.42238400003</v>
      </c>
      <c r="O488" s="9"/>
      <c r="P488" s="1"/>
      <c r="Q488" s="1"/>
      <c r="R488" s="1"/>
      <c r="S488" s="1"/>
      <c r="T488" s="1"/>
      <c r="U488" s="1"/>
      <c r="V488" s="9"/>
      <c r="W488" s="3"/>
      <c r="X488" s="4"/>
      <c r="Y488" s="1"/>
      <c r="Z488" s="1"/>
      <c r="AA488" s="1"/>
      <c r="AB488" s="1"/>
      <c r="AC488" s="1"/>
      <c r="AD488" s="3"/>
      <c r="AE488" s="3"/>
      <c r="AF488" s="5"/>
      <c r="AG488" s="5"/>
      <c r="AH488" s="5"/>
      <c r="AI488" s="5"/>
      <c r="AJ488" s="6"/>
      <c r="AK488" s="6"/>
      <c r="AL488" s="12"/>
      <c r="AM488" s="12"/>
      <c r="AN488" s="12"/>
      <c r="AO488" s="12"/>
      <c r="AP488" s="12"/>
    </row>
    <row r="489" spans="1:42" ht="15" x14ac:dyDescent="0.25">
      <c r="A489" s="82" t="str">
        <f>TDCTRIBE!I497</f>
        <v>Southwest</v>
      </c>
      <c r="B489" s="82" t="str">
        <f>TDCTRIBE!B497</f>
        <v>CA</v>
      </c>
      <c r="C489" s="82" t="str">
        <f>TDCTRIBE!F497</f>
        <v>Cuyapaipe Community</v>
      </c>
      <c r="D489" s="83">
        <f>TDCTRIBE!Y497</f>
        <v>340558.31309499999</v>
      </c>
      <c r="E489" s="83">
        <f>TDCTRIBE!Z497</f>
        <v>377504.28923900001</v>
      </c>
      <c r="F489" s="83">
        <f>TDCTRIBE!AA497</f>
        <v>428052.34695300006</v>
      </c>
      <c r="G489" s="83">
        <f>TDCTRIBE!AB497</f>
        <v>462168.18863599998</v>
      </c>
      <c r="H489" s="83">
        <f>TDCTRIBE!AC497</f>
        <v>498370.60442400002</v>
      </c>
      <c r="O489" s="9"/>
      <c r="P489" s="1"/>
      <c r="Q489" s="1"/>
      <c r="R489" s="1"/>
      <c r="S489" s="1"/>
      <c r="T489" s="1"/>
      <c r="U489" s="1"/>
      <c r="V489" s="9"/>
      <c r="W489" s="3"/>
      <c r="X489" s="4"/>
      <c r="Y489" s="1"/>
      <c r="Z489" s="1"/>
      <c r="AA489" s="1"/>
      <c r="AB489" s="1"/>
      <c r="AC489" s="1"/>
      <c r="AD489" s="3"/>
      <c r="AE489" s="3"/>
      <c r="AF489" s="5"/>
      <c r="AG489" s="5"/>
      <c r="AH489" s="5"/>
      <c r="AI489" s="5"/>
      <c r="AJ489" s="6"/>
      <c r="AK489" s="6"/>
      <c r="AL489" s="12"/>
      <c r="AM489" s="12"/>
      <c r="AN489" s="12"/>
      <c r="AO489" s="12"/>
      <c r="AP489" s="12"/>
    </row>
    <row r="490" spans="1:42" ht="15" x14ac:dyDescent="0.25">
      <c r="A490" s="82" t="str">
        <f>TDCTRIBE!I498</f>
        <v>Southwest</v>
      </c>
      <c r="B490" s="82" t="str">
        <f>TDCTRIBE!B498</f>
        <v>CA</v>
      </c>
      <c r="C490" s="82" t="str">
        <f>TDCTRIBE!F498</f>
        <v>Death Valley Timba-Sha</v>
      </c>
      <c r="D490" s="83">
        <f>TDCTRIBE!Y498</f>
        <v>371622.27102000004</v>
      </c>
      <c r="E490" s="83">
        <f>TDCTRIBE!Z498</f>
        <v>410682.79757399991</v>
      </c>
      <c r="F490" s="83">
        <f>TDCTRIBE!AA498</f>
        <v>465540.12112300005</v>
      </c>
      <c r="G490" s="83">
        <f>TDCTRIBE!AB498</f>
        <v>504310.58137600002</v>
      </c>
      <c r="H490" s="83">
        <f>TDCTRIBE!AC498</f>
        <v>543668.7956839999</v>
      </c>
      <c r="O490" s="9"/>
      <c r="P490" s="1"/>
      <c r="Q490" s="1"/>
      <c r="R490" s="1"/>
      <c r="S490" s="1"/>
      <c r="T490" s="1"/>
      <c r="U490" s="1"/>
      <c r="V490" s="9"/>
      <c r="W490" s="3"/>
      <c r="X490" s="4"/>
      <c r="Y490" s="1"/>
      <c r="Z490" s="1"/>
      <c r="AA490" s="1"/>
      <c r="AB490" s="1"/>
      <c r="AC490" s="1"/>
      <c r="AD490" s="3"/>
      <c r="AE490" s="3"/>
      <c r="AF490" s="5"/>
      <c r="AG490" s="5"/>
      <c r="AH490" s="5"/>
      <c r="AI490" s="5"/>
      <c r="AJ490" s="6"/>
      <c r="AK490" s="6"/>
      <c r="AL490" s="12"/>
      <c r="AM490" s="12"/>
      <c r="AN490" s="12"/>
      <c r="AO490" s="12"/>
      <c r="AP490" s="12"/>
    </row>
    <row r="491" spans="1:42" ht="15" x14ac:dyDescent="0.25">
      <c r="A491" s="82" t="str">
        <f>TDCTRIBE!I499</f>
        <v>Southwest</v>
      </c>
      <c r="B491" s="82" t="str">
        <f>TDCTRIBE!B499</f>
        <v>CA</v>
      </c>
      <c r="C491" s="82" t="str">
        <f>TDCTRIBE!F499</f>
        <v>Dry Creek Rancheria</v>
      </c>
      <c r="D491" s="83">
        <f>TDCTRIBE!Y499</f>
        <v>399567.02362500003</v>
      </c>
      <c r="E491" s="83">
        <f>TDCTRIBE!Z499</f>
        <v>441268.704975</v>
      </c>
      <c r="F491" s="83">
        <f>TDCTRIBE!AA499</f>
        <v>499771.12088750006</v>
      </c>
      <c r="G491" s="83">
        <f>TDCTRIBE!AB499</f>
        <v>541151.99127499992</v>
      </c>
      <c r="H491" s="83">
        <f>TDCTRIBE!AC499</f>
        <v>583343.36147500016</v>
      </c>
      <c r="O491" s="9"/>
      <c r="P491" s="1"/>
      <c r="Q491" s="1"/>
      <c r="R491" s="1"/>
      <c r="S491" s="1"/>
      <c r="T491" s="1"/>
      <c r="U491" s="1"/>
      <c r="V491" s="9"/>
      <c r="W491" s="3"/>
      <c r="X491" s="4"/>
      <c r="Y491" s="1"/>
      <c r="Z491" s="1"/>
      <c r="AA491" s="1"/>
      <c r="AB491" s="1"/>
      <c r="AC491" s="1"/>
      <c r="AD491" s="3"/>
      <c r="AE491" s="3"/>
      <c r="AF491" s="5"/>
      <c r="AG491" s="5"/>
      <c r="AH491" s="5"/>
      <c r="AI491" s="5"/>
      <c r="AJ491" s="6"/>
      <c r="AK491" s="6"/>
      <c r="AL491" s="12"/>
      <c r="AM491" s="12"/>
      <c r="AN491" s="12"/>
      <c r="AO491" s="12"/>
      <c r="AP491" s="12"/>
    </row>
    <row r="492" spans="1:42" ht="15" x14ac:dyDescent="0.25">
      <c r="A492" s="82" t="str">
        <f>TDCTRIBE!I500</f>
        <v>Southwest</v>
      </c>
      <c r="B492" s="82" t="str">
        <f>TDCTRIBE!B500</f>
        <v>CA</v>
      </c>
      <c r="C492" s="82" t="str">
        <f>TDCTRIBE!F500</f>
        <v>Elk Valley Rancheria</v>
      </c>
      <c r="D492" s="83">
        <f>TDCTRIBE!Y500</f>
        <v>390057.86126999999</v>
      </c>
      <c r="E492" s="83">
        <f>TDCTRIBE!Z500</f>
        <v>430765.891374</v>
      </c>
      <c r="F492" s="83">
        <f>TDCTRIBE!AA500</f>
        <v>487874.07122300001</v>
      </c>
      <c r="G492" s="83">
        <f>TDCTRIBE!AB500</f>
        <v>528268.88882599992</v>
      </c>
      <c r="H492" s="83">
        <f>TDCTRIBE!AC500</f>
        <v>569455.64523400005</v>
      </c>
      <c r="O492" s="9"/>
      <c r="P492" s="1"/>
      <c r="Q492" s="1"/>
      <c r="R492" s="1"/>
      <c r="S492" s="1"/>
      <c r="T492" s="1"/>
      <c r="U492" s="1"/>
      <c r="V492" s="9"/>
      <c r="W492" s="3"/>
      <c r="X492" s="4"/>
      <c r="Y492" s="1"/>
      <c r="Z492" s="1"/>
      <c r="AA492" s="1"/>
      <c r="AB492" s="1"/>
      <c r="AC492" s="1"/>
      <c r="AD492" s="3"/>
      <c r="AE492" s="3"/>
      <c r="AF492" s="5"/>
      <c r="AG492" s="5"/>
      <c r="AH492" s="5"/>
      <c r="AI492" s="5"/>
      <c r="AJ492" s="6"/>
      <c r="AK492" s="6"/>
      <c r="AL492" s="12"/>
      <c r="AM492" s="12"/>
      <c r="AN492" s="12"/>
      <c r="AO492" s="12"/>
      <c r="AP492" s="12"/>
    </row>
    <row r="493" spans="1:42" ht="15" x14ac:dyDescent="0.25">
      <c r="A493" s="82" t="str">
        <f>TDCTRIBE!I501</f>
        <v>Southwest</v>
      </c>
      <c r="B493" s="82" t="str">
        <f>TDCTRIBE!B501</f>
        <v>CA</v>
      </c>
      <c r="C493" s="82" t="str">
        <f>TDCTRIBE!F501</f>
        <v>Enterprise Rancheria</v>
      </c>
      <c r="D493" s="83">
        <f>TDCTRIBE!Y501</f>
        <v>383354.01027000003</v>
      </c>
      <c r="E493" s="83">
        <f>TDCTRIBE!Z501</f>
        <v>423462.94817400002</v>
      </c>
      <c r="F493" s="83">
        <f>TDCTRIBE!AA501</f>
        <v>479752.63482300006</v>
      </c>
      <c r="G493" s="83">
        <f>TDCTRIBE!AB501</f>
        <v>519556.77702600003</v>
      </c>
      <c r="H493" s="83">
        <f>TDCTRIBE!AC501</f>
        <v>560078.60903400008</v>
      </c>
      <c r="O493" s="9"/>
      <c r="P493" s="1"/>
      <c r="Q493" s="1"/>
      <c r="R493" s="1"/>
      <c r="S493" s="1"/>
      <c r="T493" s="1"/>
      <c r="U493" s="1"/>
      <c r="V493" s="9"/>
      <c r="W493" s="3"/>
      <c r="X493" s="4"/>
      <c r="Y493" s="1"/>
      <c r="Z493" s="1"/>
      <c r="AA493" s="1"/>
      <c r="AB493" s="1"/>
      <c r="AC493" s="1"/>
      <c r="AD493" s="3"/>
      <c r="AE493" s="3"/>
      <c r="AF493" s="5"/>
      <c r="AG493" s="5"/>
      <c r="AH493" s="5"/>
      <c r="AI493" s="5"/>
      <c r="AJ493" s="6"/>
      <c r="AK493" s="6"/>
      <c r="AL493" s="12"/>
      <c r="AM493" s="12"/>
      <c r="AN493" s="12"/>
      <c r="AO493" s="12"/>
      <c r="AP493" s="12"/>
    </row>
    <row r="494" spans="1:42" ht="15" x14ac:dyDescent="0.25">
      <c r="A494" s="82" t="str">
        <f>TDCTRIBE!I502</f>
        <v>Southwest</v>
      </c>
      <c r="B494" s="82" t="str">
        <f>TDCTRIBE!B502</f>
        <v>CA</v>
      </c>
      <c r="C494" s="82" t="str">
        <f>TDCTRIBE!F502</f>
        <v>Fort Bidwell</v>
      </c>
      <c r="D494" s="83">
        <f>TDCTRIBE!Y502</f>
        <v>382589.07109500002</v>
      </c>
      <c r="E494" s="83">
        <f>TDCTRIBE!Z502</f>
        <v>422389.88103899994</v>
      </c>
      <c r="F494" s="83">
        <f>TDCTRIBE!AA502</f>
        <v>478197.45061550004</v>
      </c>
      <c r="G494" s="83">
        <f>TDCTRIBE!AB502</f>
        <v>517687.19116099994</v>
      </c>
      <c r="H494" s="83">
        <f>TDCTRIBE!AC502</f>
        <v>558030.74674900004</v>
      </c>
      <c r="O494" s="9"/>
      <c r="P494" s="1"/>
      <c r="Q494" s="1"/>
      <c r="R494" s="1"/>
      <c r="S494" s="1"/>
      <c r="T494" s="1"/>
      <c r="U494" s="1"/>
      <c r="V494" s="9"/>
      <c r="W494" s="3"/>
      <c r="X494" s="4"/>
      <c r="Y494" s="1"/>
      <c r="Z494" s="1"/>
      <c r="AA494" s="1"/>
      <c r="AB494" s="1"/>
      <c r="AC494" s="1"/>
      <c r="AD494" s="3"/>
      <c r="AE494" s="3"/>
      <c r="AF494" s="5"/>
      <c r="AG494" s="5"/>
      <c r="AH494" s="5"/>
      <c r="AI494" s="5"/>
      <c r="AJ494" s="6"/>
      <c r="AK494" s="6"/>
      <c r="AL494" s="12"/>
      <c r="AM494" s="12"/>
      <c r="AN494" s="12"/>
      <c r="AO494" s="12"/>
      <c r="AP494" s="12"/>
    </row>
    <row r="495" spans="1:42" ht="15" x14ac:dyDescent="0.25">
      <c r="A495" s="82" t="str">
        <f>TDCTRIBE!I503</f>
        <v>Southwest</v>
      </c>
      <c r="B495" s="82" t="str">
        <f>TDCTRIBE!B503</f>
        <v>CA</v>
      </c>
      <c r="C495" s="82" t="str">
        <f>TDCTRIBE!F503</f>
        <v>Fort Independence</v>
      </c>
      <c r="D495" s="83">
        <f>TDCTRIBE!Y503</f>
        <v>371622.27102000004</v>
      </c>
      <c r="E495" s="83">
        <f>TDCTRIBE!Z503</f>
        <v>410682.79757399991</v>
      </c>
      <c r="F495" s="83">
        <f>TDCTRIBE!AA503</f>
        <v>465540.12112300005</v>
      </c>
      <c r="G495" s="83">
        <f>TDCTRIBE!AB503</f>
        <v>504310.58137600002</v>
      </c>
      <c r="H495" s="83">
        <f>TDCTRIBE!AC503</f>
        <v>543668.7956839999</v>
      </c>
      <c r="O495" s="9"/>
      <c r="P495" s="1"/>
      <c r="Q495" s="1"/>
      <c r="R495" s="1"/>
      <c r="S495" s="1"/>
      <c r="T495" s="1"/>
      <c r="U495" s="1"/>
      <c r="V495" s="9"/>
      <c r="W495" s="3"/>
      <c r="X495" s="4"/>
      <c r="Y495" s="1"/>
      <c r="Z495" s="1"/>
      <c r="AA495" s="1"/>
      <c r="AB495" s="1"/>
      <c r="AC495" s="1"/>
      <c r="AD495" s="3"/>
      <c r="AE495" s="3"/>
      <c r="AF495" s="5"/>
      <c r="AG495" s="5"/>
      <c r="AH495" s="5"/>
      <c r="AI495" s="5"/>
      <c r="AJ495" s="6"/>
      <c r="AK495" s="6"/>
      <c r="AL495" s="12"/>
      <c r="AM495" s="12"/>
      <c r="AN495" s="12"/>
      <c r="AO495" s="12"/>
      <c r="AP495" s="12"/>
    </row>
    <row r="496" spans="1:42" ht="15" x14ac:dyDescent="0.25">
      <c r="A496" s="82" t="str">
        <f>TDCTRIBE!I504</f>
        <v>Southwest</v>
      </c>
      <c r="B496" s="82" t="str">
        <f>TDCTRIBE!B504</f>
        <v>CA</v>
      </c>
      <c r="C496" s="82" t="str">
        <f>TDCTRIBE!F504</f>
        <v>Graton Rancheria</v>
      </c>
      <c r="D496" s="83">
        <f>TDCTRIBE!Y504</f>
        <v>424013.76632999995</v>
      </c>
      <c r="E496" s="83">
        <f>TDCTRIBE!Z504</f>
        <v>468523.539246</v>
      </c>
      <c r="F496" s="83">
        <f>TDCTRIBE!AA504</f>
        <v>525625.96270100004</v>
      </c>
      <c r="G496" s="83">
        <f>TDCTRIBE!AB504</f>
        <v>569298.390962</v>
      </c>
      <c r="H496" s="83">
        <f>TDCTRIBE!AC504</f>
        <v>613710.6282579999</v>
      </c>
      <c r="O496" s="9"/>
      <c r="P496" s="1"/>
      <c r="Q496" s="1"/>
      <c r="R496" s="1"/>
      <c r="S496" s="1"/>
      <c r="T496" s="1"/>
      <c r="U496" s="1"/>
      <c r="V496" s="9"/>
      <c r="W496" s="3"/>
      <c r="X496" s="4"/>
      <c r="Y496" s="1"/>
      <c r="Z496" s="1"/>
      <c r="AA496" s="1"/>
      <c r="AB496" s="1"/>
      <c r="AC496" s="1"/>
      <c r="AD496" s="3"/>
      <c r="AE496" s="3"/>
      <c r="AF496" s="5"/>
      <c r="AG496" s="5"/>
      <c r="AH496" s="5"/>
      <c r="AI496" s="5"/>
      <c r="AJ496" s="6"/>
      <c r="AK496" s="6"/>
      <c r="AL496" s="12"/>
      <c r="AM496" s="12"/>
      <c r="AN496" s="12"/>
      <c r="AO496" s="12"/>
      <c r="AP496" s="12"/>
    </row>
    <row r="497" spans="1:42" ht="15" x14ac:dyDescent="0.25">
      <c r="A497" s="82" t="str">
        <f>TDCTRIBE!I505</f>
        <v>Southwest</v>
      </c>
      <c r="B497" s="82" t="str">
        <f>TDCTRIBE!B505</f>
        <v>CA</v>
      </c>
      <c r="C497" s="82" t="str">
        <f>TDCTRIBE!F505</f>
        <v>Greenville Rancheria</v>
      </c>
      <c r="D497" s="83">
        <f>TDCTRIBE!Y505</f>
        <v>383354.01027000003</v>
      </c>
      <c r="E497" s="83">
        <f>TDCTRIBE!Z505</f>
        <v>423462.94817400002</v>
      </c>
      <c r="F497" s="83">
        <f>TDCTRIBE!AA505</f>
        <v>479752.63482300006</v>
      </c>
      <c r="G497" s="83">
        <f>TDCTRIBE!AB505</f>
        <v>519556.77702600003</v>
      </c>
      <c r="H497" s="83">
        <f>TDCTRIBE!AC505</f>
        <v>560078.60903400008</v>
      </c>
      <c r="O497" s="9"/>
      <c r="P497" s="1"/>
      <c r="Q497" s="1"/>
      <c r="R497" s="1"/>
      <c r="S497" s="1"/>
      <c r="T497" s="1"/>
      <c r="U497" s="1"/>
      <c r="V497" s="9"/>
      <c r="W497" s="3"/>
      <c r="X497" s="4"/>
      <c r="Y497" s="1"/>
      <c r="Z497" s="7"/>
      <c r="AA497" s="1"/>
      <c r="AB497" s="1"/>
      <c r="AC497" s="1"/>
      <c r="AD497" s="3"/>
      <c r="AE497" s="3"/>
      <c r="AF497" s="5"/>
      <c r="AG497" s="5"/>
      <c r="AH497" s="5"/>
      <c r="AI497" s="5"/>
      <c r="AJ497" s="6"/>
      <c r="AK497" s="6"/>
      <c r="AL497" s="12"/>
      <c r="AM497" s="12"/>
      <c r="AN497" s="12"/>
      <c r="AO497" s="12"/>
      <c r="AP497" s="12"/>
    </row>
    <row r="498" spans="1:42" ht="15" x14ac:dyDescent="0.25">
      <c r="A498" s="82" t="str">
        <f>TDCTRIBE!I506</f>
        <v>Southwest</v>
      </c>
      <c r="B498" s="82" t="str">
        <f>TDCTRIBE!B506</f>
        <v>CA</v>
      </c>
      <c r="C498" s="82" t="str">
        <f>TDCTRIBE!F506</f>
        <v>Grindstone Rancheria</v>
      </c>
      <c r="D498" s="83">
        <f>TDCTRIBE!Y506</f>
        <v>375885.220095</v>
      </c>
      <c r="E498" s="83">
        <f>TDCTRIBE!Z506</f>
        <v>415086.9378389999</v>
      </c>
      <c r="F498" s="83">
        <f>TDCTRIBE!AA506</f>
        <v>470076.01421550009</v>
      </c>
      <c r="G498" s="83">
        <f>TDCTRIBE!AB506</f>
        <v>508975.07936100004</v>
      </c>
      <c r="H498" s="83">
        <f>TDCTRIBE!AC506</f>
        <v>548653.71054899995</v>
      </c>
      <c r="O498" s="9"/>
      <c r="P498" s="1"/>
      <c r="Q498" s="1"/>
      <c r="R498" s="1"/>
      <c r="S498" s="1"/>
      <c r="T498" s="1"/>
      <c r="U498" s="1"/>
      <c r="V498" s="9"/>
      <c r="W498" s="3"/>
      <c r="X498" s="4"/>
      <c r="Y498" s="1"/>
      <c r="Z498" s="1"/>
      <c r="AA498" s="1"/>
      <c r="AB498" s="1"/>
      <c r="AC498" s="1"/>
      <c r="AD498" s="3"/>
      <c r="AE498" s="3"/>
      <c r="AF498" s="5"/>
      <c r="AG498" s="5"/>
      <c r="AH498" s="5"/>
      <c r="AI498" s="5"/>
      <c r="AJ498" s="6"/>
      <c r="AK498" s="6"/>
      <c r="AL498" s="12"/>
      <c r="AM498" s="12"/>
      <c r="AN498" s="12"/>
      <c r="AO498" s="12"/>
      <c r="AP498" s="12"/>
    </row>
    <row r="499" spans="1:42" ht="15" x14ac:dyDescent="0.25">
      <c r="A499" s="82" t="str">
        <f>TDCTRIBE!I507</f>
        <v>Southwest</v>
      </c>
      <c r="B499" s="82" t="str">
        <f>TDCTRIBE!B507</f>
        <v>CA</v>
      </c>
      <c r="C499" s="82" t="str">
        <f>TDCTRIBE!F507</f>
        <v>Guidiville Rancheria</v>
      </c>
      <c r="D499" s="83">
        <f>TDCTRIBE!Y507</f>
        <v>395085.74952000001</v>
      </c>
      <c r="E499" s="83">
        <f>TDCTRIBE!Z507</f>
        <v>436243.09877399995</v>
      </c>
      <c r="F499" s="83">
        <f>TDCTRIBE!AA507</f>
        <v>493965.14852300007</v>
      </c>
      <c r="G499" s="83">
        <f>TDCTRIBE!AB507</f>
        <v>534802.97267599998</v>
      </c>
      <c r="H499" s="83">
        <f>TDCTRIBE!AC507</f>
        <v>576488.42238400003</v>
      </c>
      <c r="O499" s="9"/>
      <c r="P499" s="1"/>
      <c r="Q499" s="1"/>
      <c r="R499" s="1"/>
      <c r="S499" s="1"/>
      <c r="T499" s="1"/>
      <c r="U499" s="1"/>
      <c r="V499" s="9"/>
      <c r="W499" s="3"/>
      <c r="X499" s="4"/>
      <c r="Y499" s="1"/>
      <c r="Z499" s="1"/>
      <c r="AA499" s="1"/>
      <c r="AB499" s="1"/>
      <c r="AC499" s="1"/>
      <c r="AD499" s="3"/>
      <c r="AE499" s="3"/>
      <c r="AF499" s="5"/>
      <c r="AG499" s="5"/>
      <c r="AH499" s="5"/>
      <c r="AI499" s="5"/>
      <c r="AJ499" s="6"/>
      <c r="AK499" s="6"/>
      <c r="AL499" s="12"/>
      <c r="AM499" s="12"/>
      <c r="AN499" s="12"/>
      <c r="AO499" s="12"/>
      <c r="AP499" s="12"/>
    </row>
    <row r="500" spans="1:42" ht="15" x14ac:dyDescent="0.25">
      <c r="A500" s="82" t="str">
        <f>TDCTRIBE!I508</f>
        <v>Southwest</v>
      </c>
      <c r="B500" s="82" t="str">
        <f>TDCTRIBE!B508</f>
        <v>CA</v>
      </c>
      <c r="C500" s="82" t="str">
        <f>TDCTRIBE!F508</f>
        <v>Hoopa Valley</v>
      </c>
      <c r="D500" s="83">
        <f>TDCTRIBE!Y508</f>
        <v>396032.89341000002</v>
      </c>
      <c r="E500" s="83">
        <f>TDCTRIBE!Z508</f>
        <v>437466.69964199996</v>
      </c>
      <c r="F500" s="83">
        <f>TDCTRIBE!AA508</f>
        <v>495615.36770900013</v>
      </c>
      <c r="G500" s="83">
        <f>TDCTRIBE!AB508</f>
        <v>536734.24695800012</v>
      </c>
      <c r="H500" s="83">
        <f>TDCTRIBE!AC508</f>
        <v>578595.56402199995</v>
      </c>
      <c r="O500" s="9"/>
      <c r="P500" s="1"/>
      <c r="Q500" s="1"/>
      <c r="R500" s="1"/>
      <c r="S500" s="1"/>
      <c r="T500" s="1"/>
      <c r="U500" s="1"/>
      <c r="V500" s="9"/>
      <c r="W500" s="3"/>
      <c r="X500" s="4"/>
      <c r="Y500" s="1"/>
      <c r="Z500" s="1"/>
      <c r="AA500" s="1"/>
      <c r="AB500" s="1"/>
      <c r="AC500" s="1"/>
      <c r="AD500" s="3"/>
      <c r="AE500" s="3"/>
      <c r="AF500" s="5"/>
      <c r="AG500" s="5"/>
      <c r="AH500" s="5"/>
      <c r="AI500" s="5"/>
      <c r="AJ500" s="6"/>
      <c r="AK500" s="6"/>
      <c r="AL500" s="12"/>
      <c r="AM500" s="12"/>
      <c r="AN500" s="12"/>
      <c r="AO500" s="12"/>
      <c r="AP500" s="12"/>
    </row>
    <row r="501" spans="1:42" ht="15" x14ac:dyDescent="0.25">
      <c r="A501" s="82" t="str">
        <f>TDCTRIBE!I509</f>
        <v>Southwest</v>
      </c>
      <c r="B501" s="82" t="str">
        <f>TDCTRIBE!B509</f>
        <v>CA</v>
      </c>
      <c r="C501" s="82" t="str">
        <f>TDCTRIBE!F509</f>
        <v>Hopland Rancheria</v>
      </c>
      <c r="D501" s="83">
        <f>TDCTRIBE!Y509</f>
        <v>395085.74952000001</v>
      </c>
      <c r="E501" s="83">
        <f>TDCTRIBE!Z509</f>
        <v>436243.09877399995</v>
      </c>
      <c r="F501" s="83">
        <f>TDCTRIBE!AA509</f>
        <v>493965.14852300007</v>
      </c>
      <c r="G501" s="83">
        <f>TDCTRIBE!AB509</f>
        <v>534802.97267599998</v>
      </c>
      <c r="H501" s="83">
        <f>TDCTRIBE!AC509</f>
        <v>576488.42238400003</v>
      </c>
      <c r="O501" s="9"/>
      <c r="P501" s="1"/>
      <c r="Q501" s="1"/>
      <c r="R501" s="1"/>
      <c r="S501" s="1"/>
      <c r="T501" s="1"/>
      <c r="U501" s="1"/>
      <c r="V501" s="9"/>
      <c r="W501" s="3"/>
      <c r="X501" s="4"/>
      <c r="Y501" s="1"/>
      <c r="Z501" s="1"/>
      <c r="AA501" s="1"/>
      <c r="AB501" s="1"/>
      <c r="AC501" s="1"/>
      <c r="AD501" s="3"/>
      <c r="AE501" s="3"/>
      <c r="AF501" s="5"/>
      <c r="AG501" s="5"/>
      <c r="AH501" s="5"/>
      <c r="AI501" s="5"/>
      <c r="AJ501" s="6"/>
      <c r="AK501" s="6"/>
      <c r="AL501" s="12"/>
      <c r="AM501" s="12"/>
      <c r="AN501" s="12"/>
      <c r="AO501" s="12"/>
      <c r="AP501" s="12"/>
    </row>
    <row r="502" spans="1:42" ht="15" x14ac:dyDescent="0.25">
      <c r="A502" s="82" t="str">
        <f>TDCTRIBE!I510</f>
        <v>Southwest</v>
      </c>
      <c r="B502" s="82" t="str">
        <f>TDCTRIBE!B510</f>
        <v>CA</v>
      </c>
      <c r="C502" s="82" t="str">
        <f>TDCTRIBE!F510</f>
        <v>Inaja Band</v>
      </c>
      <c r="D502" s="83">
        <f>TDCTRIBE!Y510</f>
        <v>340558.31309499999</v>
      </c>
      <c r="E502" s="83">
        <f>TDCTRIBE!Z510</f>
        <v>377504.28923900001</v>
      </c>
      <c r="F502" s="83">
        <f>TDCTRIBE!AA510</f>
        <v>428052.34695300006</v>
      </c>
      <c r="G502" s="83">
        <f>TDCTRIBE!AB510</f>
        <v>462168.18863599998</v>
      </c>
      <c r="H502" s="83">
        <f>TDCTRIBE!AC510</f>
        <v>498370.60442400002</v>
      </c>
      <c r="O502" s="9"/>
      <c r="P502" s="1"/>
      <c r="Q502" s="1"/>
      <c r="R502" s="1"/>
      <c r="S502" s="1"/>
      <c r="T502" s="1"/>
      <c r="U502" s="1"/>
      <c r="V502" s="9"/>
      <c r="W502" s="3"/>
      <c r="X502" s="4"/>
      <c r="Y502" s="1"/>
      <c r="Z502" s="1"/>
      <c r="AA502" s="1"/>
      <c r="AB502" s="1"/>
      <c r="AC502" s="1"/>
      <c r="AD502" s="3"/>
      <c r="AE502" s="3"/>
      <c r="AF502" s="5"/>
      <c r="AG502" s="5"/>
      <c r="AH502" s="5"/>
      <c r="AI502" s="5"/>
      <c r="AJ502" s="6"/>
      <c r="AK502" s="6"/>
      <c r="AL502" s="12"/>
      <c r="AM502" s="12"/>
      <c r="AN502" s="12"/>
      <c r="AO502" s="12"/>
      <c r="AP502" s="12"/>
    </row>
    <row r="503" spans="1:42" ht="15" x14ac:dyDescent="0.25">
      <c r="A503" s="82" t="str">
        <f>TDCTRIBE!I511</f>
        <v>Southwest</v>
      </c>
      <c r="B503" s="82" t="str">
        <f>TDCTRIBE!B511</f>
        <v>CA</v>
      </c>
      <c r="C503" s="82" t="str">
        <f>TDCTRIBE!F511</f>
        <v>Ione Band of Miwok Indians</v>
      </c>
      <c r="D503" s="83">
        <f>TDCTRIBE!Y511</f>
        <v>390057.86126999999</v>
      </c>
      <c r="E503" s="83">
        <f>TDCTRIBE!Z511</f>
        <v>430765.891374</v>
      </c>
      <c r="F503" s="83">
        <f>TDCTRIBE!AA511</f>
        <v>487874.07122300001</v>
      </c>
      <c r="G503" s="83">
        <f>TDCTRIBE!AB511</f>
        <v>528268.88882599992</v>
      </c>
      <c r="H503" s="83">
        <f>TDCTRIBE!AC511</f>
        <v>569455.64523400005</v>
      </c>
      <c r="O503" s="9"/>
      <c r="P503" s="1"/>
      <c r="Q503" s="1"/>
      <c r="R503" s="1"/>
      <c r="S503" s="1"/>
      <c r="T503" s="1"/>
      <c r="U503" s="1"/>
      <c r="V503" s="9"/>
      <c r="W503" s="3"/>
      <c r="X503" s="4"/>
      <c r="Y503" s="1"/>
      <c r="Z503" s="1"/>
      <c r="AA503" s="1"/>
      <c r="AB503" s="1"/>
      <c r="AC503" s="1"/>
      <c r="AD503" s="3"/>
      <c r="AE503" s="3"/>
      <c r="AF503" s="5"/>
      <c r="AG503" s="5"/>
      <c r="AH503" s="5"/>
      <c r="AI503" s="5"/>
      <c r="AJ503" s="6"/>
      <c r="AK503" s="6"/>
      <c r="AL503" s="12"/>
      <c r="AM503" s="12"/>
      <c r="AN503" s="12"/>
      <c r="AO503" s="12"/>
      <c r="AP503" s="12"/>
    </row>
    <row r="504" spans="1:42" ht="15" x14ac:dyDescent="0.25">
      <c r="A504" s="82" t="str">
        <f>TDCTRIBE!I512</f>
        <v>Southwest</v>
      </c>
      <c r="B504" s="82" t="str">
        <f>TDCTRIBE!B512</f>
        <v>CA</v>
      </c>
      <c r="C504" s="82" t="str">
        <f>TDCTRIBE!F512</f>
        <v>Jackson Rancheria</v>
      </c>
      <c r="D504" s="83">
        <f>TDCTRIBE!Y512</f>
        <v>390057.86126999999</v>
      </c>
      <c r="E504" s="83">
        <f>TDCTRIBE!Z512</f>
        <v>430765.891374</v>
      </c>
      <c r="F504" s="83">
        <f>TDCTRIBE!AA512</f>
        <v>487874.07122300001</v>
      </c>
      <c r="G504" s="83">
        <f>TDCTRIBE!AB512</f>
        <v>528268.88882599992</v>
      </c>
      <c r="H504" s="83">
        <f>TDCTRIBE!AC512</f>
        <v>569455.64523400005</v>
      </c>
      <c r="O504" s="9"/>
      <c r="P504" s="1"/>
      <c r="Q504" s="1"/>
      <c r="R504" s="1"/>
      <c r="S504" s="1"/>
      <c r="T504" s="1"/>
      <c r="U504" s="1"/>
      <c r="V504" s="9"/>
      <c r="W504" s="3"/>
      <c r="X504" s="4"/>
      <c r="Y504" s="1"/>
      <c r="Z504" s="1"/>
      <c r="AA504" s="1"/>
      <c r="AB504" s="1"/>
      <c r="AC504" s="1"/>
      <c r="AD504" s="3"/>
      <c r="AE504" s="3"/>
      <c r="AF504" s="5"/>
      <c r="AG504" s="5"/>
      <c r="AH504" s="5"/>
      <c r="AI504" s="5"/>
      <c r="AJ504" s="6"/>
      <c r="AK504" s="6"/>
      <c r="AL504" s="12"/>
      <c r="AM504" s="12"/>
      <c r="AN504" s="12"/>
      <c r="AO504" s="12"/>
      <c r="AP504" s="12"/>
    </row>
    <row r="505" spans="1:42" ht="15" x14ac:dyDescent="0.25">
      <c r="A505" s="82" t="str">
        <f>TDCTRIBE!I513</f>
        <v>Southwest</v>
      </c>
      <c r="B505" s="82" t="str">
        <f>TDCTRIBE!B513</f>
        <v>CA</v>
      </c>
      <c r="C505" s="82" t="str">
        <f>TDCTRIBE!F513</f>
        <v>Jamul Indian Village</v>
      </c>
      <c r="D505" s="83">
        <f>TDCTRIBE!Y513</f>
        <v>340558.31309499999</v>
      </c>
      <c r="E505" s="83">
        <f>TDCTRIBE!Z513</f>
        <v>377504.28923900001</v>
      </c>
      <c r="F505" s="83">
        <f>TDCTRIBE!AA513</f>
        <v>428052.34695300006</v>
      </c>
      <c r="G505" s="83">
        <f>TDCTRIBE!AB513</f>
        <v>462168.18863599998</v>
      </c>
      <c r="H505" s="83">
        <f>TDCTRIBE!AC513</f>
        <v>498370.60442400002</v>
      </c>
      <c r="O505" s="9"/>
      <c r="P505" s="1"/>
      <c r="Q505" s="1"/>
      <c r="R505" s="1"/>
      <c r="S505" s="1"/>
      <c r="T505" s="1"/>
      <c r="U505" s="1"/>
      <c r="V505" s="9"/>
      <c r="W505" s="3"/>
      <c r="X505" s="4"/>
      <c r="Y505" s="1"/>
      <c r="Z505" s="1"/>
      <c r="AA505" s="1"/>
      <c r="AB505" s="1"/>
      <c r="AC505" s="1"/>
      <c r="AD505" s="3"/>
      <c r="AE505" s="3"/>
      <c r="AF505" s="5"/>
      <c r="AG505" s="5"/>
      <c r="AH505" s="5"/>
      <c r="AI505" s="5"/>
      <c r="AJ505" s="6"/>
      <c r="AK505" s="6"/>
      <c r="AL505" s="12"/>
      <c r="AM505" s="12"/>
      <c r="AN505" s="12"/>
      <c r="AO505" s="12"/>
      <c r="AP505" s="12"/>
    </row>
    <row r="506" spans="1:42" ht="15" x14ac:dyDescent="0.25">
      <c r="A506" s="82" t="str">
        <f>TDCTRIBE!I514</f>
        <v>Southwest</v>
      </c>
      <c r="B506" s="82" t="str">
        <f>TDCTRIBE!B514</f>
        <v>CA</v>
      </c>
      <c r="C506" s="82" t="str">
        <f>TDCTRIBE!F514</f>
        <v>Karuk</v>
      </c>
      <c r="D506" s="83">
        <f>TDCTRIBE!Y514</f>
        <v>396032.89341000002</v>
      </c>
      <c r="E506" s="83">
        <f>TDCTRIBE!Z514</f>
        <v>437466.69964199996</v>
      </c>
      <c r="F506" s="83">
        <f>TDCTRIBE!AA514</f>
        <v>495615.36770900013</v>
      </c>
      <c r="G506" s="83">
        <f>TDCTRIBE!AB514</f>
        <v>536734.24695800012</v>
      </c>
      <c r="H506" s="83">
        <f>TDCTRIBE!AC514</f>
        <v>578595.56402199995</v>
      </c>
      <c r="O506" s="9"/>
      <c r="P506" s="1"/>
      <c r="Q506" s="1"/>
      <c r="R506" s="1"/>
      <c r="S506" s="1"/>
      <c r="T506" s="1"/>
      <c r="U506" s="1"/>
      <c r="V506" s="9"/>
      <c r="W506" s="3"/>
      <c r="X506" s="4"/>
      <c r="Y506" s="1"/>
      <c r="Z506" s="1"/>
      <c r="AA506" s="1"/>
      <c r="AB506" s="1"/>
      <c r="AC506" s="1"/>
      <c r="AD506" s="3"/>
      <c r="AE506" s="3"/>
      <c r="AF506" s="5"/>
      <c r="AG506" s="5"/>
      <c r="AH506" s="5"/>
      <c r="AI506" s="5"/>
      <c r="AJ506" s="6"/>
      <c r="AK506" s="6"/>
      <c r="AL506" s="12"/>
      <c r="AM506" s="12"/>
      <c r="AN506" s="12"/>
      <c r="AO506" s="12"/>
      <c r="AP506" s="12"/>
    </row>
    <row r="507" spans="1:42" ht="15" x14ac:dyDescent="0.25">
      <c r="A507" s="82" t="str">
        <f>TDCTRIBE!I515</f>
        <v>Southwest</v>
      </c>
      <c r="B507" s="82" t="str">
        <f>TDCTRIBE!B515</f>
        <v>CA</v>
      </c>
      <c r="C507" s="82" t="str">
        <f>TDCTRIBE!F515</f>
        <v>La Jolla Band</v>
      </c>
      <c r="D507" s="83">
        <f>TDCTRIBE!Y515</f>
        <v>340558.31309499999</v>
      </c>
      <c r="E507" s="83">
        <f>TDCTRIBE!Z515</f>
        <v>377504.28923900001</v>
      </c>
      <c r="F507" s="83">
        <f>TDCTRIBE!AA515</f>
        <v>428052.34695300006</v>
      </c>
      <c r="G507" s="83">
        <f>TDCTRIBE!AB515</f>
        <v>462168.18863599998</v>
      </c>
      <c r="H507" s="83">
        <f>TDCTRIBE!AC515</f>
        <v>498370.60442400002</v>
      </c>
      <c r="O507" s="9"/>
      <c r="P507" s="1"/>
      <c r="Q507" s="1"/>
      <c r="R507" s="1"/>
      <c r="S507" s="1"/>
      <c r="T507" s="1"/>
      <c r="U507" s="1"/>
      <c r="V507" s="9"/>
      <c r="W507" s="3"/>
      <c r="X507" s="4"/>
      <c r="Y507" s="1"/>
      <c r="Z507" s="1"/>
      <c r="AA507" s="1"/>
      <c r="AB507" s="1"/>
      <c r="AC507" s="1"/>
      <c r="AD507" s="3"/>
      <c r="AE507" s="3"/>
      <c r="AF507" s="5"/>
      <c r="AG507" s="5"/>
      <c r="AH507" s="5"/>
      <c r="AI507" s="5"/>
      <c r="AJ507" s="6"/>
      <c r="AK507" s="6"/>
      <c r="AL507" s="12"/>
      <c r="AM507" s="12"/>
      <c r="AN507" s="12"/>
      <c r="AO507" s="12"/>
      <c r="AP507" s="12"/>
    </row>
    <row r="508" spans="1:42" ht="15" x14ac:dyDescent="0.25">
      <c r="A508" s="82" t="str">
        <f>TDCTRIBE!I516</f>
        <v>Southwest</v>
      </c>
      <c r="B508" s="82" t="str">
        <f>TDCTRIBE!B516</f>
        <v>CA</v>
      </c>
      <c r="C508" s="82" t="str">
        <f>TDCTRIBE!F516</f>
        <v>La Posta Band</v>
      </c>
      <c r="D508" s="83">
        <f>TDCTRIBE!Y516</f>
        <v>343708.27809500002</v>
      </c>
      <c r="E508" s="83">
        <f>TDCTRIBE!Z516</f>
        <v>380950.485139</v>
      </c>
      <c r="F508" s="83">
        <f>TDCTRIBE!AA516</f>
        <v>431886.60045300005</v>
      </c>
      <c r="G508" s="83">
        <f>TDCTRIBE!AB516</f>
        <v>466266.35263600003</v>
      </c>
      <c r="H508" s="83">
        <f>TDCTRIBE!AC516</f>
        <v>502785.05642399995</v>
      </c>
      <c r="O508" s="9"/>
      <c r="P508" s="1"/>
      <c r="Q508" s="1"/>
      <c r="R508" s="1"/>
      <c r="S508" s="1"/>
      <c r="T508" s="1"/>
      <c r="U508" s="1"/>
      <c r="V508" s="9"/>
      <c r="W508" s="3"/>
      <c r="X508" s="4"/>
      <c r="Y508" s="1"/>
      <c r="Z508" s="1"/>
      <c r="AA508" s="1"/>
      <c r="AB508" s="1"/>
      <c r="AC508" s="1"/>
      <c r="AD508" s="3"/>
      <c r="AE508" s="3"/>
      <c r="AF508" s="5"/>
      <c r="AG508" s="5"/>
      <c r="AH508" s="5"/>
      <c r="AI508" s="5"/>
      <c r="AJ508" s="6"/>
      <c r="AK508" s="6"/>
      <c r="AL508" s="12"/>
      <c r="AM508" s="12"/>
      <c r="AN508" s="12"/>
      <c r="AO508" s="12"/>
      <c r="AP508" s="12"/>
    </row>
    <row r="509" spans="1:42" ht="15" x14ac:dyDescent="0.25">
      <c r="A509" s="82" t="str">
        <f>TDCTRIBE!I517</f>
        <v>Southwest</v>
      </c>
      <c r="B509" s="82" t="str">
        <f>TDCTRIBE!B517</f>
        <v>CA</v>
      </c>
      <c r="C509" s="82" t="str">
        <f>TDCTRIBE!F517</f>
        <v>Laytonville Rancheria</v>
      </c>
      <c r="D509" s="83">
        <f>TDCTRIBE!Y517</f>
        <v>395085.74952000001</v>
      </c>
      <c r="E509" s="83">
        <f>TDCTRIBE!Z517</f>
        <v>436243.09877399995</v>
      </c>
      <c r="F509" s="83">
        <f>TDCTRIBE!AA517</f>
        <v>493965.14852300007</v>
      </c>
      <c r="G509" s="83">
        <f>TDCTRIBE!AB517</f>
        <v>534802.97267599998</v>
      </c>
      <c r="H509" s="83">
        <f>TDCTRIBE!AC517</f>
        <v>576488.42238400003</v>
      </c>
      <c r="O509" s="9"/>
      <c r="P509" s="1"/>
      <c r="Q509" s="1"/>
      <c r="R509" s="1"/>
      <c r="S509" s="1"/>
      <c r="T509" s="1"/>
      <c r="U509" s="1"/>
      <c r="V509" s="9"/>
      <c r="W509" s="3"/>
      <c r="X509" s="4"/>
      <c r="Y509" s="1"/>
      <c r="Z509" s="1"/>
      <c r="AA509" s="1"/>
      <c r="AB509" s="1"/>
      <c r="AC509" s="1"/>
      <c r="AD509" s="3"/>
      <c r="AE509" s="3"/>
      <c r="AF509" s="5"/>
      <c r="AG509" s="5"/>
      <c r="AH509" s="5"/>
      <c r="AI509" s="5"/>
      <c r="AJ509" s="6"/>
      <c r="AK509" s="6"/>
      <c r="AL509" s="12"/>
      <c r="AM509" s="12"/>
      <c r="AN509" s="12"/>
      <c r="AO509" s="12"/>
      <c r="AP509" s="12"/>
    </row>
    <row r="510" spans="1:42" ht="15" x14ac:dyDescent="0.25">
      <c r="A510" s="82" t="str">
        <f>TDCTRIBE!I518</f>
        <v>Southwest</v>
      </c>
      <c r="B510" s="82" t="str">
        <f>TDCTRIBE!B518</f>
        <v>CA</v>
      </c>
      <c r="C510" s="82" t="str">
        <f>TDCTRIBE!F518</f>
        <v>Lone Pine Paiute-Shoshone</v>
      </c>
      <c r="D510" s="83">
        <f>TDCTRIBE!Y518</f>
        <v>364153.48084500001</v>
      </c>
      <c r="E510" s="83">
        <f>TDCTRIBE!Z518</f>
        <v>402306.78723899997</v>
      </c>
      <c r="F510" s="83">
        <f>TDCTRIBE!AA518</f>
        <v>455863.50051550003</v>
      </c>
      <c r="G510" s="83">
        <f>TDCTRIBE!AB518</f>
        <v>493728.88371099991</v>
      </c>
      <c r="H510" s="83">
        <f>TDCTRIBE!AC518</f>
        <v>532243.897199</v>
      </c>
      <c r="O510" s="9"/>
      <c r="P510" s="1"/>
      <c r="Q510" s="1"/>
      <c r="R510" s="1"/>
      <c r="S510" s="1"/>
      <c r="T510" s="1"/>
      <c r="U510" s="1"/>
      <c r="V510" s="9"/>
      <c r="W510" s="3"/>
      <c r="X510" s="4"/>
      <c r="Y510" s="1"/>
      <c r="Z510" s="1"/>
      <c r="AA510" s="1"/>
      <c r="AB510" s="1"/>
      <c r="AC510" s="1"/>
      <c r="AD510" s="3"/>
      <c r="AE510" s="3"/>
      <c r="AF510" s="5"/>
      <c r="AG510" s="5"/>
      <c r="AH510" s="5"/>
      <c r="AI510" s="5"/>
      <c r="AJ510" s="6"/>
      <c r="AK510" s="6"/>
      <c r="AL510" s="12"/>
      <c r="AM510" s="12"/>
      <c r="AN510" s="12"/>
      <c r="AO510" s="12"/>
      <c r="AP510" s="12"/>
    </row>
    <row r="511" spans="1:42" ht="15" x14ac:dyDescent="0.25">
      <c r="A511" s="82" t="str">
        <f>TDCTRIBE!I519</f>
        <v>Southwest</v>
      </c>
      <c r="B511" s="82" t="str">
        <f>TDCTRIBE!B519</f>
        <v>CA</v>
      </c>
      <c r="C511" s="82" t="str">
        <f>TDCTRIBE!F519</f>
        <v>Los Coyotes Band of Cahuilla</v>
      </c>
      <c r="D511" s="83">
        <f>TDCTRIBE!Y519</f>
        <v>340558.31309499999</v>
      </c>
      <c r="E511" s="83">
        <f>TDCTRIBE!Z519</f>
        <v>377504.28923900001</v>
      </c>
      <c r="F511" s="83">
        <f>TDCTRIBE!AA519</f>
        <v>428052.34695300006</v>
      </c>
      <c r="G511" s="83">
        <f>TDCTRIBE!AB519</f>
        <v>462168.18863599998</v>
      </c>
      <c r="H511" s="83">
        <f>TDCTRIBE!AC519</f>
        <v>498370.60442400002</v>
      </c>
      <c r="O511" s="9"/>
      <c r="P511" s="1"/>
      <c r="Q511" s="1"/>
      <c r="R511" s="1"/>
      <c r="S511" s="1"/>
      <c r="T511" s="1"/>
      <c r="U511" s="1"/>
      <c r="V511" s="9"/>
      <c r="W511" s="3"/>
      <c r="X511" s="4"/>
      <c r="Y511" s="1"/>
      <c r="Z511" s="1"/>
      <c r="AA511" s="1"/>
      <c r="AB511" s="1"/>
      <c r="AC511" s="1"/>
      <c r="AD511" s="3"/>
      <c r="AE511" s="3"/>
      <c r="AF511" s="5"/>
      <c r="AG511" s="5"/>
      <c r="AH511" s="5"/>
      <c r="AI511" s="5"/>
      <c r="AJ511" s="6"/>
      <c r="AK511" s="6"/>
      <c r="AL511" s="12"/>
      <c r="AM511" s="12"/>
      <c r="AN511" s="12"/>
      <c r="AO511" s="12"/>
      <c r="AP511" s="12"/>
    </row>
    <row r="512" spans="1:42" ht="15" x14ac:dyDescent="0.25">
      <c r="A512" s="82" t="str">
        <f>TDCTRIBE!I520</f>
        <v>Southwest</v>
      </c>
      <c r="B512" s="82" t="str">
        <f>TDCTRIBE!B520</f>
        <v>CA</v>
      </c>
      <c r="C512" s="82" t="str">
        <f>TDCTRIBE!F520</f>
        <v>Lower Lake Rancheria</v>
      </c>
      <c r="D512" s="83">
        <f>TDCTRIBE!Y520</f>
        <v>399567.02362500003</v>
      </c>
      <c r="E512" s="83">
        <f>TDCTRIBE!Z520</f>
        <v>441268.704975</v>
      </c>
      <c r="F512" s="83">
        <f>TDCTRIBE!AA520</f>
        <v>494883.93876250007</v>
      </c>
      <c r="G512" s="83">
        <f>TDCTRIBE!AB520</f>
        <v>535807.69952500006</v>
      </c>
      <c r="H512" s="83">
        <f>TDCTRIBE!AC520</f>
        <v>577573.21072500001</v>
      </c>
      <c r="O512" s="9"/>
      <c r="P512" s="1"/>
      <c r="Q512" s="1"/>
      <c r="R512" s="1"/>
      <c r="S512" s="1"/>
      <c r="T512" s="1"/>
      <c r="U512" s="1"/>
      <c r="V512" s="9"/>
      <c r="W512" s="3"/>
      <c r="X512" s="4"/>
      <c r="Y512" s="1"/>
      <c r="Z512" s="1"/>
      <c r="AA512" s="1"/>
      <c r="AB512" s="1"/>
      <c r="AC512" s="1"/>
      <c r="AD512" s="3"/>
      <c r="AE512" s="3"/>
      <c r="AF512" s="5"/>
      <c r="AG512" s="5"/>
      <c r="AH512" s="5"/>
      <c r="AI512" s="5"/>
      <c r="AJ512" s="6"/>
      <c r="AK512" s="6"/>
      <c r="AL512" s="12"/>
      <c r="AM512" s="12"/>
      <c r="AN512" s="12"/>
      <c r="AO512" s="12"/>
      <c r="AP512" s="12"/>
    </row>
    <row r="513" spans="1:42" ht="15" x14ac:dyDescent="0.25">
      <c r="A513" s="82" t="str">
        <f>TDCTRIBE!I521</f>
        <v>Southwest</v>
      </c>
      <c r="B513" s="82" t="str">
        <f>TDCTRIBE!B521</f>
        <v>CA</v>
      </c>
      <c r="C513" s="82" t="str">
        <f>TDCTRIBE!F521</f>
        <v>Lytton Rancheria of California</v>
      </c>
      <c r="D513" s="83">
        <f>TDCTRIBE!Y521</f>
        <v>399567.02362500003</v>
      </c>
      <c r="E513" s="83">
        <f>TDCTRIBE!Z521</f>
        <v>441268.704975</v>
      </c>
      <c r="F513" s="83">
        <f>TDCTRIBE!AA521</f>
        <v>499771.12088750006</v>
      </c>
      <c r="G513" s="83">
        <f>TDCTRIBE!AB521</f>
        <v>541151.99127499992</v>
      </c>
      <c r="H513" s="83">
        <f>TDCTRIBE!AC521</f>
        <v>583343.36147500016</v>
      </c>
      <c r="O513" s="9"/>
      <c r="P513" s="1"/>
      <c r="Q513" s="1"/>
      <c r="R513" s="1"/>
      <c r="S513" s="1"/>
      <c r="T513" s="1"/>
      <c r="U513" s="1"/>
      <c r="V513" s="9"/>
      <c r="W513" s="3"/>
      <c r="X513" s="4"/>
      <c r="Y513" s="1"/>
      <c r="Z513" s="1"/>
      <c r="AA513" s="1"/>
      <c r="AB513" s="1"/>
      <c r="AC513" s="1"/>
      <c r="AD513" s="3"/>
      <c r="AE513" s="3"/>
      <c r="AF513" s="5"/>
      <c r="AG513" s="5"/>
      <c r="AH513" s="5"/>
      <c r="AI513" s="5"/>
      <c r="AJ513" s="6"/>
      <c r="AK513" s="6"/>
      <c r="AL513" s="12"/>
      <c r="AM513" s="12"/>
      <c r="AN513" s="12"/>
      <c r="AO513" s="12"/>
      <c r="AP513" s="12"/>
    </row>
    <row r="514" spans="1:42" ht="15" x14ac:dyDescent="0.25">
      <c r="A514" s="82" t="str">
        <f>TDCTRIBE!I522</f>
        <v>Southwest</v>
      </c>
      <c r="B514" s="82" t="str">
        <f>TDCTRIBE!B522</f>
        <v>CA</v>
      </c>
      <c r="C514" s="82" t="str">
        <f>TDCTRIBE!F522</f>
        <v>Manchester Point  Arena Rancheria</v>
      </c>
      <c r="D514" s="83">
        <f>TDCTRIBE!Y522</f>
        <v>395085.74952000001</v>
      </c>
      <c r="E514" s="83">
        <f>TDCTRIBE!Z522</f>
        <v>436243.09877399995</v>
      </c>
      <c r="F514" s="83">
        <f>TDCTRIBE!AA522</f>
        <v>493965.14852300007</v>
      </c>
      <c r="G514" s="83">
        <f>TDCTRIBE!AB522</f>
        <v>534802.97267599998</v>
      </c>
      <c r="H514" s="83">
        <f>TDCTRIBE!AC522</f>
        <v>576488.42238400003</v>
      </c>
      <c r="O514" s="9"/>
      <c r="P514" s="1"/>
      <c r="Q514" s="1"/>
      <c r="R514" s="1"/>
      <c r="S514" s="1"/>
      <c r="T514" s="1"/>
      <c r="U514" s="1"/>
      <c r="V514" s="9"/>
      <c r="W514" s="3"/>
      <c r="X514" s="4"/>
      <c r="Y514" s="1"/>
      <c r="Z514" s="1"/>
      <c r="AA514" s="1"/>
      <c r="AB514" s="1"/>
      <c r="AC514" s="1"/>
      <c r="AD514" s="3"/>
      <c r="AE514" s="3"/>
      <c r="AF514" s="5"/>
      <c r="AG514" s="5"/>
      <c r="AH514" s="5"/>
      <c r="AI514" s="5"/>
      <c r="AJ514" s="6"/>
      <c r="AK514" s="6"/>
      <c r="AL514" s="12"/>
      <c r="AM514" s="12"/>
      <c r="AN514" s="12"/>
      <c r="AO514" s="12"/>
      <c r="AP514" s="12"/>
    </row>
    <row r="515" spans="1:42" ht="15" x14ac:dyDescent="0.25">
      <c r="A515" s="82" t="str">
        <f>TDCTRIBE!I523</f>
        <v>Southwest</v>
      </c>
      <c r="B515" s="82" t="str">
        <f>TDCTRIBE!B523</f>
        <v>CA</v>
      </c>
      <c r="C515" s="82" t="str">
        <f>TDCTRIBE!F523</f>
        <v>Manzanita Band</v>
      </c>
      <c r="D515" s="83">
        <f>TDCTRIBE!Y523</f>
        <v>340558.31309499999</v>
      </c>
      <c r="E515" s="83">
        <f>TDCTRIBE!Z523</f>
        <v>377504.28923900001</v>
      </c>
      <c r="F515" s="83">
        <f>TDCTRIBE!AA523</f>
        <v>428052.34695300006</v>
      </c>
      <c r="G515" s="83">
        <f>TDCTRIBE!AB523</f>
        <v>462168.18863599998</v>
      </c>
      <c r="H515" s="83">
        <f>TDCTRIBE!AC523</f>
        <v>498370.60442400002</v>
      </c>
      <c r="O515" s="9"/>
      <c r="P515" s="1"/>
      <c r="Q515" s="1"/>
      <c r="R515" s="1"/>
      <c r="S515" s="1"/>
      <c r="T515" s="1"/>
      <c r="U515" s="1"/>
      <c r="V515" s="9"/>
      <c r="W515" s="3"/>
      <c r="X515" s="4"/>
      <c r="Y515" s="1"/>
      <c r="Z515" s="1"/>
      <c r="AA515" s="1"/>
      <c r="AB515" s="1"/>
      <c r="AC515" s="1"/>
      <c r="AD515" s="3"/>
      <c r="AE515" s="3"/>
      <c r="AF515" s="5"/>
      <c r="AG515" s="5"/>
      <c r="AH515" s="5"/>
      <c r="AI515" s="5"/>
      <c r="AJ515" s="6"/>
      <c r="AK515" s="6"/>
      <c r="AL515" s="12"/>
      <c r="AM515" s="12"/>
      <c r="AN515" s="12"/>
      <c r="AO515" s="12"/>
      <c r="AP515" s="12"/>
    </row>
    <row r="516" spans="1:42" ht="15" x14ac:dyDescent="0.25">
      <c r="A516" s="82" t="str">
        <f>TDCTRIBE!I524</f>
        <v>Southwest</v>
      </c>
      <c r="B516" s="82" t="str">
        <f>TDCTRIBE!B524</f>
        <v>CA</v>
      </c>
      <c r="C516" s="82" t="str">
        <f>TDCTRIBE!F524</f>
        <v>Mesa Grande Band</v>
      </c>
      <c r="D516" s="83">
        <f>TDCTRIBE!Y524</f>
        <v>340558.31309499999</v>
      </c>
      <c r="E516" s="83">
        <f>TDCTRIBE!Z524</f>
        <v>377504.28923900001</v>
      </c>
      <c r="F516" s="83">
        <f>TDCTRIBE!AA524</f>
        <v>428052.34695300006</v>
      </c>
      <c r="G516" s="83">
        <f>TDCTRIBE!AB524</f>
        <v>462168.18863599998</v>
      </c>
      <c r="H516" s="83">
        <f>TDCTRIBE!AC524</f>
        <v>498370.60442400002</v>
      </c>
      <c r="O516" s="9"/>
      <c r="P516" s="1"/>
      <c r="Q516" s="1"/>
      <c r="R516" s="1"/>
      <c r="S516" s="1"/>
      <c r="T516" s="1"/>
      <c r="U516" s="1"/>
      <c r="V516" s="9"/>
      <c r="W516" s="3"/>
      <c r="X516" s="4"/>
      <c r="Y516" s="1"/>
      <c r="Z516" s="1"/>
      <c r="AA516" s="1"/>
      <c r="AB516" s="1"/>
      <c r="AC516" s="1"/>
      <c r="AD516" s="3"/>
      <c r="AE516" s="3"/>
      <c r="AF516" s="5"/>
      <c r="AG516" s="5"/>
      <c r="AH516" s="5"/>
      <c r="AI516" s="5"/>
      <c r="AJ516" s="6"/>
      <c r="AK516" s="6"/>
      <c r="AL516" s="12"/>
      <c r="AM516" s="12"/>
      <c r="AN516" s="12"/>
      <c r="AO516" s="12"/>
      <c r="AP516" s="12"/>
    </row>
    <row r="517" spans="1:42" ht="15" x14ac:dyDescent="0.25">
      <c r="A517" s="82" t="str">
        <f>TDCTRIBE!I525</f>
        <v>Southwest</v>
      </c>
      <c r="B517" s="82" t="str">
        <f>TDCTRIBE!B525</f>
        <v>CA</v>
      </c>
      <c r="C517" s="82" t="str">
        <f>TDCTRIBE!F525</f>
        <v>Middletown Rancheria</v>
      </c>
      <c r="D517" s="83">
        <f>TDCTRIBE!Y525</f>
        <v>395085.74952000001</v>
      </c>
      <c r="E517" s="83">
        <f>TDCTRIBE!Z525</f>
        <v>436243.09877399995</v>
      </c>
      <c r="F517" s="83">
        <f>TDCTRIBE!AA525</f>
        <v>493965.14852300007</v>
      </c>
      <c r="G517" s="83">
        <f>TDCTRIBE!AB525</f>
        <v>534802.97267599998</v>
      </c>
      <c r="H517" s="83">
        <f>TDCTRIBE!AC525</f>
        <v>576488.42238400003</v>
      </c>
      <c r="O517" s="9"/>
      <c r="P517" s="1"/>
      <c r="Q517" s="1"/>
      <c r="R517" s="1"/>
      <c r="S517" s="1"/>
      <c r="T517" s="1"/>
      <c r="U517" s="1"/>
      <c r="V517" s="9"/>
      <c r="W517" s="3"/>
      <c r="X517" s="4"/>
      <c r="Y517" s="1"/>
      <c r="Z517" s="1"/>
      <c r="AA517" s="1"/>
      <c r="AB517" s="1"/>
      <c r="AC517" s="1"/>
      <c r="AD517" s="3"/>
      <c r="AE517" s="3"/>
      <c r="AF517" s="5"/>
      <c r="AG517" s="5"/>
      <c r="AH517" s="5"/>
      <c r="AI517" s="5"/>
      <c r="AJ517" s="6"/>
      <c r="AK517" s="6"/>
      <c r="AL517" s="12"/>
      <c r="AM517" s="12"/>
      <c r="AN517" s="12"/>
      <c r="AO517" s="12"/>
      <c r="AP517" s="12"/>
    </row>
    <row r="518" spans="1:42" ht="15" x14ac:dyDescent="0.25">
      <c r="A518" s="82" t="str">
        <f>TDCTRIBE!I526</f>
        <v>Southwest</v>
      </c>
      <c r="B518" s="82" t="str">
        <f>TDCTRIBE!B526</f>
        <v>CA</v>
      </c>
      <c r="C518" s="82" t="str">
        <f>TDCTRIBE!F526</f>
        <v>Mooretown Rancheria</v>
      </c>
      <c r="D518" s="83">
        <f>TDCTRIBE!Y526</f>
        <v>383354.01027000003</v>
      </c>
      <c r="E518" s="83">
        <f>TDCTRIBE!Z526</f>
        <v>423462.94817400002</v>
      </c>
      <c r="F518" s="83">
        <f>TDCTRIBE!AA526</f>
        <v>479752.63482300006</v>
      </c>
      <c r="G518" s="83">
        <f>TDCTRIBE!AB526</f>
        <v>519556.77702600003</v>
      </c>
      <c r="H518" s="83">
        <f>TDCTRIBE!AC526</f>
        <v>560078.60903400008</v>
      </c>
      <c r="O518" s="9"/>
      <c r="P518" s="1"/>
      <c r="Q518" s="1"/>
      <c r="R518" s="1"/>
      <c r="S518" s="1"/>
      <c r="T518" s="1"/>
      <c r="U518" s="1"/>
      <c r="V518" s="9"/>
      <c r="W518" s="3"/>
      <c r="X518" s="4"/>
      <c r="Y518" s="1"/>
      <c r="Z518" s="1"/>
      <c r="AA518" s="1"/>
      <c r="AB518" s="1"/>
      <c r="AC518" s="1"/>
      <c r="AD518" s="3"/>
      <c r="AE518" s="3"/>
      <c r="AF518" s="5"/>
      <c r="AG518" s="5"/>
      <c r="AH518" s="5"/>
      <c r="AI518" s="5"/>
      <c r="AJ518" s="6"/>
      <c r="AK518" s="6"/>
      <c r="AL518" s="12"/>
      <c r="AM518" s="12"/>
      <c r="AN518" s="12"/>
      <c r="AO518" s="12"/>
      <c r="AP518" s="12"/>
    </row>
    <row r="519" spans="1:42" ht="15" x14ac:dyDescent="0.25">
      <c r="A519" s="82" t="str">
        <f>TDCTRIBE!I527</f>
        <v>Southwest</v>
      </c>
      <c r="B519" s="82" t="str">
        <f>TDCTRIBE!B527</f>
        <v>CA</v>
      </c>
      <c r="C519" s="82" t="str">
        <f>TDCTRIBE!F527</f>
        <v>Morongo Band of Cahuilla</v>
      </c>
      <c r="D519" s="83">
        <f>TDCTRIBE!Y527</f>
        <v>350858.28826999996</v>
      </c>
      <c r="E519" s="83">
        <f>TDCTRIBE!Z527</f>
        <v>388983.11397400004</v>
      </c>
      <c r="F519" s="83">
        <f>TDCTRIBE!AA527</f>
        <v>441167.30149800004</v>
      </c>
      <c r="G519" s="83">
        <f>TDCTRIBE!AB527</f>
        <v>476384.69317600003</v>
      </c>
      <c r="H519" s="83">
        <f>TDCTRIBE!AC527</f>
        <v>513707.09678400005</v>
      </c>
      <c r="O519" s="9"/>
      <c r="P519" s="1"/>
      <c r="Q519" s="1"/>
      <c r="R519" s="1"/>
      <c r="S519" s="1"/>
      <c r="T519" s="1"/>
      <c r="U519" s="1"/>
      <c r="V519" s="9"/>
      <c r="W519" s="3"/>
      <c r="X519" s="4"/>
      <c r="Y519" s="1"/>
      <c r="Z519" s="1"/>
      <c r="AA519" s="1"/>
      <c r="AB519" s="1"/>
      <c r="AC519" s="1"/>
      <c r="AD519" s="3"/>
      <c r="AE519" s="3"/>
      <c r="AF519" s="5"/>
      <c r="AG519" s="5"/>
      <c r="AH519" s="5"/>
      <c r="AI519" s="5"/>
      <c r="AJ519" s="6"/>
      <c r="AK519" s="6"/>
      <c r="AL519" s="12"/>
      <c r="AM519" s="12"/>
      <c r="AN519" s="12"/>
      <c r="AO519" s="12"/>
      <c r="AP519" s="12"/>
    </row>
    <row r="520" spans="1:42" ht="15" x14ac:dyDescent="0.25">
      <c r="A520" s="82" t="str">
        <f>TDCTRIBE!I528</f>
        <v>Southwest</v>
      </c>
      <c r="B520" s="82" t="str">
        <f>TDCTRIBE!B528</f>
        <v>CA</v>
      </c>
      <c r="C520" s="82" t="str">
        <f>TDCTRIBE!F528</f>
        <v>North Fork Rancheria</v>
      </c>
      <c r="D520" s="83">
        <f>TDCTRIBE!Y528</f>
        <v>378326.12202000001</v>
      </c>
      <c r="E520" s="83">
        <f>TDCTRIBE!Z528</f>
        <v>417985.74077399995</v>
      </c>
      <c r="F520" s="83">
        <f>TDCTRIBE!AA528</f>
        <v>473661.557523</v>
      </c>
      <c r="G520" s="83">
        <f>TDCTRIBE!AB528</f>
        <v>513022.69317600003</v>
      </c>
      <c r="H520" s="83">
        <f>TDCTRIBE!AC528</f>
        <v>553045.83188399998</v>
      </c>
      <c r="O520" s="9"/>
      <c r="P520" s="1"/>
      <c r="Q520" s="1"/>
      <c r="R520" s="1"/>
      <c r="S520" s="1"/>
      <c r="T520" s="1"/>
      <c r="U520" s="1"/>
      <c r="V520" s="9"/>
      <c r="W520" s="3"/>
      <c r="X520" s="4"/>
      <c r="Y520" s="1"/>
      <c r="Z520" s="1"/>
      <c r="AA520" s="1"/>
      <c r="AB520" s="1"/>
      <c r="AC520" s="1"/>
      <c r="AD520" s="3"/>
      <c r="AE520" s="3"/>
      <c r="AF520" s="5"/>
      <c r="AG520" s="5"/>
      <c r="AH520" s="5"/>
      <c r="AI520" s="5"/>
      <c r="AJ520" s="6"/>
      <c r="AK520" s="6"/>
      <c r="AL520" s="12"/>
      <c r="AM520" s="12"/>
      <c r="AN520" s="12"/>
      <c r="AO520" s="12"/>
      <c r="AP520" s="12"/>
    </row>
    <row r="521" spans="1:42" ht="15" x14ac:dyDescent="0.25">
      <c r="A521" s="82" t="str">
        <f>TDCTRIBE!I529</f>
        <v>Southwest</v>
      </c>
      <c r="B521" s="82" t="str">
        <f>TDCTRIBE!B529</f>
        <v>CA</v>
      </c>
      <c r="C521" s="82" t="str">
        <f>TDCTRIBE!F529</f>
        <v>Paiute-Shoshone of Bishop Colony</v>
      </c>
      <c r="D521" s="83">
        <f>TDCTRIBE!Y529</f>
        <v>371622.27102000004</v>
      </c>
      <c r="E521" s="83">
        <f>TDCTRIBE!Z529</f>
        <v>410682.79757399991</v>
      </c>
      <c r="F521" s="83">
        <f>TDCTRIBE!AA529</f>
        <v>465540.12112300005</v>
      </c>
      <c r="G521" s="83">
        <f>TDCTRIBE!AB529</f>
        <v>504310.58137600002</v>
      </c>
      <c r="H521" s="83">
        <f>TDCTRIBE!AC529</f>
        <v>543668.7956839999</v>
      </c>
      <c r="O521" s="9"/>
      <c r="P521" s="1"/>
      <c r="Q521" s="1"/>
      <c r="R521" s="1"/>
      <c r="S521" s="1"/>
      <c r="T521" s="1"/>
      <c r="U521" s="1"/>
      <c r="V521" s="9"/>
      <c r="W521" s="3"/>
      <c r="X521" s="4"/>
      <c r="Y521" s="1"/>
      <c r="Z521" s="1"/>
      <c r="AA521" s="1"/>
      <c r="AB521" s="1"/>
      <c r="AC521" s="1"/>
      <c r="AD521" s="3"/>
      <c r="AE521" s="3"/>
      <c r="AF521" s="5"/>
      <c r="AG521" s="5"/>
      <c r="AH521" s="5"/>
      <c r="AI521" s="5"/>
      <c r="AJ521" s="6"/>
      <c r="AK521" s="6"/>
      <c r="AL521" s="12"/>
      <c r="AM521" s="12"/>
      <c r="AN521" s="12"/>
      <c r="AO521" s="12"/>
      <c r="AP521" s="12"/>
    </row>
    <row r="522" spans="1:42" ht="15" x14ac:dyDescent="0.25">
      <c r="A522" s="82" t="str">
        <f>TDCTRIBE!I530</f>
        <v>Southwest</v>
      </c>
      <c r="B522" s="82" t="str">
        <f>TDCTRIBE!B530</f>
        <v>CA</v>
      </c>
      <c r="C522" s="82" t="str">
        <f>TDCTRIBE!F530</f>
        <v>Pala Bank</v>
      </c>
      <c r="D522" s="83">
        <f>TDCTRIBE!Y530</f>
        <v>340558.31309499999</v>
      </c>
      <c r="E522" s="83">
        <f>TDCTRIBE!Z530</f>
        <v>377504.28923900001</v>
      </c>
      <c r="F522" s="83">
        <f>TDCTRIBE!AA530</f>
        <v>428052.34695300006</v>
      </c>
      <c r="G522" s="83">
        <f>TDCTRIBE!AB530</f>
        <v>462168.18863599998</v>
      </c>
      <c r="H522" s="83">
        <f>TDCTRIBE!AC530</f>
        <v>498370.60442400002</v>
      </c>
      <c r="O522" s="9"/>
      <c r="P522" s="1"/>
      <c r="Q522" s="1"/>
      <c r="R522" s="1"/>
      <c r="S522" s="1"/>
      <c r="T522" s="1"/>
      <c r="U522" s="1"/>
      <c r="V522" s="9"/>
      <c r="W522" s="3"/>
      <c r="X522" s="4"/>
      <c r="Y522" s="1"/>
      <c r="Z522" s="1"/>
      <c r="AA522" s="1"/>
      <c r="AB522" s="1"/>
      <c r="AC522" s="1"/>
      <c r="AD522" s="3"/>
      <c r="AE522" s="3"/>
      <c r="AF522" s="5"/>
      <c r="AG522" s="5"/>
      <c r="AH522" s="5"/>
      <c r="AI522" s="5"/>
      <c r="AJ522" s="6"/>
      <c r="AK522" s="6"/>
      <c r="AL522" s="12"/>
      <c r="AM522" s="12"/>
      <c r="AN522" s="12"/>
      <c r="AO522" s="12"/>
      <c r="AP522" s="12"/>
    </row>
    <row r="523" spans="1:42" ht="15" x14ac:dyDescent="0.25">
      <c r="A523" s="82" t="str">
        <f>TDCTRIBE!I531</f>
        <v>Southwest</v>
      </c>
      <c r="B523" s="82" t="str">
        <f>TDCTRIBE!B531</f>
        <v>CA</v>
      </c>
      <c r="C523" s="82" t="str">
        <f>TDCTRIBE!F531</f>
        <v>Paskenta Band of Nomlaki Indian</v>
      </c>
      <c r="D523" s="83">
        <f>TDCTRIBE!Y531</f>
        <v>390057.86126999999</v>
      </c>
      <c r="E523" s="83">
        <f>TDCTRIBE!Z531</f>
        <v>430765.891374</v>
      </c>
      <c r="F523" s="83">
        <f>TDCTRIBE!AA531</f>
        <v>487874.07122300001</v>
      </c>
      <c r="G523" s="83">
        <f>TDCTRIBE!AB531</f>
        <v>528268.88882599992</v>
      </c>
      <c r="H523" s="83">
        <f>TDCTRIBE!AC531</f>
        <v>569455.64523400005</v>
      </c>
      <c r="O523" s="9"/>
      <c r="P523" s="1"/>
      <c r="Q523" s="1"/>
      <c r="R523" s="1"/>
      <c r="S523" s="1"/>
      <c r="T523" s="1"/>
      <c r="U523" s="1"/>
      <c r="V523" s="9"/>
      <c r="W523" s="3"/>
      <c r="X523" s="4"/>
      <c r="Y523" s="1"/>
      <c r="Z523" s="1"/>
      <c r="AA523" s="1"/>
      <c r="AB523" s="1"/>
      <c r="AC523" s="1"/>
      <c r="AD523" s="3"/>
      <c r="AE523" s="3"/>
      <c r="AF523" s="5"/>
      <c r="AG523" s="5"/>
      <c r="AH523" s="5"/>
      <c r="AI523" s="5"/>
      <c r="AJ523" s="6"/>
      <c r="AK523" s="6"/>
      <c r="AL523" s="12"/>
      <c r="AM523" s="12"/>
      <c r="AN523" s="12"/>
      <c r="AO523" s="12"/>
      <c r="AP523" s="12"/>
    </row>
    <row r="524" spans="1:42" ht="15" x14ac:dyDescent="0.25">
      <c r="A524" s="82" t="str">
        <f>TDCTRIBE!I532</f>
        <v>Southwest</v>
      </c>
      <c r="B524" s="82" t="str">
        <f>TDCTRIBE!B532</f>
        <v>CA</v>
      </c>
      <c r="C524" s="82" t="str">
        <f>TDCTRIBE!F532</f>
        <v>Pauma Band</v>
      </c>
      <c r="D524" s="83">
        <f>TDCTRIBE!Y532</f>
        <v>340558.31309499999</v>
      </c>
      <c r="E524" s="83">
        <f>TDCTRIBE!Z532</f>
        <v>377504.28923900001</v>
      </c>
      <c r="F524" s="83">
        <f>TDCTRIBE!AA532</f>
        <v>428052.34695300006</v>
      </c>
      <c r="G524" s="83">
        <f>TDCTRIBE!AB532</f>
        <v>462168.18863599998</v>
      </c>
      <c r="H524" s="83">
        <f>TDCTRIBE!AC532</f>
        <v>498370.60442400002</v>
      </c>
      <c r="O524" s="9"/>
      <c r="P524" s="1"/>
      <c r="Q524" s="1"/>
      <c r="R524" s="1"/>
      <c r="S524" s="1"/>
      <c r="T524" s="1"/>
      <c r="U524" s="1"/>
      <c r="V524" s="9"/>
      <c r="W524" s="3"/>
      <c r="X524" s="4"/>
      <c r="Y524" s="1"/>
      <c r="Z524" s="1"/>
      <c r="AA524" s="1"/>
      <c r="AB524" s="1"/>
      <c r="AC524" s="1"/>
      <c r="AD524" s="3"/>
      <c r="AE524" s="3"/>
      <c r="AF524" s="5"/>
      <c r="AG524" s="5"/>
      <c r="AH524" s="5"/>
      <c r="AI524" s="5"/>
      <c r="AJ524" s="6"/>
      <c r="AK524" s="6"/>
      <c r="AL524" s="12"/>
      <c r="AM524" s="12"/>
      <c r="AN524" s="12"/>
      <c r="AO524" s="12"/>
      <c r="AP524" s="12"/>
    </row>
    <row r="525" spans="1:42" ht="15" x14ac:dyDescent="0.25">
      <c r="A525" s="82" t="str">
        <f>TDCTRIBE!I533</f>
        <v>Southwest</v>
      </c>
      <c r="B525" s="82" t="str">
        <f>TDCTRIBE!B533</f>
        <v>CA</v>
      </c>
      <c r="C525" s="82" t="str">
        <f>TDCTRIBE!F533</f>
        <v>Pechanga Band</v>
      </c>
      <c r="D525" s="83">
        <f>TDCTRIBE!Y533</f>
        <v>354008.25326999993</v>
      </c>
      <c r="E525" s="83">
        <f>TDCTRIBE!Z533</f>
        <v>392429.30987399997</v>
      </c>
      <c r="F525" s="83">
        <f>TDCTRIBE!AA533</f>
        <v>445001.55499800004</v>
      </c>
      <c r="G525" s="83">
        <f>TDCTRIBE!AB533</f>
        <v>480482.85717599996</v>
      </c>
      <c r="H525" s="83">
        <f>TDCTRIBE!AC533</f>
        <v>518121.54878399998</v>
      </c>
      <c r="O525" s="9"/>
      <c r="P525" s="1"/>
      <c r="Q525" s="1"/>
      <c r="R525" s="1"/>
      <c r="S525" s="1"/>
      <c r="T525" s="1"/>
      <c r="U525" s="1"/>
      <c r="V525" s="9"/>
      <c r="W525" s="3"/>
      <c r="X525" s="4"/>
      <c r="Y525" s="1"/>
      <c r="Z525" s="1"/>
      <c r="AA525" s="1"/>
      <c r="AB525" s="1"/>
      <c r="AC525" s="1"/>
      <c r="AD525" s="3"/>
      <c r="AE525" s="3"/>
      <c r="AF525" s="5"/>
      <c r="AG525" s="5"/>
      <c r="AH525" s="5"/>
      <c r="AI525" s="5"/>
      <c r="AJ525" s="6"/>
      <c r="AK525" s="6"/>
      <c r="AL525" s="12"/>
      <c r="AM525" s="12"/>
      <c r="AN525" s="12"/>
      <c r="AO525" s="12"/>
      <c r="AP525" s="12"/>
    </row>
    <row r="526" spans="1:42" ht="15" x14ac:dyDescent="0.25">
      <c r="A526" s="82" t="str">
        <f>TDCTRIBE!I534</f>
        <v>Southwest</v>
      </c>
      <c r="B526" s="82" t="str">
        <f>TDCTRIBE!B534</f>
        <v>CA</v>
      </c>
      <c r="C526" s="82" t="str">
        <f>TDCTRIBE!F534</f>
        <v>Picayune Rancheria</v>
      </c>
      <c r="D526" s="83">
        <f>TDCTRIBE!Y534</f>
        <v>378326.12202000001</v>
      </c>
      <c r="E526" s="83">
        <f>TDCTRIBE!Z534</f>
        <v>417985.74077399995</v>
      </c>
      <c r="F526" s="83">
        <f>TDCTRIBE!AA534</f>
        <v>473661.557523</v>
      </c>
      <c r="G526" s="83">
        <f>TDCTRIBE!AB534</f>
        <v>513022.69317600003</v>
      </c>
      <c r="H526" s="83">
        <f>TDCTRIBE!AC534</f>
        <v>553045.83188399998</v>
      </c>
      <c r="O526" s="9"/>
      <c r="P526" s="1"/>
      <c r="Q526" s="1"/>
      <c r="R526" s="1"/>
      <c r="S526" s="1"/>
      <c r="T526" s="1"/>
      <c r="U526" s="1"/>
      <c r="V526" s="9"/>
      <c r="W526" s="3"/>
      <c r="X526" s="4"/>
      <c r="Y526" s="1"/>
      <c r="Z526" s="1"/>
      <c r="AA526" s="1"/>
      <c r="AB526" s="1"/>
      <c r="AC526" s="1"/>
      <c r="AD526" s="3"/>
      <c r="AE526" s="3"/>
      <c r="AF526" s="5"/>
      <c r="AG526" s="5"/>
      <c r="AH526" s="5"/>
      <c r="AI526" s="5"/>
      <c r="AJ526" s="6"/>
      <c r="AK526" s="6"/>
      <c r="AL526" s="12"/>
      <c r="AM526" s="12"/>
      <c r="AN526" s="12"/>
      <c r="AO526" s="12"/>
      <c r="AP526" s="12"/>
    </row>
    <row r="527" spans="1:42" ht="15" x14ac:dyDescent="0.25">
      <c r="A527" s="82" t="str">
        <f>TDCTRIBE!I535</f>
        <v>Southwest</v>
      </c>
      <c r="B527" s="82" t="str">
        <f>TDCTRIBE!B535</f>
        <v>CA</v>
      </c>
      <c r="C527" s="82" t="str">
        <f>TDCTRIBE!F535</f>
        <v>Pinoleville Rancheria</v>
      </c>
      <c r="D527" s="83">
        <f>TDCTRIBE!Y535</f>
        <v>395085.74952000001</v>
      </c>
      <c r="E527" s="83">
        <f>TDCTRIBE!Z535</f>
        <v>436243.09877399995</v>
      </c>
      <c r="F527" s="83">
        <f>TDCTRIBE!AA535</f>
        <v>493965.14852300007</v>
      </c>
      <c r="G527" s="83">
        <f>TDCTRIBE!AB535</f>
        <v>534802.97267599998</v>
      </c>
      <c r="H527" s="83">
        <f>TDCTRIBE!AC535</f>
        <v>576488.42238400003</v>
      </c>
      <c r="O527" s="9"/>
      <c r="P527" s="1"/>
      <c r="Q527" s="1"/>
      <c r="R527" s="1"/>
      <c r="S527" s="1"/>
      <c r="T527" s="1"/>
      <c r="U527" s="1"/>
      <c r="V527" s="9"/>
      <c r="W527" s="3"/>
      <c r="X527" s="4"/>
      <c r="Y527" s="1"/>
      <c r="Z527" s="1"/>
      <c r="AA527" s="1"/>
      <c r="AB527" s="1"/>
      <c r="AC527" s="1"/>
      <c r="AD527" s="3"/>
      <c r="AE527" s="3"/>
      <c r="AF527" s="5"/>
      <c r="AG527" s="5"/>
      <c r="AH527" s="5"/>
      <c r="AI527" s="5"/>
      <c r="AJ527" s="6"/>
      <c r="AK527" s="6"/>
      <c r="AL527" s="12"/>
      <c r="AM527" s="12"/>
      <c r="AN527" s="12"/>
      <c r="AO527" s="12"/>
      <c r="AP527" s="12"/>
    </row>
    <row r="528" spans="1:42" ht="15" x14ac:dyDescent="0.25">
      <c r="A528" s="82" t="str">
        <f>TDCTRIBE!I536</f>
        <v>Southwest</v>
      </c>
      <c r="B528" s="82" t="str">
        <f>TDCTRIBE!B536</f>
        <v>CA</v>
      </c>
      <c r="C528" s="82" t="str">
        <f>TDCTRIBE!F536</f>
        <v>Pit River Tribe</v>
      </c>
      <c r="D528" s="83">
        <f>TDCTRIBE!Y536</f>
        <v>399020.40948000003</v>
      </c>
      <c r="E528" s="83">
        <f>TDCTRIBE!Z536</f>
        <v>440817.10377599997</v>
      </c>
      <c r="F528" s="83">
        <f>TDCTRIBE!AA536</f>
        <v>499486.01595200005</v>
      </c>
      <c r="G528" s="83">
        <f>TDCTRIBE!AB536</f>
        <v>540966.92602400004</v>
      </c>
      <c r="H528" s="83">
        <f>TDCTRIBE!AC536</f>
        <v>583165.52341600007</v>
      </c>
      <c r="O528" s="9"/>
      <c r="P528" s="1"/>
      <c r="Q528" s="1"/>
      <c r="R528" s="1"/>
      <c r="S528" s="1"/>
      <c r="T528" s="1"/>
      <c r="U528" s="1"/>
      <c r="V528" s="9"/>
      <c r="W528" s="3"/>
      <c r="X528" s="4"/>
      <c r="Y528" s="1"/>
      <c r="Z528" s="1"/>
      <c r="AA528" s="1"/>
      <c r="AB528" s="1"/>
      <c r="AC528" s="1"/>
      <c r="AD528" s="3"/>
      <c r="AE528" s="3"/>
      <c r="AF528" s="5"/>
      <c r="AG528" s="5"/>
      <c r="AH528" s="5"/>
      <c r="AI528" s="5"/>
      <c r="AJ528" s="6"/>
      <c r="AK528" s="6"/>
      <c r="AL528" s="12"/>
      <c r="AM528" s="12"/>
      <c r="AN528" s="12"/>
      <c r="AO528" s="12"/>
      <c r="AP528" s="12"/>
    </row>
    <row r="529" spans="1:42" ht="15" x14ac:dyDescent="0.25">
      <c r="A529" s="82" t="str">
        <f>TDCTRIBE!I537</f>
        <v>Southwest</v>
      </c>
      <c r="B529" s="82" t="str">
        <f>TDCTRIBE!B537</f>
        <v>CA</v>
      </c>
      <c r="C529" s="82" t="str">
        <f>TDCTRIBE!F537</f>
        <v>Potter Valley Rancheria</v>
      </c>
      <c r="D529" s="83">
        <f>TDCTRIBE!Y537</f>
        <v>395085.74952000001</v>
      </c>
      <c r="E529" s="83">
        <f>TDCTRIBE!Z537</f>
        <v>436243.09877399995</v>
      </c>
      <c r="F529" s="83">
        <f>TDCTRIBE!AA537</f>
        <v>493965.14852300007</v>
      </c>
      <c r="G529" s="83">
        <f>TDCTRIBE!AB537</f>
        <v>534802.97267599998</v>
      </c>
      <c r="H529" s="83">
        <f>TDCTRIBE!AC537</f>
        <v>576488.42238400003</v>
      </c>
      <c r="O529" s="9"/>
      <c r="P529" s="1"/>
      <c r="Q529" s="1"/>
      <c r="R529" s="1"/>
      <c r="S529" s="1"/>
      <c r="T529" s="1"/>
      <c r="U529" s="1"/>
      <c r="V529" s="9"/>
      <c r="W529" s="3"/>
      <c r="X529" s="4"/>
      <c r="Y529" s="1"/>
      <c r="Z529" s="1"/>
      <c r="AA529" s="1"/>
      <c r="AB529" s="1"/>
      <c r="AC529" s="1"/>
      <c r="AD529" s="3"/>
      <c r="AE529" s="3"/>
      <c r="AF529" s="5"/>
      <c r="AG529" s="5"/>
      <c r="AH529" s="5"/>
      <c r="AI529" s="5"/>
      <c r="AJ529" s="6"/>
      <c r="AK529" s="6"/>
      <c r="AL529" s="12"/>
      <c r="AM529" s="12"/>
      <c r="AN529" s="12"/>
      <c r="AO529" s="12"/>
      <c r="AP529" s="12"/>
    </row>
    <row r="530" spans="1:42" ht="15" x14ac:dyDescent="0.25">
      <c r="A530" s="82" t="str">
        <f>TDCTRIBE!I538</f>
        <v>Southwest</v>
      </c>
      <c r="B530" s="82" t="str">
        <f>TDCTRIBE!B538</f>
        <v>CA</v>
      </c>
      <c r="C530" s="82" t="str">
        <f>TDCTRIBE!F538</f>
        <v>Quartz Valley Rancheria</v>
      </c>
      <c r="D530" s="83">
        <f>TDCTRIBE!Y538</f>
        <v>396032.89341000002</v>
      </c>
      <c r="E530" s="83">
        <f>TDCTRIBE!Z538</f>
        <v>437466.69964199996</v>
      </c>
      <c r="F530" s="83">
        <f>TDCTRIBE!AA538</f>
        <v>495615.36770900013</v>
      </c>
      <c r="G530" s="83">
        <f>TDCTRIBE!AB538</f>
        <v>536734.24695800012</v>
      </c>
      <c r="H530" s="83">
        <f>TDCTRIBE!AC538</f>
        <v>578595.56402199995</v>
      </c>
      <c r="O530" s="9"/>
      <c r="P530" s="1"/>
      <c r="Q530" s="1"/>
      <c r="R530" s="1"/>
      <c r="S530" s="1"/>
      <c r="T530" s="1"/>
      <c r="U530" s="1"/>
      <c r="V530" s="9"/>
      <c r="W530" s="3"/>
      <c r="X530" s="4"/>
      <c r="Y530" s="1"/>
      <c r="Z530" s="1"/>
      <c r="AA530" s="1"/>
      <c r="AB530" s="1"/>
      <c r="AC530" s="1"/>
      <c r="AD530" s="3"/>
      <c r="AE530" s="3"/>
      <c r="AF530" s="5"/>
      <c r="AG530" s="5"/>
      <c r="AH530" s="5"/>
      <c r="AI530" s="5"/>
      <c r="AJ530" s="6"/>
      <c r="AK530" s="6"/>
      <c r="AL530" s="12"/>
      <c r="AM530" s="12"/>
      <c r="AN530" s="12"/>
      <c r="AO530" s="12"/>
      <c r="AP530" s="12"/>
    </row>
    <row r="531" spans="1:42" ht="15" x14ac:dyDescent="0.25">
      <c r="A531" s="82" t="str">
        <f>TDCTRIBE!I539</f>
        <v>Southwest</v>
      </c>
      <c r="B531" s="82" t="str">
        <f>TDCTRIBE!B539</f>
        <v>CA</v>
      </c>
      <c r="C531" s="82" t="str">
        <f>TDCTRIBE!F539</f>
        <v>Quechan Tribe</v>
      </c>
      <c r="D531" s="83">
        <f>TDCTRIBE!Y539</f>
        <v>340848.27402499999</v>
      </c>
      <c r="E531" s="83">
        <f>TDCTRIBE!Z539</f>
        <v>377737.43360499997</v>
      </c>
      <c r="F531" s="83">
        <f>TDCTRIBE!AA539</f>
        <v>428174.32003500004</v>
      </c>
      <c r="G531" s="83">
        <f>TDCTRIBE!AB539</f>
        <v>462219.01641999994</v>
      </c>
      <c r="H531" s="83">
        <f>TDCTRIBE!AC539</f>
        <v>498416.24027999991</v>
      </c>
      <c r="O531" s="9"/>
      <c r="P531" s="1"/>
      <c r="Q531" s="1"/>
      <c r="R531" s="1"/>
      <c r="S531" s="1"/>
      <c r="T531" s="1"/>
      <c r="U531" s="1"/>
      <c r="V531" s="9"/>
      <c r="W531" s="3"/>
      <c r="X531" s="4"/>
      <c r="Y531" s="1"/>
      <c r="Z531" s="1"/>
      <c r="AA531" s="1"/>
      <c r="AB531" s="1"/>
      <c r="AC531" s="1"/>
      <c r="AD531" s="3"/>
      <c r="AE531" s="3"/>
      <c r="AF531" s="5"/>
      <c r="AG531" s="5"/>
      <c r="AH531" s="5"/>
      <c r="AI531" s="5"/>
      <c r="AJ531" s="6"/>
      <c r="AK531" s="6"/>
      <c r="AL531" s="12"/>
      <c r="AM531" s="12"/>
      <c r="AN531" s="12"/>
      <c r="AO531" s="12"/>
      <c r="AP531" s="12"/>
    </row>
    <row r="532" spans="1:42" ht="15" x14ac:dyDescent="0.25">
      <c r="A532" s="82" t="str">
        <f>TDCTRIBE!I540</f>
        <v>Southwest</v>
      </c>
      <c r="B532" s="82" t="str">
        <f>TDCTRIBE!B540</f>
        <v>CA</v>
      </c>
      <c r="C532" s="82" t="str">
        <f>TDCTRIBE!F540</f>
        <v>Ramona Band</v>
      </c>
      <c r="D532" s="83">
        <f>TDCTRIBE!Y540</f>
        <v>354008.25326999993</v>
      </c>
      <c r="E532" s="83">
        <f>TDCTRIBE!Z540</f>
        <v>392429.30987399997</v>
      </c>
      <c r="F532" s="83">
        <f>TDCTRIBE!AA540</f>
        <v>445001.55499800004</v>
      </c>
      <c r="G532" s="83">
        <f>TDCTRIBE!AB540</f>
        <v>480482.85717599996</v>
      </c>
      <c r="H532" s="83">
        <f>TDCTRIBE!AC540</f>
        <v>518121.54878399998</v>
      </c>
      <c r="O532" s="9"/>
      <c r="P532" s="1"/>
      <c r="Q532" s="1"/>
      <c r="R532" s="1"/>
      <c r="S532" s="1"/>
      <c r="T532" s="1"/>
      <c r="U532" s="1"/>
      <c r="V532" s="9"/>
      <c r="W532" s="3"/>
      <c r="X532" s="4"/>
      <c r="Y532" s="1"/>
      <c r="Z532" s="1"/>
      <c r="AA532" s="1"/>
      <c r="AB532" s="1"/>
      <c r="AC532" s="1"/>
      <c r="AD532" s="3"/>
      <c r="AE532" s="3"/>
      <c r="AF532" s="5"/>
      <c r="AG532" s="5"/>
      <c r="AH532" s="5"/>
      <c r="AI532" s="5"/>
      <c r="AJ532" s="6"/>
      <c r="AK532" s="6"/>
      <c r="AL532" s="12"/>
      <c r="AM532" s="12"/>
      <c r="AN532" s="12"/>
      <c r="AO532" s="12"/>
      <c r="AP532" s="12"/>
    </row>
    <row r="533" spans="1:42" ht="15" x14ac:dyDescent="0.25">
      <c r="A533" s="82" t="str">
        <f>TDCTRIBE!I541</f>
        <v>Southwest</v>
      </c>
      <c r="B533" s="82" t="str">
        <f>TDCTRIBE!B541</f>
        <v>CA</v>
      </c>
      <c r="C533" s="82" t="str">
        <f>TDCTRIBE!F541</f>
        <v>Redding Rancheria</v>
      </c>
      <c r="D533" s="83">
        <f>TDCTRIBE!Y541</f>
        <v>399020.40948000003</v>
      </c>
      <c r="E533" s="83">
        <f>TDCTRIBE!Z541</f>
        <v>440817.10377599997</v>
      </c>
      <c r="F533" s="83">
        <f>TDCTRIBE!AA541</f>
        <v>499486.01595200005</v>
      </c>
      <c r="G533" s="83">
        <f>TDCTRIBE!AB541</f>
        <v>540966.92602400004</v>
      </c>
      <c r="H533" s="83">
        <f>TDCTRIBE!AC541</f>
        <v>583165.52341600007</v>
      </c>
      <c r="O533" s="9"/>
      <c r="P533" s="1"/>
      <c r="Q533" s="1"/>
      <c r="R533" s="1"/>
      <c r="S533" s="1"/>
      <c r="T533" s="1"/>
      <c r="U533" s="1"/>
      <c r="V533" s="9"/>
      <c r="W533" s="3"/>
      <c r="X533" s="4"/>
      <c r="Y533" s="1"/>
      <c r="Z533" s="1"/>
      <c r="AA533" s="1"/>
      <c r="AB533" s="1"/>
      <c r="AC533" s="1"/>
      <c r="AD533" s="3"/>
      <c r="AE533" s="3"/>
      <c r="AF533" s="5"/>
      <c r="AG533" s="5"/>
      <c r="AH533" s="5"/>
      <c r="AI533" s="5"/>
      <c r="AJ533" s="6"/>
      <c r="AK533" s="6"/>
      <c r="AL533" s="12"/>
      <c r="AM533" s="12"/>
      <c r="AN533" s="12"/>
      <c r="AO533" s="12"/>
      <c r="AP533" s="12"/>
    </row>
    <row r="534" spans="1:42" ht="15" x14ac:dyDescent="0.25">
      <c r="A534" s="82" t="str">
        <f>TDCTRIBE!I542</f>
        <v>Southwest</v>
      </c>
      <c r="B534" s="82" t="str">
        <f>TDCTRIBE!B542</f>
        <v>CA</v>
      </c>
      <c r="C534" s="82" t="str">
        <f>TDCTRIBE!F542</f>
        <v>Redwood Valley Rancheria</v>
      </c>
      <c r="D534" s="83">
        <f>TDCTRIBE!Y542</f>
        <v>395085.74952000001</v>
      </c>
      <c r="E534" s="83">
        <f>TDCTRIBE!Z542</f>
        <v>436243.09877399995</v>
      </c>
      <c r="F534" s="83">
        <f>TDCTRIBE!AA542</f>
        <v>493965.14852300007</v>
      </c>
      <c r="G534" s="83">
        <f>TDCTRIBE!AB542</f>
        <v>534802.97267599998</v>
      </c>
      <c r="H534" s="83">
        <f>TDCTRIBE!AC542</f>
        <v>576488.42238400003</v>
      </c>
      <c r="O534" s="9"/>
      <c r="P534" s="1"/>
      <c r="Q534" s="1"/>
      <c r="R534" s="1"/>
      <c r="S534" s="1"/>
      <c r="T534" s="1"/>
      <c r="U534" s="1"/>
      <c r="V534" s="9"/>
      <c r="W534" s="3"/>
      <c r="X534" s="4"/>
      <c r="Y534" s="1"/>
      <c r="Z534" s="1"/>
      <c r="AA534" s="1"/>
      <c r="AB534" s="1"/>
      <c r="AC534" s="1"/>
      <c r="AD534" s="3"/>
      <c r="AE534" s="3"/>
      <c r="AF534" s="5"/>
      <c r="AG534" s="5"/>
      <c r="AH534" s="5"/>
      <c r="AI534" s="5"/>
      <c r="AJ534" s="6"/>
      <c r="AK534" s="6"/>
      <c r="AL534" s="12"/>
      <c r="AM534" s="12"/>
      <c r="AN534" s="12"/>
      <c r="AO534" s="12"/>
      <c r="AP534" s="12"/>
    </row>
    <row r="535" spans="1:42" ht="15" x14ac:dyDescent="0.25">
      <c r="A535" s="82" t="str">
        <f>TDCTRIBE!I543</f>
        <v>Southwest</v>
      </c>
      <c r="B535" s="82" t="str">
        <f>TDCTRIBE!B543</f>
        <v>CA</v>
      </c>
      <c r="C535" s="82" t="str">
        <f>TDCTRIBE!F543</f>
        <v>Resighini Rancheria</v>
      </c>
      <c r="D535" s="83">
        <f>TDCTRIBE!Y543</f>
        <v>390057.86126999999</v>
      </c>
      <c r="E535" s="83">
        <f>TDCTRIBE!Z543</f>
        <v>430765.891374</v>
      </c>
      <c r="F535" s="83">
        <f>TDCTRIBE!AA543</f>
        <v>487874.07122300001</v>
      </c>
      <c r="G535" s="83">
        <f>TDCTRIBE!AB543</f>
        <v>528268.88882599992</v>
      </c>
      <c r="H535" s="83">
        <f>TDCTRIBE!AC543</f>
        <v>569455.64523400005</v>
      </c>
      <c r="O535" s="9"/>
      <c r="P535" s="1"/>
      <c r="Q535" s="1"/>
      <c r="R535" s="1"/>
      <c r="S535" s="1"/>
      <c r="T535" s="1"/>
      <c r="U535" s="1"/>
      <c r="V535" s="9"/>
      <c r="W535" s="3"/>
      <c r="X535" s="4"/>
      <c r="Y535" s="1"/>
      <c r="Z535" s="1"/>
      <c r="AA535" s="1"/>
      <c r="AB535" s="1"/>
      <c r="AC535" s="1"/>
      <c r="AD535" s="3"/>
      <c r="AE535" s="3"/>
      <c r="AF535" s="5"/>
      <c r="AG535" s="5"/>
      <c r="AH535" s="5"/>
      <c r="AI535" s="5"/>
      <c r="AJ535" s="6"/>
      <c r="AK535" s="6"/>
      <c r="AL535" s="12"/>
      <c r="AM535" s="12"/>
      <c r="AN535" s="12"/>
      <c r="AO535" s="12"/>
      <c r="AP535" s="12"/>
    </row>
    <row r="536" spans="1:42" ht="15" x14ac:dyDescent="0.25">
      <c r="A536" s="82" t="str">
        <f>TDCTRIBE!I544</f>
        <v>Southwest</v>
      </c>
      <c r="B536" s="82" t="str">
        <f>TDCTRIBE!B544</f>
        <v>CA</v>
      </c>
      <c r="C536" s="82" t="str">
        <f>TDCTRIBE!F544</f>
        <v>Rincon Reservation</v>
      </c>
      <c r="D536" s="83">
        <f>TDCTRIBE!Y544</f>
        <v>340558.31309499999</v>
      </c>
      <c r="E536" s="83">
        <f>TDCTRIBE!Z544</f>
        <v>377504.28923900001</v>
      </c>
      <c r="F536" s="83">
        <f>TDCTRIBE!AA544</f>
        <v>428052.34695300006</v>
      </c>
      <c r="G536" s="83">
        <f>TDCTRIBE!AB544</f>
        <v>462168.18863599998</v>
      </c>
      <c r="H536" s="83">
        <f>TDCTRIBE!AC544</f>
        <v>498370.60442400002</v>
      </c>
      <c r="O536" s="9"/>
      <c r="P536" s="1"/>
      <c r="Q536" s="1"/>
      <c r="R536" s="1"/>
      <c r="S536" s="1"/>
      <c r="T536" s="1"/>
      <c r="U536" s="1"/>
      <c r="V536" s="9"/>
      <c r="W536" s="3"/>
      <c r="X536" s="4"/>
      <c r="Y536" s="1"/>
      <c r="Z536" s="1"/>
      <c r="AA536" s="1"/>
      <c r="AB536" s="1"/>
      <c r="AC536" s="1"/>
      <c r="AD536" s="3"/>
      <c r="AE536" s="3"/>
      <c r="AF536" s="5"/>
      <c r="AG536" s="5"/>
      <c r="AH536" s="5"/>
      <c r="AI536" s="5"/>
      <c r="AJ536" s="6"/>
      <c r="AK536" s="6"/>
      <c r="AL536" s="12"/>
      <c r="AM536" s="12"/>
      <c r="AN536" s="12"/>
      <c r="AO536" s="12"/>
      <c r="AP536" s="12"/>
    </row>
    <row r="537" spans="1:42" ht="15" x14ac:dyDescent="0.25">
      <c r="A537" s="82" t="str">
        <f>TDCTRIBE!I545</f>
        <v>Southwest</v>
      </c>
      <c r="B537" s="82" t="str">
        <f>TDCTRIBE!B545</f>
        <v>CA</v>
      </c>
      <c r="C537" s="82" t="str">
        <f>TDCTRIBE!F545</f>
        <v>Robinson Rancheria</v>
      </c>
      <c r="D537" s="83">
        <f>TDCTRIBE!Y545</f>
        <v>395085.74952000001</v>
      </c>
      <c r="E537" s="83">
        <f>TDCTRIBE!Z545</f>
        <v>436243.09877399995</v>
      </c>
      <c r="F537" s="83">
        <f>TDCTRIBE!AA545</f>
        <v>493965.14852300007</v>
      </c>
      <c r="G537" s="83">
        <f>TDCTRIBE!AB545</f>
        <v>534802.97267599998</v>
      </c>
      <c r="H537" s="83">
        <f>TDCTRIBE!AC545</f>
        <v>576488.42238400003</v>
      </c>
      <c r="O537" s="9"/>
      <c r="P537" s="1"/>
      <c r="Q537" s="1"/>
      <c r="R537" s="1"/>
      <c r="S537" s="1"/>
      <c r="T537" s="1"/>
      <c r="U537" s="1"/>
      <c r="V537" s="9"/>
      <c r="W537" s="3"/>
      <c r="X537" s="4"/>
      <c r="Y537" s="1"/>
      <c r="Z537" s="1"/>
      <c r="AA537" s="1"/>
      <c r="AB537" s="1"/>
      <c r="AC537" s="1"/>
      <c r="AD537" s="3"/>
      <c r="AE537" s="3"/>
      <c r="AF537" s="5"/>
      <c r="AG537" s="5"/>
      <c r="AH537" s="5"/>
      <c r="AI537" s="5"/>
      <c r="AJ537" s="6"/>
      <c r="AK537" s="6"/>
      <c r="AL537" s="12"/>
      <c r="AM537" s="12"/>
      <c r="AN537" s="12"/>
      <c r="AO537" s="12"/>
      <c r="AP537" s="12"/>
    </row>
    <row r="538" spans="1:42" ht="15" x14ac:dyDescent="0.25">
      <c r="A538" s="82" t="str">
        <f>TDCTRIBE!I546</f>
        <v>Southwest</v>
      </c>
      <c r="B538" s="82" t="str">
        <f>TDCTRIBE!B546</f>
        <v>CA</v>
      </c>
      <c r="C538" s="82" t="str">
        <f>TDCTRIBE!F546</f>
        <v>Rohnerville Rancheria</v>
      </c>
      <c r="D538" s="83">
        <f>TDCTRIBE!Y546</f>
        <v>396032.89341000002</v>
      </c>
      <c r="E538" s="83">
        <f>TDCTRIBE!Z546</f>
        <v>437466.69964199996</v>
      </c>
      <c r="F538" s="83">
        <f>TDCTRIBE!AA546</f>
        <v>495615.36770900013</v>
      </c>
      <c r="G538" s="83">
        <f>TDCTRIBE!AB546</f>
        <v>536734.24695800012</v>
      </c>
      <c r="H538" s="83">
        <f>TDCTRIBE!AC546</f>
        <v>578595.56402199995</v>
      </c>
      <c r="O538" s="9"/>
      <c r="P538" s="1"/>
      <c r="Q538" s="1"/>
      <c r="R538" s="1"/>
      <c r="S538" s="1"/>
      <c r="T538" s="1"/>
      <c r="U538" s="1"/>
      <c r="V538" s="9"/>
      <c r="W538" s="3"/>
      <c r="X538" s="4"/>
      <c r="Y538" s="1"/>
      <c r="Z538" s="1"/>
      <c r="AA538" s="1"/>
      <c r="AB538" s="1"/>
      <c r="AC538" s="1"/>
      <c r="AD538" s="3"/>
      <c r="AE538" s="3"/>
      <c r="AF538" s="5"/>
      <c r="AG538" s="5"/>
      <c r="AH538" s="5"/>
      <c r="AI538" s="5"/>
      <c r="AJ538" s="6"/>
      <c r="AK538" s="6"/>
      <c r="AL538" s="12"/>
      <c r="AM538" s="12"/>
      <c r="AN538" s="12"/>
      <c r="AO538" s="12"/>
      <c r="AP538" s="12"/>
    </row>
    <row r="539" spans="1:42" ht="15" x14ac:dyDescent="0.25">
      <c r="A539" s="82" t="str">
        <f>TDCTRIBE!I547</f>
        <v>Southwest</v>
      </c>
      <c r="B539" s="82" t="str">
        <f>TDCTRIBE!B547</f>
        <v>CA</v>
      </c>
      <c r="C539" s="82" t="str">
        <f>TDCTRIBE!F547</f>
        <v>Round Valley Rancheria</v>
      </c>
      <c r="D539" s="83">
        <f>TDCTRIBE!Y547</f>
        <v>395085.74952000001</v>
      </c>
      <c r="E539" s="83">
        <f>TDCTRIBE!Z547</f>
        <v>436243.09877399995</v>
      </c>
      <c r="F539" s="83">
        <f>TDCTRIBE!AA547</f>
        <v>493965.14852300007</v>
      </c>
      <c r="G539" s="83">
        <f>TDCTRIBE!AB547</f>
        <v>534802.97267599998</v>
      </c>
      <c r="H539" s="83">
        <f>TDCTRIBE!AC547</f>
        <v>576488.42238400003</v>
      </c>
      <c r="O539" s="9"/>
      <c r="P539" s="1"/>
      <c r="Q539" s="1"/>
      <c r="R539" s="1"/>
      <c r="S539" s="1"/>
      <c r="T539" s="1"/>
      <c r="U539" s="1"/>
      <c r="V539" s="9"/>
      <c r="W539" s="3"/>
      <c r="X539" s="4"/>
      <c r="Y539" s="1"/>
      <c r="Z539" s="1"/>
      <c r="AA539" s="1"/>
      <c r="AB539" s="1"/>
      <c r="AC539" s="1"/>
      <c r="AD539" s="3"/>
      <c r="AE539" s="3"/>
      <c r="AF539" s="5"/>
      <c r="AG539" s="5"/>
      <c r="AH539" s="5"/>
      <c r="AI539" s="5"/>
      <c r="AJ539" s="6"/>
      <c r="AK539" s="6"/>
      <c r="AL539" s="12"/>
      <c r="AM539" s="12"/>
      <c r="AN539" s="12"/>
      <c r="AO539" s="12"/>
      <c r="AP539" s="12"/>
    </row>
    <row r="540" spans="1:42" ht="15" x14ac:dyDescent="0.25">
      <c r="A540" s="82" t="str">
        <f>TDCTRIBE!I548</f>
        <v>Southwest</v>
      </c>
      <c r="B540" s="82" t="str">
        <f>TDCTRIBE!B548</f>
        <v>CA</v>
      </c>
      <c r="C540" s="82" t="str">
        <f>TDCTRIBE!F548</f>
        <v>Rumsey Rancheria</v>
      </c>
      <c r="D540" s="83">
        <f>TDCTRIBE!Y548</f>
        <v>390057.86126999999</v>
      </c>
      <c r="E540" s="83">
        <f>TDCTRIBE!Z548</f>
        <v>430765.891374</v>
      </c>
      <c r="F540" s="83">
        <f>TDCTRIBE!AA548</f>
        <v>487874.07122300001</v>
      </c>
      <c r="G540" s="83">
        <f>TDCTRIBE!AB548</f>
        <v>528268.88882599992</v>
      </c>
      <c r="H540" s="83">
        <f>TDCTRIBE!AC548</f>
        <v>569455.64523400005</v>
      </c>
      <c r="O540" s="9"/>
      <c r="P540" s="1"/>
      <c r="Q540" s="1"/>
      <c r="R540" s="1"/>
      <c r="S540" s="1"/>
      <c r="T540" s="1"/>
      <c r="U540" s="1"/>
      <c r="V540" s="9"/>
      <c r="W540" s="3"/>
      <c r="X540" s="4"/>
      <c r="Y540" s="1"/>
      <c r="Z540" s="1"/>
      <c r="AA540" s="1"/>
      <c r="AB540" s="1"/>
      <c r="AC540" s="1"/>
      <c r="AD540" s="3"/>
      <c r="AE540" s="3"/>
      <c r="AF540" s="5"/>
      <c r="AG540" s="5"/>
      <c r="AH540" s="5"/>
      <c r="AI540" s="5"/>
      <c r="AJ540" s="6"/>
      <c r="AK540" s="6"/>
      <c r="AL540" s="12"/>
      <c r="AM540" s="12"/>
      <c r="AN540" s="12"/>
      <c r="AO540" s="12"/>
      <c r="AP540" s="12"/>
    </row>
    <row r="541" spans="1:42" ht="15" x14ac:dyDescent="0.25">
      <c r="A541" s="82" t="str">
        <f>TDCTRIBE!I549</f>
        <v>Southwest</v>
      </c>
      <c r="B541" s="82" t="str">
        <f>TDCTRIBE!B549</f>
        <v>CA</v>
      </c>
      <c r="C541" s="82" t="str">
        <f>TDCTRIBE!F549</f>
        <v>San Manuel Band</v>
      </c>
      <c r="D541" s="83">
        <f>TDCTRIBE!Y549</f>
        <v>352433.27076999994</v>
      </c>
      <c r="E541" s="83">
        <f>TDCTRIBE!Z549</f>
        <v>390706.21192399994</v>
      </c>
      <c r="F541" s="83">
        <f>TDCTRIBE!AA549</f>
        <v>443084.42824800004</v>
      </c>
      <c r="G541" s="83">
        <f>TDCTRIBE!AB549</f>
        <v>478433.77517599997</v>
      </c>
      <c r="H541" s="83">
        <f>TDCTRIBE!AC549</f>
        <v>515914.32278399996</v>
      </c>
      <c r="O541" s="9"/>
      <c r="P541" s="1"/>
      <c r="Q541" s="1"/>
      <c r="R541" s="1"/>
      <c r="S541" s="1"/>
      <c r="T541" s="1"/>
      <c r="U541" s="1"/>
      <c r="V541" s="9"/>
      <c r="W541" s="3"/>
      <c r="X541" s="4"/>
      <c r="Y541" s="1"/>
      <c r="Z541" s="1"/>
      <c r="AA541" s="1"/>
      <c r="AB541" s="1"/>
      <c r="AC541" s="1"/>
      <c r="AD541" s="3"/>
      <c r="AE541" s="3"/>
      <c r="AF541" s="5"/>
      <c r="AG541" s="5"/>
      <c r="AH541" s="5"/>
      <c r="AI541" s="5"/>
      <c r="AJ541" s="6"/>
      <c r="AK541" s="6"/>
      <c r="AL541" s="12"/>
      <c r="AM541" s="12"/>
      <c r="AN541" s="12"/>
      <c r="AO541" s="12"/>
      <c r="AP541" s="12"/>
    </row>
    <row r="542" spans="1:42" ht="15" x14ac:dyDescent="0.25">
      <c r="A542" s="82" t="str">
        <f>TDCTRIBE!I550</f>
        <v>Southwest</v>
      </c>
      <c r="B542" s="82" t="str">
        <f>TDCTRIBE!B550</f>
        <v>CA</v>
      </c>
      <c r="C542" s="82" t="str">
        <f>TDCTRIBE!F550</f>
        <v>San Pasqual Band</v>
      </c>
      <c r="D542" s="83">
        <f>TDCTRIBE!Y550</f>
        <v>340558.31309499999</v>
      </c>
      <c r="E542" s="83">
        <f>TDCTRIBE!Z550</f>
        <v>377504.28923900001</v>
      </c>
      <c r="F542" s="83">
        <f>TDCTRIBE!AA550</f>
        <v>428052.34695300006</v>
      </c>
      <c r="G542" s="83">
        <f>TDCTRIBE!AB550</f>
        <v>462168.18863599998</v>
      </c>
      <c r="H542" s="83">
        <f>TDCTRIBE!AC550</f>
        <v>498370.60442400002</v>
      </c>
      <c r="O542" s="9"/>
      <c r="P542" s="1"/>
      <c r="Q542" s="1"/>
      <c r="R542" s="1"/>
      <c r="S542" s="1"/>
      <c r="T542" s="1"/>
      <c r="U542" s="1"/>
      <c r="V542" s="9"/>
      <c r="W542" s="3"/>
      <c r="X542" s="4"/>
      <c r="Y542" s="1"/>
      <c r="Z542" s="1"/>
      <c r="AA542" s="1"/>
      <c r="AB542" s="1"/>
      <c r="AC542" s="1"/>
      <c r="AD542" s="3"/>
      <c r="AE542" s="3"/>
      <c r="AF542" s="5"/>
      <c r="AG542" s="5"/>
      <c r="AH542" s="5"/>
      <c r="AI542" s="5"/>
      <c r="AJ542" s="6"/>
      <c r="AK542" s="6"/>
      <c r="AL542" s="12"/>
      <c r="AM542" s="12"/>
      <c r="AN542" s="12"/>
      <c r="AO542" s="12"/>
      <c r="AP542" s="12"/>
    </row>
    <row r="543" spans="1:42" ht="15" x14ac:dyDescent="0.25">
      <c r="A543" s="82" t="str">
        <f>TDCTRIBE!I551</f>
        <v>Southwest</v>
      </c>
      <c r="B543" s="82" t="str">
        <f>TDCTRIBE!B551</f>
        <v>CA</v>
      </c>
      <c r="C543" s="82" t="str">
        <f>TDCTRIBE!F551</f>
        <v>San Rosa Band of Cahuilla</v>
      </c>
      <c r="D543" s="83">
        <f>TDCTRIBE!Y551</f>
        <v>354008.25326999993</v>
      </c>
      <c r="E543" s="83">
        <f>TDCTRIBE!Z551</f>
        <v>392429.30987399997</v>
      </c>
      <c r="F543" s="83">
        <f>TDCTRIBE!AA551</f>
        <v>445001.55499800004</v>
      </c>
      <c r="G543" s="83">
        <f>TDCTRIBE!AB551</f>
        <v>480482.85717599996</v>
      </c>
      <c r="H543" s="83">
        <f>TDCTRIBE!AC551</f>
        <v>518121.54878399998</v>
      </c>
      <c r="O543" s="9"/>
      <c r="P543" s="1"/>
      <c r="Q543" s="1"/>
      <c r="R543" s="1"/>
      <c r="S543" s="1"/>
      <c r="T543" s="1"/>
      <c r="U543" s="1"/>
      <c r="V543" s="9"/>
      <c r="W543" s="3"/>
      <c r="X543" s="4"/>
      <c r="Y543" s="1"/>
      <c r="Z543" s="1"/>
      <c r="AA543" s="1"/>
      <c r="AB543" s="1"/>
      <c r="AC543" s="1"/>
      <c r="AD543" s="3"/>
      <c r="AE543" s="3"/>
      <c r="AF543" s="5"/>
      <c r="AG543" s="5"/>
      <c r="AH543" s="5"/>
      <c r="AI543" s="5"/>
      <c r="AJ543" s="6"/>
      <c r="AK543" s="6"/>
      <c r="AL543" s="12"/>
      <c r="AM543" s="12"/>
      <c r="AN543" s="12"/>
      <c r="AO543" s="12"/>
      <c r="AP543" s="12"/>
    </row>
    <row r="544" spans="1:42" ht="15" x14ac:dyDescent="0.25">
      <c r="A544" s="82" t="str">
        <f>TDCTRIBE!I552</f>
        <v>Southwest</v>
      </c>
      <c r="B544" s="82" t="str">
        <f>TDCTRIBE!B552</f>
        <v>CA</v>
      </c>
      <c r="C544" s="82" t="str">
        <f>TDCTRIBE!F552</f>
        <v>San Ysabel Reservation</v>
      </c>
      <c r="D544" s="83">
        <f>TDCTRIBE!Y552</f>
        <v>340558.31309499999</v>
      </c>
      <c r="E544" s="83">
        <f>TDCTRIBE!Z552</f>
        <v>377504.28923900001</v>
      </c>
      <c r="F544" s="83">
        <f>TDCTRIBE!AA552</f>
        <v>428052.34695300006</v>
      </c>
      <c r="G544" s="83">
        <f>TDCTRIBE!AB552</f>
        <v>462168.18863599998</v>
      </c>
      <c r="H544" s="83">
        <f>TDCTRIBE!AC552</f>
        <v>498370.60442400002</v>
      </c>
      <c r="O544" s="9"/>
      <c r="P544" s="1"/>
      <c r="Q544" s="1"/>
      <c r="R544" s="1"/>
      <c r="S544" s="1"/>
      <c r="T544" s="1"/>
      <c r="U544" s="1"/>
      <c r="V544" s="9"/>
      <c r="W544" s="3"/>
      <c r="X544" s="4"/>
      <c r="Y544" s="1"/>
      <c r="Z544" s="1"/>
      <c r="AA544" s="1"/>
      <c r="AB544" s="1"/>
      <c r="AC544" s="1"/>
      <c r="AD544" s="3"/>
      <c r="AE544" s="3"/>
      <c r="AF544" s="5"/>
      <c r="AG544" s="5"/>
      <c r="AH544" s="5"/>
      <c r="AI544" s="5"/>
      <c r="AJ544" s="6"/>
      <c r="AK544" s="6"/>
      <c r="AL544" s="12"/>
      <c r="AM544" s="12"/>
      <c r="AN544" s="12"/>
      <c r="AO544" s="12"/>
      <c r="AP544" s="12"/>
    </row>
    <row r="545" spans="1:42" ht="15" x14ac:dyDescent="0.25">
      <c r="A545" s="82" t="str">
        <f>TDCTRIBE!I553</f>
        <v>Southwest</v>
      </c>
      <c r="B545" s="82" t="str">
        <f>TDCTRIBE!B553</f>
        <v>CA</v>
      </c>
      <c r="C545" s="82" t="str">
        <f>TDCTRIBE!F553</f>
        <v>Santa Rosa Rancheria</v>
      </c>
      <c r="D545" s="83">
        <f>TDCTRIBE!Y553</f>
        <v>362477.51809500001</v>
      </c>
      <c r="E545" s="83">
        <f>TDCTRIBE!Z553</f>
        <v>400481.051439</v>
      </c>
      <c r="F545" s="83">
        <f>TDCTRIBE!AA553</f>
        <v>453833.14141550008</v>
      </c>
      <c r="G545" s="83">
        <f>TDCTRIBE!AB553</f>
        <v>491550.85576099996</v>
      </c>
      <c r="H545" s="83">
        <f>TDCTRIBE!AC553</f>
        <v>529899.63814900001</v>
      </c>
      <c r="O545" s="9"/>
      <c r="P545" s="1"/>
      <c r="Q545" s="1"/>
      <c r="R545" s="1"/>
      <c r="S545" s="1"/>
      <c r="T545" s="1"/>
      <c r="U545" s="1"/>
      <c r="V545" s="9"/>
      <c r="W545" s="3"/>
      <c r="X545" s="4"/>
      <c r="Y545" s="1"/>
      <c r="Z545" s="1"/>
      <c r="AA545" s="1"/>
      <c r="AB545" s="1"/>
      <c r="AC545" s="1"/>
      <c r="AD545" s="3"/>
      <c r="AE545" s="3"/>
      <c r="AF545" s="5"/>
      <c r="AG545" s="5"/>
      <c r="AH545" s="5"/>
      <c r="AI545" s="5"/>
      <c r="AJ545" s="6"/>
      <c r="AK545" s="6"/>
      <c r="AL545" s="12"/>
      <c r="AM545" s="12"/>
      <c r="AN545" s="12"/>
      <c r="AO545" s="12"/>
      <c r="AP545" s="12"/>
    </row>
    <row r="546" spans="1:42" ht="15" x14ac:dyDescent="0.25">
      <c r="A546" s="82" t="str">
        <f>TDCTRIBE!I554</f>
        <v>Southwest</v>
      </c>
      <c r="B546" s="82" t="str">
        <f>TDCTRIBE!B554</f>
        <v>CA</v>
      </c>
      <c r="C546" s="82" t="str">
        <f>TDCTRIBE!F554</f>
        <v>Santa Ynez Band of Chumash</v>
      </c>
      <c r="D546" s="83">
        <f>TDCTRIBE!Y554</f>
        <v>380949.22865999996</v>
      </c>
      <c r="E546" s="83">
        <f>TDCTRIBE!Z554</f>
        <v>421035.07744199998</v>
      </c>
      <c r="F546" s="83">
        <f>TDCTRIBE!AA554</f>
        <v>477342.135809</v>
      </c>
      <c r="G546" s="83">
        <f>TDCTRIBE!AB554</f>
        <v>517131.99540800008</v>
      </c>
      <c r="H546" s="83">
        <f>TDCTRIBE!AC554</f>
        <v>557497.23257199989</v>
      </c>
      <c r="O546" s="9"/>
      <c r="P546" s="1"/>
      <c r="Q546" s="1"/>
      <c r="R546" s="1"/>
      <c r="S546" s="1"/>
      <c r="T546" s="1"/>
      <c r="U546" s="1"/>
      <c r="V546" s="9"/>
      <c r="W546" s="3"/>
      <c r="X546" s="4"/>
      <c r="Y546" s="1"/>
      <c r="Z546" s="1"/>
      <c r="AA546" s="1"/>
      <c r="AB546" s="1"/>
      <c r="AC546" s="1"/>
      <c r="AD546" s="3"/>
      <c r="AE546" s="3"/>
      <c r="AF546" s="5"/>
      <c r="AG546" s="5"/>
      <c r="AH546" s="5"/>
      <c r="AI546" s="5"/>
      <c r="AJ546" s="6"/>
      <c r="AK546" s="6"/>
      <c r="AL546" s="12"/>
      <c r="AM546" s="12"/>
      <c r="AN546" s="12"/>
      <c r="AO546" s="12"/>
      <c r="AP546" s="12"/>
    </row>
    <row r="547" spans="1:42" ht="15" x14ac:dyDescent="0.25">
      <c r="A547" s="82" t="str">
        <f>TDCTRIBE!I555</f>
        <v>Southwest</v>
      </c>
      <c r="B547" s="82" t="str">
        <f>TDCTRIBE!B555</f>
        <v>CA</v>
      </c>
      <c r="C547" s="82" t="str">
        <f>TDCTRIBE!F555</f>
        <v>Scotts Valley (Pomo)</v>
      </c>
      <c r="D547" s="83">
        <f>TDCTRIBE!Y555</f>
        <v>395085.74952000001</v>
      </c>
      <c r="E547" s="83">
        <f>TDCTRIBE!Z555</f>
        <v>436243.09877399995</v>
      </c>
      <c r="F547" s="83">
        <f>TDCTRIBE!AA555</f>
        <v>493965.14852300007</v>
      </c>
      <c r="G547" s="83">
        <f>TDCTRIBE!AB555</f>
        <v>534802.97267599998</v>
      </c>
      <c r="H547" s="83">
        <f>TDCTRIBE!AC555</f>
        <v>576488.42238400003</v>
      </c>
      <c r="O547" s="9"/>
      <c r="P547" s="1"/>
      <c r="Q547" s="1"/>
      <c r="R547" s="1"/>
      <c r="S547" s="1"/>
      <c r="T547" s="1"/>
      <c r="U547" s="1"/>
      <c r="V547" s="9"/>
      <c r="W547" s="3"/>
      <c r="X547" s="4"/>
      <c r="Y547" s="1"/>
      <c r="Z547" s="1"/>
      <c r="AA547" s="1"/>
      <c r="AB547" s="1"/>
      <c r="AC547" s="1"/>
      <c r="AD547" s="3"/>
      <c r="AE547" s="3"/>
      <c r="AF547" s="5"/>
      <c r="AG547" s="5"/>
      <c r="AH547" s="5"/>
      <c r="AI547" s="5"/>
      <c r="AJ547" s="6"/>
      <c r="AK547" s="6"/>
      <c r="AL547" s="12"/>
      <c r="AM547" s="12"/>
      <c r="AN547" s="12"/>
      <c r="AO547" s="12"/>
      <c r="AP547" s="12"/>
    </row>
    <row r="548" spans="1:42" ht="15" x14ac:dyDescent="0.25">
      <c r="A548" s="82" t="str">
        <f>TDCTRIBE!I556</f>
        <v>Southwest</v>
      </c>
      <c r="B548" s="82" t="str">
        <f>TDCTRIBE!B556</f>
        <v>CA</v>
      </c>
      <c r="C548" s="82" t="str">
        <f>TDCTRIBE!F556</f>
        <v>Sheep Rancheria</v>
      </c>
      <c r="D548" s="83">
        <f>TDCTRIBE!Y556</f>
        <v>383354.01027000003</v>
      </c>
      <c r="E548" s="83">
        <f>TDCTRIBE!Z556</f>
        <v>423462.94817400002</v>
      </c>
      <c r="F548" s="83">
        <f>TDCTRIBE!AA556</f>
        <v>479752.63482300006</v>
      </c>
      <c r="G548" s="83">
        <f>TDCTRIBE!AB556</f>
        <v>519556.77702600003</v>
      </c>
      <c r="H548" s="83">
        <f>TDCTRIBE!AC556</f>
        <v>560078.60903400008</v>
      </c>
      <c r="O548" s="9"/>
      <c r="P548" s="1"/>
      <c r="Q548" s="1"/>
      <c r="R548" s="1"/>
      <c r="S548" s="1"/>
      <c r="T548" s="1"/>
      <c r="U548" s="1"/>
      <c r="V548" s="9"/>
      <c r="W548" s="3"/>
      <c r="X548" s="4"/>
      <c r="Y548" s="1"/>
      <c r="Z548" s="1"/>
      <c r="AA548" s="1"/>
      <c r="AB548" s="1"/>
      <c r="AC548" s="1"/>
      <c r="AD548" s="3"/>
      <c r="AE548" s="3"/>
      <c r="AF548" s="5"/>
      <c r="AG548" s="5"/>
      <c r="AH548" s="5"/>
      <c r="AI548" s="5"/>
      <c r="AJ548" s="6"/>
      <c r="AK548" s="6"/>
      <c r="AL548" s="12"/>
      <c r="AM548" s="12"/>
      <c r="AN548" s="12"/>
      <c r="AO548" s="12"/>
      <c r="AP548" s="12"/>
    </row>
    <row r="549" spans="1:42" ht="15" x14ac:dyDescent="0.25">
      <c r="A549" s="82" t="str">
        <f>TDCTRIBE!I557</f>
        <v>Southwest</v>
      </c>
      <c r="B549" s="82" t="str">
        <f>TDCTRIBE!B557</f>
        <v>CA</v>
      </c>
      <c r="C549" s="82" t="str">
        <f>TDCTRIBE!F557</f>
        <v>Sherwood Valley Rancheria</v>
      </c>
      <c r="D549" s="83">
        <f>TDCTRIBE!Y557</f>
        <v>395085.74952000001</v>
      </c>
      <c r="E549" s="83">
        <f>TDCTRIBE!Z557</f>
        <v>436243.09877399995</v>
      </c>
      <c r="F549" s="83">
        <f>TDCTRIBE!AA557</f>
        <v>493965.14852300007</v>
      </c>
      <c r="G549" s="83">
        <f>TDCTRIBE!AB557</f>
        <v>534802.97267599998</v>
      </c>
      <c r="H549" s="83">
        <f>TDCTRIBE!AC557</f>
        <v>576488.42238400003</v>
      </c>
      <c r="O549" s="9"/>
      <c r="P549" s="1"/>
      <c r="Q549" s="1"/>
      <c r="R549" s="1"/>
      <c r="S549" s="1"/>
      <c r="T549" s="1"/>
      <c r="U549" s="1"/>
      <c r="V549" s="9"/>
      <c r="W549" s="3"/>
      <c r="X549" s="4"/>
      <c r="Y549" s="1"/>
      <c r="Z549" s="1"/>
      <c r="AA549" s="1"/>
      <c r="AB549" s="1"/>
      <c r="AC549" s="1"/>
      <c r="AD549" s="3"/>
      <c r="AE549" s="3"/>
      <c r="AF549" s="5"/>
      <c r="AG549" s="5"/>
      <c r="AH549" s="5"/>
      <c r="AI549" s="5"/>
      <c r="AJ549" s="6"/>
      <c r="AK549" s="6"/>
      <c r="AL549" s="12"/>
      <c r="AM549" s="12"/>
      <c r="AN549" s="12"/>
      <c r="AO549" s="12"/>
      <c r="AP549" s="12"/>
    </row>
    <row r="550" spans="1:42" ht="15" x14ac:dyDescent="0.25">
      <c r="A550" s="82" t="str">
        <f>TDCTRIBE!I558</f>
        <v>Southwest</v>
      </c>
      <c r="B550" s="82" t="str">
        <f>TDCTRIBE!B558</f>
        <v>CA</v>
      </c>
      <c r="C550" s="82" t="str">
        <f>TDCTRIBE!F558</f>
        <v>Shingle Springs Rancheria</v>
      </c>
      <c r="D550" s="83">
        <f>TDCTRIBE!Y558</f>
        <v>390057.86126999999</v>
      </c>
      <c r="E550" s="83">
        <f>TDCTRIBE!Z558</f>
        <v>430765.891374</v>
      </c>
      <c r="F550" s="83">
        <f>TDCTRIBE!AA558</f>
        <v>487874.07122300001</v>
      </c>
      <c r="G550" s="83">
        <f>TDCTRIBE!AB558</f>
        <v>528268.88882599992</v>
      </c>
      <c r="H550" s="83">
        <f>TDCTRIBE!AC558</f>
        <v>569455.64523400005</v>
      </c>
      <c r="O550" s="9"/>
      <c r="P550" s="1"/>
      <c r="Q550" s="1"/>
      <c r="R550" s="1"/>
      <c r="S550" s="1"/>
      <c r="T550" s="1"/>
      <c r="U550" s="1"/>
      <c r="V550" s="9"/>
      <c r="W550" s="3"/>
      <c r="X550" s="4"/>
      <c r="Y550" s="1"/>
      <c r="Z550" s="1"/>
      <c r="AA550" s="1"/>
      <c r="AB550" s="1"/>
      <c r="AC550" s="1"/>
      <c r="AD550" s="3"/>
      <c r="AE550" s="3"/>
      <c r="AF550" s="5"/>
      <c r="AG550" s="5"/>
      <c r="AH550" s="5"/>
      <c r="AI550" s="5"/>
      <c r="AJ550" s="6"/>
      <c r="AK550" s="6"/>
      <c r="AL550" s="12"/>
      <c r="AM550" s="12"/>
      <c r="AN550" s="12"/>
      <c r="AO550" s="12"/>
      <c r="AP550" s="12"/>
    </row>
    <row r="551" spans="1:42" ht="15" x14ac:dyDescent="0.25">
      <c r="A551" s="82" t="str">
        <f>TDCTRIBE!I559</f>
        <v>Southwest</v>
      </c>
      <c r="B551" s="82" t="str">
        <f>TDCTRIBE!B559</f>
        <v>CA</v>
      </c>
      <c r="C551" s="82" t="str">
        <f>TDCTRIBE!F559</f>
        <v>Smith River Rancheria</v>
      </c>
      <c r="D551" s="83">
        <f>TDCTRIBE!Y559</f>
        <v>390057.86126999999</v>
      </c>
      <c r="E551" s="83">
        <f>TDCTRIBE!Z559</f>
        <v>430765.891374</v>
      </c>
      <c r="F551" s="83">
        <f>TDCTRIBE!AA559</f>
        <v>487874.07122300001</v>
      </c>
      <c r="G551" s="83">
        <f>TDCTRIBE!AB559</f>
        <v>528268.88882599992</v>
      </c>
      <c r="H551" s="83">
        <f>TDCTRIBE!AC559</f>
        <v>569455.64523400005</v>
      </c>
      <c r="O551" s="9"/>
      <c r="P551" s="1"/>
      <c r="Q551" s="1"/>
      <c r="R551" s="1"/>
      <c r="S551" s="1"/>
      <c r="T551" s="1"/>
      <c r="U551" s="1"/>
      <c r="V551" s="9"/>
      <c r="W551" s="3"/>
      <c r="X551" s="4"/>
      <c r="Y551" s="1"/>
      <c r="Z551" s="1"/>
      <c r="AA551" s="1"/>
      <c r="AB551" s="1"/>
      <c r="AC551" s="1"/>
      <c r="AD551" s="3"/>
      <c r="AE551" s="3"/>
      <c r="AF551" s="5"/>
      <c r="AG551" s="5"/>
      <c r="AH551" s="5"/>
      <c r="AI551" s="5"/>
      <c r="AJ551" s="6"/>
      <c r="AK551" s="6"/>
      <c r="AL551" s="12"/>
      <c r="AM551" s="12"/>
      <c r="AN551" s="12"/>
      <c r="AO551" s="12"/>
      <c r="AP551" s="12"/>
    </row>
    <row r="552" spans="1:42" ht="15" x14ac:dyDescent="0.25">
      <c r="A552" s="82" t="str">
        <f>TDCTRIBE!I560</f>
        <v>Southwest</v>
      </c>
      <c r="B552" s="82" t="str">
        <f>TDCTRIBE!B560</f>
        <v>CA</v>
      </c>
      <c r="C552" s="82" t="str">
        <f>TDCTRIBE!F560</f>
        <v>Soboba Band</v>
      </c>
      <c r="D552" s="83">
        <f>TDCTRIBE!Y560</f>
        <v>354008.25326999993</v>
      </c>
      <c r="E552" s="83">
        <f>TDCTRIBE!Z560</f>
        <v>392429.30987399997</v>
      </c>
      <c r="F552" s="83">
        <f>TDCTRIBE!AA560</f>
        <v>445001.55499800004</v>
      </c>
      <c r="G552" s="83">
        <f>TDCTRIBE!AB560</f>
        <v>480482.85717599996</v>
      </c>
      <c r="H552" s="83">
        <f>TDCTRIBE!AC560</f>
        <v>518121.54878399998</v>
      </c>
      <c r="O552" s="9"/>
      <c r="P552" s="1"/>
      <c r="Q552" s="1"/>
      <c r="R552" s="1"/>
      <c r="S552" s="1"/>
      <c r="T552" s="1"/>
      <c r="U552" s="1"/>
      <c r="V552" s="9"/>
      <c r="W552" s="3"/>
      <c r="X552" s="4"/>
      <c r="Y552" s="1"/>
      <c r="Z552" s="1"/>
      <c r="AA552" s="1"/>
      <c r="AB552" s="1"/>
      <c r="AC552" s="1"/>
      <c r="AD552" s="3"/>
      <c r="AE552" s="3"/>
      <c r="AF552" s="5"/>
      <c r="AG552" s="5"/>
      <c r="AH552" s="5"/>
      <c r="AI552" s="5"/>
      <c r="AJ552" s="6"/>
      <c r="AK552" s="6"/>
      <c r="AL552" s="12"/>
      <c r="AM552" s="12"/>
      <c r="AN552" s="12"/>
      <c r="AO552" s="12"/>
      <c r="AP552" s="12"/>
    </row>
    <row r="553" spans="1:42" ht="15" x14ac:dyDescent="0.25">
      <c r="A553" s="82" t="str">
        <f>TDCTRIBE!I561</f>
        <v>Southwest</v>
      </c>
      <c r="B553" s="82" t="str">
        <f>TDCTRIBE!B561</f>
        <v>CA</v>
      </c>
      <c r="C553" s="82" t="str">
        <f>TDCTRIBE!F561</f>
        <v>Stewarts Point Rancheria</v>
      </c>
      <c r="D553" s="83">
        <f>TDCTRIBE!Y561</f>
        <v>399567.02362500003</v>
      </c>
      <c r="E553" s="83">
        <f>TDCTRIBE!Z561</f>
        <v>441268.704975</v>
      </c>
      <c r="F553" s="83">
        <f>TDCTRIBE!AA561</f>
        <v>499771.12088750006</v>
      </c>
      <c r="G553" s="83">
        <f>TDCTRIBE!AB561</f>
        <v>541151.99127499992</v>
      </c>
      <c r="H553" s="83">
        <f>TDCTRIBE!AC561</f>
        <v>583343.36147500016</v>
      </c>
      <c r="O553" s="9"/>
      <c r="P553" s="1"/>
      <c r="Q553" s="1"/>
      <c r="R553" s="1"/>
      <c r="S553" s="1"/>
      <c r="T553" s="1"/>
      <c r="U553" s="1"/>
      <c r="V553" s="9"/>
      <c r="W553" s="3"/>
      <c r="X553" s="4"/>
      <c r="Y553" s="1"/>
      <c r="Z553" s="1"/>
      <c r="AA553" s="1"/>
      <c r="AB553" s="1"/>
      <c r="AC553" s="1"/>
      <c r="AD553" s="3"/>
      <c r="AE553" s="3"/>
      <c r="AF553" s="5"/>
      <c r="AG553" s="5"/>
      <c r="AH553" s="5"/>
      <c r="AI553" s="5"/>
      <c r="AJ553" s="6"/>
      <c r="AK553" s="6"/>
      <c r="AL553" s="12"/>
      <c r="AM553" s="12"/>
      <c r="AN553" s="12"/>
      <c r="AO553" s="12"/>
      <c r="AP553" s="12"/>
    </row>
    <row r="554" spans="1:42" ht="15" x14ac:dyDescent="0.25">
      <c r="A554" s="82" t="str">
        <f>TDCTRIBE!I562</f>
        <v>Southwest</v>
      </c>
      <c r="B554" s="82" t="str">
        <f>TDCTRIBE!B562</f>
        <v>CA</v>
      </c>
      <c r="C554" s="82" t="str">
        <f>TDCTRIBE!F562</f>
        <v>Sulphur Bank Rancheria</v>
      </c>
      <c r="D554" s="83">
        <f>TDCTRIBE!Y562</f>
        <v>395085.74952000001</v>
      </c>
      <c r="E554" s="83">
        <f>TDCTRIBE!Z562</f>
        <v>436243.09877399995</v>
      </c>
      <c r="F554" s="83">
        <f>TDCTRIBE!AA562</f>
        <v>493965.14852300007</v>
      </c>
      <c r="G554" s="83">
        <f>TDCTRIBE!AB562</f>
        <v>534802.97267599998</v>
      </c>
      <c r="H554" s="83">
        <f>TDCTRIBE!AC562</f>
        <v>576488.42238400003</v>
      </c>
      <c r="O554" s="9"/>
      <c r="P554" s="1"/>
      <c r="Q554" s="1"/>
      <c r="R554" s="1"/>
      <c r="S554" s="1"/>
      <c r="T554" s="1"/>
      <c r="U554" s="1"/>
      <c r="V554" s="9"/>
      <c r="W554" s="3"/>
      <c r="X554" s="4"/>
      <c r="Y554" s="1"/>
      <c r="Z554" s="1"/>
      <c r="AA554" s="1"/>
      <c r="AB554" s="1"/>
      <c r="AC554" s="1"/>
      <c r="AD554" s="3"/>
      <c r="AE554" s="3"/>
      <c r="AF554" s="5"/>
      <c r="AG554" s="5"/>
      <c r="AH554" s="5"/>
      <c r="AI554" s="5"/>
      <c r="AJ554" s="6"/>
      <c r="AK554" s="6"/>
      <c r="AL554" s="12"/>
      <c r="AM554" s="12"/>
      <c r="AN554" s="12"/>
      <c r="AO554" s="12"/>
      <c r="AP554" s="12"/>
    </row>
    <row r="555" spans="1:42" ht="15" x14ac:dyDescent="0.25">
      <c r="A555" s="82" t="str">
        <f>TDCTRIBE!I563</f>
        <v>Southwest</v>
      </c>
      <c r="B555" s="82" t="str">
        <f>TDCTRIBE!B563</f>
        <v>CA</v>
      </c>
      <c r="C555" s="82" t="str">
        <f>TDCTRIBE!F563</f>
        <v>Susanville Rancheria</v>
      </c>
      <c r="D555" s="83">
        <f>TDCTRIBE!Y563</f>
        <v>382589.07109500002</v>
      </c>
      <c r="E555" s="83">
        <f>TDCTRIBE!Z563</f>
        <v>422389.88103899994</v>
      </c>
      <c r="F555" s="83">
        <f>TDCTRIBE!AA563</f>
        <v>478197.45061550004</v>
      </c>
      <c r="G555" s="83">
        <f>TDCTRIBE!AB563</f>
        <v>517687.19116099994</v>
      </c>
      <c r="H555" s="83">
        <f>TDCTRIBE!AC563</f>
        <v>558030.74674900004</v>
      </c>
      <c r="O555" s="9"/>
      <c r="P555" s="1"/>
      <c r="Q555" s="1"/>
      <c r="R555" s="1"/>
      <c r="S555" s="1"/>
      <c r="T555" s="1"/>
      <c r="U555" s="1"/>
      <c r="V555" s="9"/>
      <c r="W555" s="3"/>
      <c r="X555" s="4"/>
      <c r="Y555" s="1"/>
      <c r="Z555" s="1"/>
      <c r="AA555" s="1"/>
      <c r="AB555" s="1"/>
      <c r="AC555" s="1"/>
      <c r="AD555" s="3"/>
      <c r="AE555" s="3"/>
      <c r="AF555" s="5"/>
      <c r="AG555" s="5"/>
      <c r="AH555" s="5"/>
      <c r="AI555" s="5"/>
      <c r="AJ555" s="6"/>
      <c r="AK555" s="6"/>
      <c r="AL555" s="12"/>
      <c r="AM555" s="12"/>
      <c r="AN555" s="12"/>
      <c r="AO555" s="12"/>
      <c r="AP555" s="12"/>
    </row>
    <row r="556" spans="1:42" ht="15" x14ac:dyDescent="0.25">
      <c r="A556" s="82" t="str">
        <f>TDCTRIBE!I564</f>
        <v>Southwest</v>
      </c>
      <c r="B556" s="82" t="str">
        <f>TDCTRIBE!B564</f>
        <v>CA</v>
      </c>
      <c r="C556" s="82" t="str">
        <f>TDCTRIBE!F564</f>
        <v>Sycuan Band</v>
      </c>
      <c r="D556" s="83">
        <f>TDCTRIBE!Y564</f>
        <v>340558.31309499999</v>
      </c>
      <c r="E556" s="83">
        <f>TDCTRIBE!Z564</f>
        <v>377504.28923900001</v>
      </c>
      <c r="F556" s="83">
        <f>TDCTRIBE!AA564</f>
        <v>428052.34695300006</v>
      </c>
      <c r="G556" s="83">
        <f>TDCTRIBE!AB564</f>
        <v>462168.18863599998</v>
      </c>
      <c r="H556" s="83">
        <f>TDCTRIBE!AC564</f>
        <v>498370.60442400002</v>
      </c>
      <c r="O556" s="9"/>
      <c r="P556" s="1"/>
      <c r="Q556" s="1"/>
      <c r="R556" s="1"/>
      <c r="S556" s="1"/>
      <c r="T556" s="1"/>
      <c r="U556" s="1"/>
      <c r="V556" s="9"/>
      <c r="W556" s="3"/>
      <c r="X556" s="4"/>
      <c r="Y556" s="1"/>
      <c r="Z556" s="1"/>
      <c r="AA556" s="1"/>
      <c r="AB556" s="1"/>
      <c r="AC556" s="1"/>
      <c r="AD556" s="3"/>
      <c r="AE556" s="3"/>
      <c r="AF556" s="5"/>
      <c r="AG556" s="5"/>
      <c r="AH556" s="5"/>
      <c r="AI556" s="5"/>
      <c r="AJ556" s="6"/>
      <c r="AK556" s="6"/>
      <c r="AL556" s="12"/>
      <c r="AM556" s="12"/>
      <c r="AN556" s="12"/>
      <c r="AO556" s="12"/>
      <c r="AP556" s="12"/>
    </row>
    <row r="557" spans="1:42" ht="15" x14ac:dyDescent="0.25">
      <c r="A557" s="82" t="str">
        <f>TDCTRIBE!I565</f>
        <v>Southwest</v>
      </c>
      <c r="B557" s="82" t="str">
        <f>TDCTRIBE!B565</f>
        <v>CA</v>
      </c>
      <c r="C557" s="82" t="str">
        <f>TDCTRIBE!F565</f>
        <v>Table Bluff Rancheria</v>
      </c>
      <c r="D557" s="83">
        <f>TDCTRIBE!Y565</f>
        <v>396032.89341000002</v>
      </c>
      <c r="E557" s="83">
        <f>TDCTRIBE!Z565</f>
        <v>437466.69964199996</v>
      </c>
      <c r="F557" s="83">
        <f>TDCTRIBE!AA565</f>
        <v>495615.36770900013</v>
      </c>
      <c r="G557" s="83">
        <f>TDCTRIBE!AB565</f>
        <v>536734.24695800012</v>
      </c>
      <c r="H557" s="83">
        <f>TDCTRIBE!AC565</f>
        <v>578595.56402199995</v>
      </c>
      <c r="O557" s="9"/>
      <c r="P557" s="1"/>
      <c r="Q557" s="1"/>
      <c r="R557" s="1"/>
      <c r="S557" s="1"/>
      <c r="T557" s="1"/>
      <c r="U557" s="1"/>
      <c r="V557" s="9"/>
      <c r="W557" s="3"/>
      <c r="X557" s="4"/>
      <c r="Y557" s="1"/>
      <c r="Z557" s="1"/>
      <c r="AA557" s="1"/>
      <c r="AB557" s="1"/>
      <c r="AC557" s="1"/>
      <c r="AD557" s="3"/>
      <c r="AE557" s="3"/>
      <c r="AF557" s="5"/>
      <c r="AG557" s="5"/>
      <c r="AH557" s="5"/>
      <c r="AI557" s="5"/>
      <c r="AJ557" s="6"/>
      <c r="AK557" s="6"/>
      <c r="AL557" s="12"/>
      <c r="AM557" s="12"/>
      <c r="AN557" s="12"/>
      <c r="AO557" s="12"/>
      <c r="AP557" s="12"/>
    </row>
    <row r="558" spans="1:42" ht="15" x14ac:dyDescent="0.25">
      <c r="A558" s="82" t="str">
        <f>TDCTRIBE!I566</f>
        <v>Southwest</v>
      </c>
      <c r="B558" s="82" t="str">
        <f>TDCTRIBE!B566</f>
        <v>CA</v>
      </c>
      <c r="C558" s="82" t="str">
        <f>TDCTRIBE!F566</f>
        <v>Table Mountain Rancheria</v>
      </c>
      <c r="D558" s="83">
        <f>TDCTRIBE!Y566</f>
        <v>391769.94433500001</v>
      </c>
      <c r="E558" s="83">
        <f>TDCTRIBE!Z566</f>
        <v>433062.55937699997</v>
      </c>
      <c r="F558" s="83">
        <f>TDCTRIBE!AA566</f>
        <v>491079.47461650008</v>
      </c>
      <c r="G558" s="83">
        <f>TDCTRIBE!AB566</f>
        <v>532069.74897299998</v>
      </c>
      <c r="H558" s="83">
        <f>TDCTRIBE!AC566</f>
        <v>573610.64915700001</v>
      </c>
      <c r="O558" s="9"/>
      <c r="P558" s="1"/>
      <c r="Q558" s="1"/>
      <c r="R558" s="1"/>
      <c r="S558" s="1"/>
      <c r="T558" s="1"/>
      <c r="U558" s="1"/>
      <c r="V558" s="9"/>
      <c r="W558" s="3"/>
      <c r="X558" s="4"/>
      <c r="Y558" s="1"/>
      <c r="Z558" s="1"/>
      <c r="AA558" s="1"/>
      <c r="AB558" s="1"/>
      <c r="AC558" s="1"/>
      <c r="AD558" s="3"/>
      <c r="AE558" s="3"/>
      <c r="AF558" s="5"/>
      <c r="AG558" s="5"/>
      <c r="AH558" s="5"/>
      <c r="AI558" s="5"/>
      <c r="AJ558" s="6"/>
      <c r="AK558" s="6"/>
      <c r="AL558" s="12"/>
      <c r="AM558" s="12"/>
      <c r="AN558" s="12"/>
      <c r="AO558" s="12"/>
      <c r="AP558" s="12"/>
    </row>
    <row r="559" spans="1:42" ht="15" x14ac:dyDescent="0.25">
      <c r="A559" s="82" t="s">
        <v>322</v>
      </c>
      <c r="B559" s="82" t="s">
        <v>421</v>
      </c>
      <c r="C559" s="82" t="str">
        <f>TDCTRIBE!F567</f>
        <v>Tejon Tribe</v>
      </c>
      <c r="D559" s="83">
        <f>TDCTRIBE!Y567</f>
        <v>350858.28826999996</v>
      </c>
      <c r="E559" s="83">
        <f>TDCTRIBE!Z567</f>
        <v>388983.11397400004</v>
      </c>
      <c r="F559" s="83">
        <f>TDCTRIBE!AA567</f>
        <v>441167.30149800004</v>
      </c>
      <c r="G559" s="83">
        <f>TDCTRIBE!AB567</f>
        <v>476384.69317600003</v>
      </c>
      <c r="H559" s="83">
        <f>TDCTRIBE!AC567</f>
        <v>513707.09678400005</v>
      </c>
      <c r="O559" s="9"/>
      <c r="P559" s="1"/>
      <c r="Q559" s="1"/>
      <c r="R559" s="1"/>
      <c r="S559" s="1"/>
      <c r="T559" s="1"/>
      <c r="U559" s="1"/>
      <c r="V559" s="9"/>
      <c r="W559" s="3"/>
      <c r="X559" s="4"/>
      <c r="Y559" s="1"/>
      <c r="Z559" s="1"/>
      <c r="AA559" s="1"/>
      <c r="AB559" s="1"/>
      <c r="AC559" s="1"/>
      <c r="AD559" s="3"/>
      <c r="AE559" s="3"/>
      <c r="AF559" s="5"/>
      <c r="AG559" s="5"/>
      <c r="AH559" s="5"/>
      <c r="AI559" s="5"/>
      <c r="AJ559" s="6"/>
      <c r="AK559" s="6"/>
      <c r="AL559" s="12"/>
      <c r="AM559" s="12"/>
      <c r="AN559" s="12"/>
      <c r="AO559" s="12"/>
      <c r="AP559" s="12"/>
    </row>
    <row r="560" spans="1:42" ht="15" x14ac:dyDescent="0.25">
      <c r="A560" s="82" t="str">
        <f>TDCTRIBE!I568</f>
        <v>Southwest</v>
      </c>
      <c r="B560" s="82" t="str">
        <f>TDCTRIBE!B568</f>
        <v>CA</v>
      </c>
      <c r="C560" s="82" t="str">
        <f>TDCTRIBE!F568</f>
        <v>Torres-Martinez Band of Cahuilla</v>
      </c>
      <c r="D560" s="83">
        <f>TDCTRIBE!Y568</f>
        <v>350858.28826999996</v>
      </c>
      <c r="E560" s="83">
        <f>TDCTRIBE!Z568</f>
        <v>388983.11397400004</v>
      </c>
      <c r="F560" s="83">
        <f>TDCTRIBE!AA568</f>
        <v>441167.30149800004</v>
      </c>
      <c r="G560" s="83">
        <f>TDCTRIBE!AB568</f>
        <v>476384.69317600003</v>
      </c>
      <c r="H560" s="83">
        <f>TDCTRIBE!AC568</f>
        <v>513707.09678400005</v>
      </c>
      <c r="O560" s="9"/>
      <c r="P560" s="1"/>
      <c r="Q560" s="1"/>
      <c r="R560" s="1"/>
      <c r="S560" s="1"/>
      <c r="T560" s="1"/>
      <c r="U560" s="1"/>
      <c r="V560" s="9"/>
      <c r="W560" s="3"/>
      <c r="X560" s="4"/>
      <c r="Y560" s="1"/>
      <c r="Z560" s="1"/>
      <c r="AA560" s="1"/>
      <c r="AB560" s="1"/>
      <c r="AC560" s="1"/>
      <c r="AD560" s="3"/>
      <c r="AE560" s="3"/>
      <c r="AF560" s="5"/>
      <c r="AG560" s="5"/>
      <c r="AH560" s="5"/>
      <c r="AI560" s="5"/>
      <c r="AJ560" s="6"/>
      <c r="AK560" s="6"/>
      <c r="AL560" s="12"/>
      <c r="AM560" s="12"/>
      <c r="AN560" s="12"/>
      <c r="AO560" s="12"/>
      <c r="AP560" s="12"/>
    </row>
    <row r="561" spans="1:42" ht="15" x14ac:dyDescent="0.25">
      <c r="A561" s="82" t="str">
        <f>TDCTRIBE!I569</f>
        <v>Southwest</v>
      </c>
      <c r="B561" s="82" t="str">
        <f>TDCTRIBE!B569</f>
        <v>CA</v>
      </c>
      <c r="C561" s="82" t="str">
        <f>TDCTRIBE!F569</f>
        <v>Trinidad Rancheria</v>
      </c>
      <c r="D561" s="83">
        <f>TDCTRIBE!Y569</f>
        <v>396032.89341000002</v>
      </c>
      <c r="E561" s="83">
        <f>TDCTRIBE!Z569</f>
        <v>437466.69964199996</v>
      </c>
      <c r="F561" s="83">
        <f>TDCTRIBE!AA569</f>
        <v>495615.36770900013</v>
      </c>
      <c r="G561" s="83">
        <f>TDCTRIBE!AB569</f>
        <v>536734.24695800012</v>
      </c>
      <c r="H561" s="83">
        <f>TDCTRIBE!AC569</f>
        <v>578595.56402199995</v>
      </c>
      <c r="O561" s="9"/>
      <c r="P561" s="1"/>
      <c r="Q561" s="1"/>
      <c r="R561" s="1"/>
      <c r="S561" s="1"/>
      <c r="T561" s="1"/>
      <c r="U561" s="1"/>
      <c r="V561" s="9"/>
      <c r="W561" s="3"/>
      <c r="X561" s="4"/>
      <c r="Y561" s="1"/>
      <c r="Z561" s="1"/>
      <c r="AA561" s="1"/>
      <c r="AB561" s="1"/>
      <c r="AC561" s="1"/>
      <c r="AD561" s="3"/>
      <c r="AE561" s="3"/>
      <c r="AF561" s="5"/>
      <c r="AG561" s="5"/>
      <c r="AH561" s="5"/>
      <c r="AI561" s="5"/>
      <c r="AJ561" s="6"/>
      <c r="AK561" s="6"/>
      <c r="AL561" s="12"/>
      <c r="AM561" s="12"/>
      <c r="AN561" s="12"/>
      <c r="AO561" s="12"/>
      <c r="AP561" s="12"/>
    </row>
    <row r="562" spans="1:42" ht="15" x14ac:dyDescent="0.25">
      <c r="A562" s="82" t="str">
        <f>TDCTRIBE!I570</f>
        <v>Southwest</v>
      </c>
      <c r="B562" s="82" t="str">
        <f>TDCTRIBE!B570</f>
        <v>CA</v>
      </c>
      <c r="C562" s="82" t="str">
        <f>TDCTRIBE!F570</f>
        <v>Tule River Indian Tribe</v>
      </c>
      <c r="D562" s="83">
        <f>TDCTRIBE!Y570</f>
        <v>383390.13058500004</v>
      </c>
      <c r="E562" s="83">
        <f>TDCTRIBE!Z570</f>
        <v>423933.88037699996</v>
      </c>
      <c r="F562" s="83">
        <f>TDCTRIBE!AA570</f>
        <v>480927.67911650013</v>
      </c>
      <c r="G562" s="83">
        <f>TDCTRIBE!AB570</f>
        <v>521179.60922300006</v>
      </c>
      <c r="H562" s="83">
        <f>TDCTRIBE!AC570</f>
        <v>561889.35390700004</v>
      </c>
      <c r="O562" s="9"/>
      <c r="P562" s="1"/>
      <c r="Q562" s="1"/>
      <c r="R562" s="1"/>
      <c r="S562" s="1"/>
      <c r="T562" s="1"/>
      <c r="U562" s="1"/>
      <c r="V562" s="9"/>
      <c r="W562" s="3"/>
      <c r="X562" s="4"/>
      <c r="Y562" s="1"/>
      <c r="Z562" s="1"/>
      <c r="AA562" s="1"/>
      <c r="AB562" s="1"/>
      <c r="AC562" s="1"/>
      <c r="AD562" s="3"/>
      <c r="AE562" s="3"/>
      <c r="AF562" s="5"/>
      <c r="AG562" s="5"/>
      <c r="AH562" s="5"/>
      <c r="AI562" s="5"/>
      <c r="AJ562" s="6"/>
      <c r="AK562" s="6"/>
      <c r="AL562" s="12"/>
      <c r="AM562" s="12"/>
      <c r="AN562" s="12"/>
      <c r="AO562" s="12"/>
      <c r="AP562" s="12"/>
    </row>
    <row r="563" spans="1:42" ht="15" x14ac:dyDescent="0.25">
      <c r="A563" s="82" t="str">
        <f>TDCTRIBE!I571</f>
        <v>Southwest</v>
      </c>
      <c r="B563" s="82" t="str">
        <f>TDCTRIBE!B571</f>
        <v>CA</v>
      </c>
      <c r="C563" s="82" t="str">
        <f>TDCTRIBE!F571</f>
        <v>Tulomne Rancheria</v>
      </c>
      <c r="D563" s="83">
        <f>TDCTRIBE!Y571</f>
        <v>380002.08476999996</v>
      </c>
      <c r="E563" s="83">
        <f>TDCTRIBE!Z571</f>
        <v>419811.47657399997</v>
      </c>
      <c r="F563" s="83">
        <f>TDCTRIBE!AA571</f>
        <v>475691.91662300006</v>
      </c>
      <c r="G563" s="83">
        <f>TDCTRIBE!AB571</f>
        <v>515200.72112599993</v>
      </c>
      <c r="H563" s="83">
        <f>TDCTRIBE!AC571</f>
        <v>555390.09093399998</v>
      </c>
      <c r="O563" s="9"/>
      <c r="P563" s="1"/>
      <c r="Q563" s="1"/>
      <c r="R563" s="1"/>
      <c r="S563" s="1"/>
      <c r="T563" s="1"/>
      <c r="U563" s="1"/>
      <c r="V563" s="9"/>
      <c r="W563" s="3"/>
      <c r="X563" s="4"/>
      <c r="Y563" s="1"/>
      <c r="Z563" s="1"/>
      <c r="AA563" s="1"/>
      <c r="AB563" s="1"/>
      <c r="AC563" s="1"/>
      <c r="AD563" s="3"/>
      <c r="AE563" s="3"/>
      <c r="AF563" s="5"/>
      <c r="AG563" s="5"/>
      <c r="AH563" s="5"/>
      <c r="AI563" s="5"/>
      <c r="AJ563" s="6"/>
      <c r="AK563" s="6"/>
      <c r="AL563" s="12"/>
      <c r="AM563" s="12"/>
      <c r="AN563" s="12"/>
      <c r="AO563" s="12"/>
      <c r="AP563" s="12"/>
    </row>
    <row r="564" spans="1:42" ht="15" x14ac:dyDescent="0.25">
      <c r="A564" s="82" t="str">
        <f>TDCTRIBE!I572</f>
        <v>Southwest</v>
      </c>
      <c r="B564" s="82" t="str">
        <f>TDCTRIBE!B572</f>
        <v>CA</v>
      </c>
      <c r="C564" s="82" t="str">
        <f>TDCTRIBE!F572</f>
        <v>Twenty Nine Palms Band</v>
      </c>
      <c r="D564" s="83">
        <f>TDCTRIBE!Y572</f>
        <v>352433.27076999994</v>
      </c>
      <c r="E564" s="83">
        <f>TDCTRIBE!Z572</f>
        <v>390706.21192399994</v>
      </c>
      <c r="F564" s="83">
        <f>TDCTRIBE!AA572</f>
        <v>443084.42824800004</v>
      </c>
      <c r="G564" s="83">
        <f>TDCTRIBE!AB572</f>
        <v>478433.77517599997</v>
      </c>
      <c r="H564" s="83">
        <f>TDCTRIBE!AC572</f>
        <v>515914.32278399996</v>
      </c>
      <c r="O564" s="9"/>
      <c r="P564" s="1"/>
      <c r="Q564" s="1"/>
      <c r="R564" s="1"/>
      <c r="S564" s="1"/>
      <c r="T564" s="1"/>
      <c r="U564" s="1"/>
      <c r="V564" s="9"/>
      <c r="W564" s="3"/>
      <c r="X564" s="4"/>
      <c r="Y564" s="1"/>
      <c r="Z564" s="1"/>
      <c r="AA564" s="1"/>
      <c r="AB564" s="1"/>
      <c r="AC564" s="1"/>
      <c r="AD564" s="3"/>
      <c r="AE564" s="3"/>
      <c r="AF564" s="5"/>
      <c r="AG564" s="5"/>
      <c r="AH564" s="5"/>
      <c r="AI564" s="5"/>
      <c r="AJ564" s="6"/>
      <c r="AK564" s="6"/>
      <c r="AL564" s="12"/>
      <c r="AM564" s="12"/>
      <c r="AN564" s="12"/>
      <c r="AO564" s="12"/>
      <c r="AP564" s="12"/>
    </row>
    <row r="565" spans="1:42" ht="15" x14ac:dyDescent="0.25">
      <c r="A565" s="82" t="str">
        <f>TDCTRIBE!I573</f>
        <v>Southwest</v>
      </c>
      <c r="B565" s="82" t="str">
        <f>TDCTRIBE!B573</f>
        <v>CA</v>
      </c>
      <c r="C565" s="82" t="str">
        <f>TDCTRIBE!F573</f>
        <v>Upper Lake Rancheria</v>
      </c>
      <c r="D565" s="83">
        <f>TDCTRIBE!Y573</f>
        <v>395085.74952000001</v>
      </c>
      <c r="E565" s="83">
        <f>TDCTRIBE!Z573</f>
        <v>436243.09877399995</v>
      </c>
      <c r="F565" s="83">
        <f>TDCTRIBE!AA573</f>
        <v>493965.14852300007</v>
      </c>
      <c r="G565" s="83">
        <f>TDCTRIBE!AB573</f>
        <v>534802.97267599998</v>
      </c>
      <c r="H565" s="83">
        <f>TDCTRIBE!AC573</f>
        <v>576488.42238400003</v>
      </c>
      <c r="O565" s="9"/>
      <c r="P565" s="1"/>
      <c r="Q565" s="1"/>
      <c r="R565" s="1"/>
      <c r="S565" s="1"/>
      <c r="T565" s="1"/>
      <c r="U565" s="1"/>
      <c r="V565" s="9"/>
      <c r="W565" s="3"/>
      <c r="X565" s="4"/>
      <c r="Y565" s="1"/>
      <c r="Z565" s="1"/>
      <c r="AA565" s="1"/>
      <c r="AB565" s="1"/>
      <c r="AC565" s="1"/>
      <c r="AD565" s="3"/>
      <c r="AE565" s="3"/>
      <c r="AF565" s="5"/>
      <c r="AG565" s="5"/>
      <c r="AH565" s="5"/>
      <c r="AI565" s="5"/>
      <c r="AJ565" s="6"/>
      <c r="AK565" s="6"/>
      <c r="AL565" s="12"/>
      <c r="AM565" s="12"/>
      <c r="AN565" s="12"/>
      <c r="AO565" s="12"/>
      <c r="AP565" s="12"/>
    </row>
    <row r="566" spans="1:42" ht="15" x14ac:dyDescent="0.25">
      <c r="A566" s="82" t="str">
        <f>TDCTRIBE!I574</f>
        <v>Southwest</v>
      </c>
      <c r="B566" s="82" t="str">
        <f>TDCTRIBE!B574</f>
        <v>CA</v>
      </c>
      <c r="C566" s="82" t="str">
        <f>TDCTRIBE!F574</f>
        <v>Utu Utu Gwaiti Paiute</v>
      </c>
      <c r="D566" s="83">
        <f>TDCTRIBE!Y574</f>
        <v>371622.27102000004</v>
      </c>
      <c r="E566" s="83">
        <f>TDCTRIBE!Z574</f>
        <v>410682.79757399991</v>
      </c>
      <c r="F566" s="83">
        <f>TDCTRIBE!AA574</f>
        <v>465540.12112300005</v>
      </c>
      <c r="G566" s="83">
        <f>TDCTRIBE!AB574</f>
        <v>504310.58137600002</v>
      </c>
      <c r="H566" s="83">
        <f>TDCTRIBE!AC574</f>
        <v>543668.7956839999</v>
      </c>
      <c r="O566" s="9"/>
      <c r="P566" s="1"/>
      <c r="Q566" s="1"/>
      <c r="R566" s="1"/>
      <c r="S566" s="1"/>
      <c r="T566" s="1"/>
      <c r="U566" s="1"/>
      <c r="V566" s="9"/>
      <c r="W566" s="3"/>
      <c r="X566" s="4"/>
      <c r="Y566" s="1"/>
      <c r="Z566" s="1"/>
      <c r="AA566" s="1"/>
      <c r="AB566" s="1"/>
      <c r="AC566" s="1"/>
      <c r="AD566" s="3"/>
      <c r="AE566" s="3"/>
      <c r="AF566" s="5"/>
      <c r="AG566" s="5"/>
      <c r="AH566" s="5"/>
      <c r="AI566" s="5"/>
      <c r="AJ566" s="6"/>
      <c r="AK566" s="6"/>
      <c r="AL566" s="12"/>
      <c r="AM566" s="12"/>
      <c r="AN566" s="12"/>
      <c r="AO566" s="12"/>
      <c r="AP566" s="12"/>
    </row>
    <row r="567" spans="1:42" ht="15" x14ac:dyDescent="0.25">
      <c r="A567" s="82" t="str">
        <f>TDCTRIBE!I575</f>
        <v>Southwest</v>
      </c>
      <c r="B567" s="82" t="str">
        <f>TDCTRIBE!B575</f>
        <v>CA</v>
      </c>
      <c r="C567" s="82" t="str">
        <f>TDCTRIBE!F575</f>
        <v>Viejas Group of Capitan Grande</v>
      </c>
      <c r="D567" s="83">
        <f>TDCTRIBE!Y575</f>
        <v>340558.31309499999</v>
      </c>
      <c r="E567" s="83">
        <f>TDCTRIBE!Z575</f>
        <v>377504.28923900001</v>
      </c>
      <c r="F567" s="83">
        <f>TDCTRIBE!AA575</f>
        <v>428052.34695300006</v>
      </c>
      <c r="G567" s="83">
        <f>TDCTRIBE!AB575</f>
        <v>462168.18863599998</v>
      </c>
      <c r="H567" s="83">
        <f>TDCTRIBE!AC575</f>
        <v>498370.60442400002</v>
      </c>
      <c r="O567" s="9"/>
      <c r="P567" s="1"/>
      <c r="Q567" s="1"/>
      <c r="R567" s="1"/>
      <c r="S567" s="1"/>
      <c r="T567" s="1"/>
      <c r="U567" s="1"/>
      <c r="V567" s="9"/>
      <c r="W567" s="3"/>
      <c r="X567" s="4"/>
      <c r="Y567" s="1"/>
      <c r="Z567" s="1"/>
      <c r="AA567" s="1"/>
      <c r="AB567" s="1"/>
      <c r="AC567" s="1"/>
      <c r="AD567" s="3"/>
      <c r="AE567" s="3"/>
      <c r="AF567" s="5"/>
      <c r="AG567" s="5"/>
      <c r="AH567" s="5"/>
      <c r="AI567" s="5"/>
      <c r="AJ567" s="6"/>
      <c r="AK567" s="6"/>
      <c r="AL567" s="12"/>
      <c r="AM567" s="12"/>
      <c r="AN567" s="12"/>
      <c r="AO567" s="12"/>
      <c r="AP567" s="12"/>
    </row>
    <row r="568" spans="1:42" ht="15" x14ac:dyDescent="0.25">
      <c r="A568" s="82" t="str">
        <f>TDCTRIBE!I576</f>
        <v>Southwest</v>
      </c>
      <c r="B568" s="82" t="str">
        <f>TDCTRIBE!B576</f>
        <v>CA</v>
      </c>
      <c r="C568" s="82" t="str">
        <f>TDCTRIBE!F576</f>
        <v>Wilton Rancheria</v>
      </c>
      <c r="D568" s="83">
        <f>TDCTRIBE!Y576</f>
        <v>372618.08234000002</v>
      </c>
      <c r="E568" s="83">
        <f>TDCTRIBE!Z576</f>
        <v>412873.34090799995</v>
      </c>
      <c r="F568" s="83">
        <f>TDCTRIBE!AA576</f>
        <v>467885.102916</v>
      </c>
      <c r="G568" s="83">
        <f>TDCTRIBE!AB576</f>
        <v>505021.01339199988</v>
      </c>
      <c r="H568" s="83">
        <f>TDCTRIBE!AC576</f>
        <v>544562.62492800003</v>
      </c>
      <c r="O568" s="9"/>
      <c r="P568" s="1"/>
      <c r="Q568" s="1"/>
      <c r="R568" s="1"/>
      <c r="S568" s="1"/>
      <c r="T568" s="1"/>
      <c r="U568" s="1"/>
      <c r="V568" s="9"/>
      <c r="W568" s="3"/>
      <c r="X568" s="4"/>
      <c r="Y568" s="1"/>
      <c r="Z568" s="1"/>
      <c r="AA568" s="1"/>
      <c r="AB568" s="1"/>
      <c r="AC568" s="1"/>
      <c r="AD568" s="3"/>
      <c r="AE568" s="3"/>
      <c r="AF568" s="5"/>
      <c r="AG568" s="5"/>
      <c r="AH568" s="5"/>
      <c r="AI568" s="5"/>
      <c r="AJ568" s="6"/>
      <c r="AK568" s="6"/>
      <c r="AL568" s="12"/>
      <c r="AM568" s="12"/>
      <c r="AN568" s="12"/>
      <c r="AO568" s="12"/>
      <c r="AP568" s="12"/>
    </row>
    <row r="569" spans="1:42" ht="15" x14ac:dyDescent="0.25">
      <c r="A569" s="82" t="str">
        <f>TDCTRIBE!I577</f>
        <v>Southwest</v>
      </c>
      <c r="B569" s="82" t="str">
        <f>TDCTRIBE!B577</f>
        <v>CA</v>
      </c>
      <c r="C569" s="82" t="str">
        <f>TDCTRIBE!F577</f>
        <v>Yurok Tribe</v>
      </c>
      <c r="D569" s="83">
        <f>TDCTRIBE!Y577</f>
        <v>396032.89341000002</v>
      </c>
      <c r="E569" s="83">
        <f>TDCTRIBE!Z577</f>
        <v>437466.69964199996</v>
      </c>
      <c r="F569" s="83">
        <f>TDCTRIBE!AA577</f>
        <v>495615.36770900013</v>
      </c>
      <c r="G569" s="83">
        <f>TDCTRIBE!AB577</f>
        <v>536734.24695800012</v>
      </c>
      <c r="H569" s="83">
        <f>TDCTRIBE!AC577</f>
        <v>578595.56402199995</v>
      </c>
      <c r="O569" s="9"/>
      <c r="P569" s="1"/>
      <c r="Q569" s="1"/>
      <c r="R569" s="1"/>
      <c r="S569" s="1"/>
      <c r="T569" s="1"/>
      <c r="U569" s="1"/>
      <c r="V569" s="9"/>
      <c r="W569" s="3"/>
      <c r="X569" s="4"/>
      <c r="Y569" s="1"/>
      <c r="Z569" s="1"/>
      <c r="AA569" s="1"/>
      <c r="AB569" s="1"/>
      <c r="AC569" s="1"/>
      <c r="AD569" s="3"/>
      <c r="AE569" s="3"/>
      <c r="AF569" s="5"/>
      <c r="AG569" s="5"/>
      <c r="AH569" s="5"/>
      <c r="AI569" s="5"/>
      <c r="AJ569" s="6"/>
      <c r="AK569" s="6"/>
      <c r="AL569" s="12"/>
      <c r="AM569" s="12"/>
      <c r="AN569" s="12"/>
      <c r="AO569" s="12"/>
      <c r="AP569" s="12"/>
    </row>
    <row r="570" spans="1:42" ht="15" x14ac:dyDescent="0.25">
      <c r="A570" s="82" t="str">
        <f>TDCTRIBE!I578</f>
        <v>Southwest</v>
      </c>
      <c r="B570" s="82" t="str">
        <f>TDCTRIBE!B578</f>
        <v>NM</v>
      </c>
      <c r="C570" s="82" t="str">
        <f>TDCTRIBE!F578</f>
        <v>Acoma Pueblo</v>
      </c>
      <c r="D570" s="83">
        <f>TDCTRIBE!Y578</f>
        <v>279882.57296999998</v>
      </c>
      <c r="E570" s="83">
        <f>TDCTRIBE!Z578</f>
        <v>309306.133164</v>
      </c>
      <c r="F570" s="83">
        <f>TDCTRIBE!AA578</f>
        <v>350630.34267799999</v>
      </c>
      <c r="G570" s="83">
        <f>TDCTRIBE!AB578</f>
        <v>379835.61278600001</v>
      </c>
      <c r="H570" s="83">
        <f>TDCTRIBE!AC578</f>
        <v>409480.15137400007</v>
      </c>
      <c r="O570" s="9"/>
      <c r="P570" s="1"/>
      <c r="Q570" s="1"/>
      <c r="R570" s="1"/>
      <c r="S570" s="1"/>
      <c r="T570" s="1"/>
      <c r="U570" s="1"/>
      <c r="V570" s="9"/>
      <c r="W570" s="3"/>
      <c r="X570" s="4"/>
      <c r="Y570" s="1"/>
      <c r="Z570" s="1"/>
      <c r="AA570" s="1"/>
      <c r="AB570" s="1"/>
      <c r="AC570" s="1"/>
      <c r="AD570" s="3"/>
      <c r="AE570" s="3"/>
      <c r="AF570" s="5"/>
      <c r="AG570" s="5"/>
      <c r="AH570" s="5"/>
      <c r="AI570" s="5"/>
      <c r="AJ570" s="6"/>
      <c r="AK570" s="6"/>
      <c r="AL570" s="12"/>
      <c r="AM570" s="12"/>
      <c r="AN570" s="12"/>
      <c r="AO570" s="12"/>
      <c r="AP570" s="12"/>
    </row>
    <row r="571" spans="1:42" ht="15" x14ac:dyDescent="0.25">
      <c r="A571" s="82" t="str">
        <f>TDCTRIBE!I579</f>
        <v>Southwest</v>
      </c>
      <c r="B571" s="82" t="str">
        <f>TDCTRIBE!B579</f>
        <v>NM</v>
      </c>
      <c r="C571" s="82" t="str">
        <f>TDCTRIBE!F579</f>
        <v>Cochiti Pueblo</v>
      </c>
      <c r="D571" s="83">
        <f>TDCTRIBE!Y579</f>
        <v>279882.57296999998</v>
      </c>
      <c r="E571" s="83">
        <f>TDCTRIBE!Z579</f>
        <v>309306.133164</v>
      </c>
      <c r="F571" s="83">
        <f>TDCTRIBE!AA579</f>
        <v>350630.34267799999</v>
      </c>
      <c r="G571" s="83">
        <f>TDCTRIBE!AB579</f>
        <v>379835.61278600001</v>
      </c>
      <c r="H571" s="83">
        <f>TDCTRIBE!AC579</f>
        <v>409480.15137400007</v>
      </c>
      <c r="O571" s="9"/>
      <c r="P571" s="1"/>
      <c r="Q571" s="1"/>
      <c r="R571" s="1"/>
      <c r="S571" s="1"/>
      <c r="T571" s="1"/>
      <c r="U571" s="1"/>
      <c r="V571" s="9"/>
      <c r="W571" s="3"/>
      <c r="X571" s="4"/>
      <c r="Y571" s="1"/>
      <c r="Z571" s="1"/>
      <c r="AA571" s="1"/>
      <c r="AB571" s="1"/>
      <c r="AC571" s="1"/>
      <c r="AD571" s="3"/>
      <c r="AE571" s="3"/>
      <c r="AF571" s="5"/>
      <c r="AG571" s="5"/>
      <c r="AH571" s="5"/>
      <c r="AI571" s="5"/>
      <c r="AJ571" s="6"/>
      <c r="AK571" s="6"/>
      <c r="AL571" s="12"/>
      <c r="AM571" s="12"/>
      <c r="AN571" s="12"/>
      <c r="AO571" s="12"/>
      <c r="AP571" s="12"/>
    </row>
    <row r="572" spans="1:42" ht="15" x14ac:dyDescent="0.25">
      <c r="A572" s="82" t="str">
        <f>TDCTRIBE!I580</f>
        <v>Southwest</v>
      </c>
      <c r="B572" s="82" t="str">
        <f>TDCTRIBE!B580</f>
        <v>NM</v>
      </c>
      <c r="C572" s="82" t="str">
        <f>TDCTRIBE!F580</f>
        <v>Isleta Pueblo</v>
      </c>
      <c r="D572" s="83">
        <f>TDCTRIBE!Y580</f>
        <v>276895.05690000003</v>
      </c>
      <c r="E572" s="83">
        <f>TDCTRIBE!Z580</f>
        <v>305955.72902999993</v>
      </c>
      <c r="F572" s="83">
        <f>TDCTRIBE!AA580</f>
        <v>346759.69443500007</v>
      </c>
      <c r="G572" s="83">
        <f>TDCTRIBE!AB580</f>
        <v>375602.93371999997</v>
      </c>
      <c r="H572" s="83">
        <f>TDCTRIBE!AC580</f>
        <v>404910.19198</v>
      </c>
      <c r="O572" s="9"/>
      <c r="P572" s="1"/>
      <c r="Q572" s="1"/>
      <c r="R572" s="1"/>
      <c r="S572" s="1"/>
      <c r="T572" s="1"/>
      <c r="U572" s="1"/>
      <c r="V572" s="9"/>
      <c r="W572" s="3"/>
      <c r="X572" s="4"/>
      <c r="Y572" s="1"/>
      <c r="Z572" s="1"/>
      <c r="AA572" s="1"/>
      <c r="AB572" s="1"/>
      <c r="AC572" s="1"/>
      <c r="AD572" s="3"/>
      <c r="AE572" s="3"/>
      <c r="AF572" s="5"/>
      <c r="AG572" s="5"/>
      <c r="AH572" s="5"/>
      <c r="AI572" s="5"/>
      <c r="AJ572" s="6"/>
      <c r="AK572" s="6"/>
      <c r="AL572" s="12"/>
      <c r="AM572" s="12"/>
      <c r="AN572" s="12"/>
      <c r="AO572" s="12"/>
      <c r="AP572" s="12"/>
    </row>
    <row r="573" spans="1:42" ht="15" x14ac:dyDescent="0.25">
      <c r="A573" s="82" t="str">
        <f>TDCTRIBE!I581</f>
        <v>Southwest</v>
      </c>
      <c r="B573" s="82" t="str">
        <f>TDCTRIBE!B581</f>
        <v>NM</v>
      </c>
      <c r="C573" s="82" t="str">
        <f>TDCTRIBE!F581</f>
        <v>Jemez Pueblo</v>
      </c>
      <c r="D573" s="83">
        <f>TDCTRIBE!Y581</f>
        <v>279882.57296999998</v>
      </c>
      <c r="E573" s="83">
        <f>TDCTRIBE!Z581</f>
        <v>309306.133164</v>
      </c>
      <c r="F573" s="83">
        <f>TDCTRIBE!AA581</f>
        <v>350630.34267799999</v>
      </c>
      <c r="G573" s="83">
        <f>TDCTRIBE!AB581</f>
        <v>379835.61278600001</v>
      </c>
      <c r="H573" s="83">
        <f>TDCTRIBE!AC581</f>
        <v>409480.15137400007</v>
      </c>
      <c r="O573" s="9"/>
      <c r="P573" s="1"/>
      <c r="Q573" s="1"/>
      <c r="R573" s="1"/>
      <c r="S573" s="1"/>
      <c r="T573" s="1"/>
      <c r="U573" s="1"/>
      <c r="V573" s="9"/>
      <c r="W573" s="3"/>
      <c r="X573" s="4"/>
      <c r="Y573" s="1"/>
      <c r="Z573" s="1"/>
      <c r="AA573" s="1"/>
      <c r="AB573" s="1"/>
      <c r="AC573" s="1"/>
      <c r="AD573" s="3"/>
      <c r="AE573" s="3"/>
      <c r="AF573" s="5"/>
      <c r="AG573" s="5"/>
      <c r="AH573" s="5"/>
      <c r="AI573" s="5"/>
      <c r="AJ573" s="6"/>
      <c r="AK573" s="6"/>
      <c r="AL573" s="12"/>
      <c r="AM573" s="12"/>
      <c r="AN573" s="12"/>
      <c r="AO573" s="12"/>
      <c r="AP573" s="12"/>
    </row>
    <row r="574" spans="1:42" ht="15" x14ac:dyDescent="0.25">
      <c r="A574" s="82" t="str">
        <f>TDCTRIBE!I582</f>
        <v>Southwest</v>
      </c>
      <c r="B574" s="82" t="str">
        <f>TDCTRIBE!B582</f>
        <v>NM</v>
      </c>
      <c r="C574" s="82" t="str">
        <f>TDCTRIBE!F582</f>
        <v>Jicarilla Reservation</v>
      </c>
      <c r="D574" s="83">
        <f>TDCTRIBE!Y582</f>
        <v>279882.57296999998</v>
      </c>
      <c r="E574" s="83">
        <f>TDCTRIBE!Z582</f>
        <v>309306.133164</v>
      </c>
      <c r="F574" s="83">
        <f>TDCTRIBE!AA582</f>
        <v>350630.34267799999</v>
      </c>
      <c r="G574" s="83">
        <f>TDCTRIBE!AB582</f>
        <v>379835.61278600001</v>
      </c>
      <c r="H574" s="83">
        <f>TDCTRIBE!AC582</f>
        <v>409480.15137400007</v>
      </c>
      <c r="O574" s="9"/>
      <c r="P574" s="1"/>
      <c r="Q574" s="1"/>
      <c r="R574" s="1"/>
      <c r="S574" s="1"/>
      <c r="T574" s="1"/>
      <c r="U574" s="1"/>
      <c r="V574" s="9"/>
      <c r="W574" s="3"/>
      <c r="X574" s="4"/>
      <c r="Y574" s="1"/>
      <c r="Z574" s="1"/>
      <c r="AA574" s="1"/>
      <c r="AB574" s="1"/>
      <c r="AC574" s="1"/>
      <c r="AD574" s="3"/>
      <c r="AE574" s="3"/>
      <c r="AF574" s="5"/>
      <c r="AG574" s="5"/>
      <c r="AH574" s="5"/>
      <c r="AI574" s="5"/>
      <c r="AJ574" s="6"/>
      <c r="AK574" s="6"/>
      <c r="AL574" s="12"/>
      <c r="AM574" s="12"/>
      <c r="AN574" s="12"/>
      <c r="AO574" s="12"/>
      <c r="AP574" s="12"/>
    </row>
    <row r="575" spans="1:42" ht="15" x14ac:dyDescent="0.25">
      <c r="A575" s="82" t="str">
        <f>TDCTRIBE!I583</f>
        <v>Southwest</v>
      </c>
      <c r="B575" s="82" t="str">
        <f>TDCTRIBE!B583</f>
        <v>NM</v>
      </c>
      <c r="C575" s="82" t="str">
        <f>TDCTRIBE!F583</f>
        <v>Laguna Pueblo</v>
      </c>
      <c r="D575" s="83">
        <f>TDCTRIBE!Y583</f>
        <v>276895.05690000003</v>
      </c>
      <c r="E575" s="83">
        <f>TDCTRIBE!Z583</f>
        <v>305955.72902999993</v>
      </c>
      <c r="F575" s="83">
        <f>TDCTRIBE!AA583</f>
        <v>346759.69443500007</v>
      </c>
      <c r="G575" s="83">
        <f>TDCTRIBE!AB583</f>
        <v>375602.93371999997</v>
      </c>
      <c r="H575" s="83">
        <f>TDCTRIBE!AC583</f>
        <v>404910.19198</v>
      </c>
      <c r="O575" s="9"/>
      <c r="P575" s="1"/>
      <c r="Q575" s="1"/>
      <c r="R575" s="1"/>
      <c r="S575" s="1"/>
      <c r="T575" s="1"/>
      <c r="U575" s="1"/>
      <c r="V575" s="9"/>
      <c r="W575" s="3"/>
      <c r="X575" s="4"/>
      <c r="Y575" s="1"/>
      <c r="Z575" s="1"/>
      <c r="AA575" s="1"/>
      <c r="AB575" s="1"/>
      <c r="AC575" s="1"/>
      <c r="AD575" s="3"/>
      <c r="AE575" s="3"/>
      <c r="AF575" s="5"/>
      <c r="AG575" s="5"/>
      <c r="AH575" s="5"/>
      <c r="AI575" s="5"/>
      <c r="AJ575" s="6"/>
      <c r="AK575" s="6"/>
      <c r="AL575" s="12"/>
      <c r="AM575" s="12"/>
      <c r="AN575" s="12"/>
      <c r="AO575" s="12"/>
      <c r="AP575" s="12"/>
    </row>
    <row r="576" spans="1:42" ht="15" x14ac:dyDescent="0.25">
      <c r="A576" s="82" t="str">
        <f>TDCTRIBE!I584</f>
        <v>Southwest</v>
      </c>
      <c r="B576" s="82" t="str">
        <f>TDCTRIBE!B584</f>
        <v>NM</v>
      </c>
      <c r="C576" s="82" t="str">
        <f>TDCTRIBE!F584</f>
        <v>Mescalero Reservation</v>
      </c>
      <c r="D576" s="83">
        <f>TDCTRIBE!Y584</f>
        <v>269244.06201000005</v>
      </c>
      <c r="E576" s="83">
        <f>TDCTRIBE!Z584</f>
        <v>297429.184962</v>
      </c>
      <c r="F576" s="83">
        <f>TDCTRIBE!AA584</f>
        <v>336988.038849</v>
      </c>
      <c r="G576" s="83">
        <f>TDCTRIBE!AB584</f>
        <v>364959.54763799999</v>
      </c>
      <c r="H576" s="83">
        <f>TDCTRIBE!AC584</f>
        <v>393426.014142</v>
      </c>
      <c r="O576" s="9"/>
      <c r="P576" s="1"/>
      <c r="Q576" s="1"/>
      <c r="R576" s="1"/>
      <c r="S576" s="1"/>
      <c r="T576" s="1"/>
      <c r="U576" s="1"/>
      <c r="V576" s="9"/>
      <c r="W576" s="3"/>
      <c r="X576" s="4"/>
      <c r="Y576" s="1"/>
      <c r="Z576" s="1"/>
      <c r="AA576" s="1"/>
      <c r="AB576" s="1"/>
      <c r="AC576" s="1"/>
      <c r="AD576" s="3"/>
      <c r="AE576" s="3"/>
      <c r="AF576" s="5"/>
      <c r="AG576" s="5"/>
      <c r="AH576" s="5"/>
      <c r="AI576" s="5"/>
      <c r="AJ576" s="6"/>
      <c r="AK576" s="6"/>
      <c r="AL576" s="12"/>
      <c r="AM576" s="12"/>
      <c r="AN576" s="12"/>
      <c r="AO576" s="12"/>
      <c r="AP576" s="12"/>
    </row>
    <row r="577" spans="1:42" ht="15" x14ac:dyDescent="0.25">
      <c r="A577" s="82" t="str">
        <f>TDCTRIBE!I585</f>
        <v>Southwest</v>
      </c>
      <c r="B577" s="82" t="str">
        <f>TDCTRIBE!B585</f>
        <v>NM</v>
      </c>
      <c r="C577" s="82" t="str">
        <f>TDCTRIBE!F585</f>
        <v>Nambe Pueblo</v>
      </c>
      <c r="D577" s="83">
        <f>TDCTRIBE!Y585</f>
        <v>285857.60511</v>
      </c>
      <c r="E577" s="83">
        <f>TDCTRIBE!Z585</f>
        <v>316006.94143200002</v>
      </c>
      <c r="F577" s="83">
        <f>TDCTRIBE!AA585</f>
        <v>358371.63916399999</v>
      </c>
      <c r="G577" s="83">
        <f>TDCTRIBE!AB585</f>
        <v>388300.97091799998</v>
      </c>
      <c r="H577" s="83">
        <f>TDCTRIBE!AC585</f>
        <v>418620.07016199996</v>
      </c>
      <c r="O577" s="9"/>
      <c r="P577" s="1"/>
      <c r="Q577" s="1"/>
      <c r="R577" s="1"/>
      <c r="S577" s="1"/>
      <c r="T577" s="1"/>
      <c r="U577" s="1"/>
      <c r="V577" s="9"/>
      <c r="W577" s="3"/>
      <c r="X577" s="4"/>
      <c r="Y577" s="1"/>
      <c r="Z577" s="1"/>
      <c r="AA577" s="1"/>
      <c r="AB577" s="1"/>
      <c r="AC577" s="1"/>
      <c r="AD577" s="3"/>
      <c r="AE577" s="3"/>
      <c r="AF577" s="5"/>
      <c r="AG577" s="5"/>
      <c r="AH577" s="5"/>
      <c r="AI577" s="5"/>
      <c r="AJ577" s="6"/>
      <c r="AK577" s="6"/>
      <c r="AL577" s="12"/>
      <c r="AM577" s="12"/>
      <c r="AN577" s="12"/>
      <c r="AO577" s="12"/>
      <c r="AP577" s="12"/>
    </row>
    <row r="578" spans="1:42" ht="15" x14ac:dyDescent="0.25">
      <c r="A578" s="82" t="str">
        <f>TDCTRIBE!I586</f>
        <v>Southwest</v>
      </c>
      <c r="B578" s="82" t="str">
        <f>TDCTRIBE!B586</f>
        <v>NM</v>
      </c>
      <c r="C578" s="82" t="str">
        <f>TDCTRIBE!F586</f>
        <v>Pajoaque Pueblo</v>
      </c>
      <c r="D578" s="83">
        <f>TDCTRIBE!Y586</f>
        <v>285857.60511</v>
      </c>
      <c r="E578" s="83">
        <f>TDCTRIBE!Z586</f>
        <v>316006.94143200002</v>
      </c>
      <c r="F578" s="83">
        <f>TDCTRIBE!AA586</f>
        <v>358371.63916399999</v>
      </c>
      <c r="G578" s="83">
        <f>TDCTRIBE!AB586</f>
        <v>388300.97091799998</v>
      </c>
      <c r="H578" s="83">
        <f>TDCTRIBE!AC586</f>
        <v>418620.07016199996</v>
      </c>
      <c r="O578" s="9"/>
      <c r="P578" s="1"/>
      <c r="Q578" s="1"/>
      <c r="R578" s="1"/>
      <c r="S578" s="1"/>
      <c r="T578" s="1"/>
      <c r="U578" s="1"/>
      <c r="V578" s="9"/>
      <c r="W578" s="3"/>
      <c r="X578" s="4"/>
      <c r="Y578" s="1"/>
      <c r="Z578" s="1"/>
      <c r="AA578" s="1"/>
      <c r="AB578" s="1"/>
      <c r="AC578" s="1"/>
      <c r="AD578" s="3"/>
      <c r="AE578" s="3"/>
      <c r="AF578" s="5"/>
      <c r="AG578" s="5"/>
      <c r="AH578" s="5"/>
      <c r="AI578" s="5"/>
      <c r="AJ578" s="6"/>
      <c r="AK578" s="6"/>
      <c r="AL578" s="12"/>
      <c r="AM578" s="12"/>
      <c r="AN578" s="12"/>
      <c r="AO578" s="12"/>
      <c r="AP578" s="12"/>
    </row>
    <row r="579" spans="1:42" ht="15" x14ac:dyDescent="0.25">
      <c r="A579" s="82" t="str">
        <f>TDCTRIBE!I587</f>
        <v>Southwest</v>
      </c>
      <c r="B579" s="82" t="str">
        <f>TDCTRIBE!B587</f>
        <v>NM</v>
      </c>
      <c r="C579" s="82" t="str">
        <f>TDCTRIBE!F587</f>
        <v>Picuris Pueblo</v>
      </c>
      <c r="D579" s="83">
        <f>TDCTRIBE!Y587</f>
        <v>279882.57296999998</v>
      </c>
      <c r="E579" s="83">
        <f>TDCTRIBE!Z587</f>
        <v>309306.133164</v>
      </c>
      <c r="F579" s="83">
        <f>TDCTRIBE!AA587</f>
        <v>350630.34267799999</v>
      </c>
      <c r="G579" s="83">
        <f>TDCTRIBE!AB587</f>
        <v>379835.61278600001</v>
      </c>
      <c r="H579" s="83">
        <f>TDCTRIBE!AC587</f>
        <v>409480.15137400007</v>
      </c>
      <c r="O579" s="9"/>
      <c r="P579" s="1"/>
      <c r="Q579" s="1"/>
      <c r="R579" s="1"/>
      <c r="S579" s="1"/>
      <c r="T579" s="1"/>
      <c r="U579" s="1"/>
      <c r="V579" s="9"/>
      <c r="W579" s="3"/>
      <c r="X579" s="4"/>
      <c r="Y579" s="1"/>
      <c r="Z579" s="1"/>
      <c r="AA579" s="1"/>
      <c r="AB579" s="1"/>
      <c r="AC579" s="1"/>
      <c r="AD579" s="3"/>
      <c r="AE579" s="3"/>
      <c r="AF579" s="5"/>
      <c r="AG579" s="5"/>
      <c r="AH579" s="5"/>
      <c r="AI579" s="5"/>
      <c r="AJ579" s="6"/>
      <c r="AK579" s="6"/>
      <c r="AL579" s="12"/>
      <c r="AM579" s="12"/>
      <c r="AN579" s="12"/>
      <c r="AO579" s="12"/>
      <c r="AP579" s="12"/>
    </row>
    <row r="580" spans="1:42" ht="15" x14ac:dyDescent="0.25">
      <c r="A580" s="82" t="str">
        <f>TDCTRIBE!I588</f>
        <v>Southwest</v>
      </c>
      <c r="B580" s="82" t="str">
        <f>TDCTRIBE!B588</f>
        <v>NM</v>
      </c>
      <c r="C580" s="82" t="str">
        <f>TDCTRIBE!F588</f>
        <v>San Felipe Pueblo</v>
      </c>
      <c r="D580" s="83">
        <f>TDCTRIBE!Y588</f>
        <v>279882.57296999998</v>
      </c>
      <c r="E580" s="83">
        <f>TDCTRIBE!Z588</f>
        <v>309306.133164</v>
      </c>
      <c r="F580" s="83">
        <f>TDCTRIBE!AA588</f>
        <v>350630.34267799999</v>
      </c>
      <c r="G580" s="83">
        <f>TDCTRIBE!AB588</f>
        <v>379835.61278600001</v>
      </c>
      <c r="H580" s="83">
        <f>TDCTRIBE!AC588</f>
        <v>409480.15137400007</v>
      </c>
      <c r="O580" s="9"/>
      <c r="P580" s="1"/>
      <c r="Q580" s="1"/>
      <c r="R580" s="1"/>
      <c r="S580" s="7"/>
      <c r="T580" s="1"/>
      <c r="U580" s="1"/>
      <c r="V580" s="9"/>
      <c r="W580" s="3"/>
      <c r="X580" s="4"/>
      <c r="Y580" s="1"/>
      <c r="Z580" s="1"/>
      <c r="AA580" s="1"/>
      <c r="AB580" s="1"/>
      <c r="AC580" s="1"/>
      <c r="AD580" s="3"/>
      <c r="AE580" s="3"/>
      <c r="AF580" s="5"/>
      <c r="AG580" s="5"/>
      <c r="AH580" s="5"/>
      <c r="AI580" s="5"/>
      <c r="AJ580" s="6"/>
      <c r="AK580" s="6"/>
      <c r="AL580" s="12"/>
      <c r="AM580" s="12"/>
      <c r="AN580" s="12"/>
      <c r="AO580" s="12"/>
      <c r="AP580" s="12"/>
    </row>
    <row r="581" spans="1:42" ht="15" x14ac:dyDescent="0.25">
      <c r="A581" s="82" t="str">
        <f>TDCTRIBE!I589</f>
        <v>Southwest</v>
      </c>
      <c r="B581" s="82" t="str">
        <f>TDCTRIBE!B589</f>
        <v>NM</v>
      </c>
      <c r="C581" s="82" t="str">
        <f>TDCTRIBE!F589</f>
        <v>San Ildefonso Pueblo</v>
      </c>
      <c r="D581" s="83">
        <f>TDCTRIBE!Y589</f>
        <v>279882.57296999998</v>
      </c>
      <c r="E581" s="83">
        <f>TDCTRIBE!Z589</f>
        <v>309306.133164</v>
      </c>
      <c r="F581" s="83">
        <f>TDCTRIBE!AA589</f>
        <v>350630.34267799999</v>
      </c>
      <c r="G581" s="83">
        <f>TDCTRIBE!AB589</f>
        <v>379835.61278600001</v>
      </c>
      <c r="H581" s="83">
        <f>TDCTRIBE!AC589</f>
        <v>409480.15137400007</v>
      </c>
      <c r="O581" s="9"/>
      <c r="P581" s="1"/>
      <c r="Q581" s="1"/>
      <c r="R581" s="1"/>
      <c r="S581" s="1"/>
      <c r="T581" s="1"/>
      <c r="U581" s="1"/>
      <c r="V581" s="9"/>
      <c r="W581" s="3"/>
      <c r="X581" s="4"/>
      <c r="Y581" s="1"/>
      <c r="Z581" s="1"/>
      <c r="AA581" s="1"/>
      <c r="AB581" s="1"/>
      <c r="AC581" s="1"/>
      <c r="AD581" s="3"/>
      <c r="AE581" s="3"/>
      <c r="AF581" s="5"/>
      <c r="AG581" s="5"/>
      <c r="AH581" s="5"/>
      <c r="AI581" s="5"/>
      <c r="AJ581" s="6"/>
      <c r="AK581" s="6"/>
      <c r="AL581" s="12"/>
      <c r="AM581" s="12"/>
      <c r="AN581" s="12"/>
      <c r="AO581" s="12"/>
      <c r="AP581" s="12"/>
    </row>
    <row r="582" spans="1:42" ht="15" x14ac:dyDescent="0.25">
      <c r="A582" s="82" t="str">
        <f>TDCTRIBE!I590</f>
        <v>Southwest</v>
      </c>
      <c r="B582" s="82" t="str">
        <f>TDCTRIBE!B590</f>
        <v>NM</v>
      </c>
      <c r="C582" s="82" t="str">
        <f>TDCTRIBE!F590</f>
        <v>San Juan Pueblo</v>
      </c>
      <c r="D582" s="83">
        <f>TDCTRIBE!Y590</f>
        <v>279882.57296999998</v>
      </c>
      <c r="E582" s="83">
        <f>TDCTRIBE!Z590</f>
        <v>309306.133164</v>
      </c>
      <c r="F582" s="83">
        <f>TDCTRIBE!AA590</f>
        <v>350630.34267799999</v>
      </c>
      <c r="G582" s="83">
        <f>TDCTRIBE!AB590</f>
        <v>379835.61278600001</v>
      </c>
      <c r="H582" s="83">
        <f>TDCTRIBE!AC590</f>
        <v>409480.15137400007</v>
      </c>
      <c r="O582" s="9"/>
      <c r="P582" s="1"/>
      <c r="Q582" s="1"/>
      <c r="R582" s="1"/>
      <c r="S582" s="1"/>
      <c r="T582" s="1"/>
      <c r="U582" s="1"/>
      <c r="V582" s="9"/>
      <c r="W582" s="3"/>
      <c r="X582" s="4"/>
      <c r="Y582" s="1"/>
      <c r="Z582" s="1"/>
      <c r="AA582" s="1"/>
      <c r="AB582" s="1"/>
      <c r="AC582" s="1"/>
      <c r="AD582" s="3"/>
      <c r="AE582" s="3"/>
      <c r="AF582" s="5"/>
      <c r="AG582" s="5"/>
      <c r="AH582" s="5"/>
      <c r="AI582" s="5"/>
      <c r="AJ582" s="6"/>
      <c r="AK582" s="6"/>
      <c r="AL582" s="12"/>
      <c r="AM582" s="12"/>
      <c r="AN582" s="12"/>
      <c r="AO582" s="12"/>
      <c r="AP582" s="12"/>
    </row>
    <row r="583" spans="1:42" ht="15" x14ac:dyDescent="0.25">
      <c r="A583" s="82" t="str">
        <f>TDCTRIBE!I591</f>
        <v>Southwest</v>
      </c>
      <c r="B583" s="82" t="str">
        <f>TDCTRIBE!B591</f>
        <v>NM</v>
      </c>
      <c r="C583" s="82" t="str">
        <f>TDCTRIBE!F591</f>
        <v>Sandia  Pueblo</v>
      </c>
      <c r="D583" s="83">
        <f>TDCTRIBE!Y591</f>
        <v>276895.05690000003</v>
      </c>
      <c r="E583" s="83">
        <f>TDCTRIBE!Z591</f>
        <v>305955.72902999993</v>
      </c>
      <c r="F583" s="83">
        <f>TDCTRIBE!AA591</f>
        <v>346759.69443500007</v>
      </c>
      <c r="G583" s="83">
        <f>TDCTRIBE!AB591</f>
        <v>375602.93371999997</v>
      </c>
      <c r="H583" s="83">
        <f>TDCTRIBE!AC591</f>
        <v>404910.19198</v>
      </c>
      <c r="O583" s="9"/>
      <c r="P583" s="1"/>
      <c r="Q583" s="1"/>
      <c r="R583" s="1"/>
      <c r="S583" s="1"/>
      <c r="T583" s="1"/>
      <c r="U583" s="1"/>
      <c r="V583" s="9"/>
      <c r="W583" s="3"/>
      <c r="X583" s="4"/>
      <c r="Y583" s="1"/>
      <c r="Z583" s="1"/>
      <c r="AA583" s="1"/>
      <c r="AB583" s="1"/>
      <c r="AC583" s="1"/>
      <c r="AD583" s="3"/>
      <c r="AE583" s="3"/>
      <c r="AF583" s="5"/>
      <c r="AG583" s="5"/>
      <c r="AH583" s="5"/>
      <c r="AI583" s="5"/>
      <c r="AJ583" s="6"/>
      <c r="AK583" s="6"/>
      <c r="AL583" s="12"/>
      <c r="AM583" s="12"/>
      <c r="AN583" s="12"/>
      <c r="AO583" s="12"/>
      <c r="AP583" s="12"/>
    </row>
    <row r="584" spans="1:42" ht="15" x14ac:dyDescent="0.25">
      <c r="A584" s="82" t="str">
        <f>TDCTRIBE!I592</f>
        <v>Southwest</v>
      </c>
      <c r="B584" s="82" t="str">
        <f>TDCTRIBE!B592</f>
        <v>NM</v>
      </c>
      <c r="C584" s="82" t="str">
        <f>TDCTRIBE!F592</f>
        <v>Santa Ana Pueblo</v>
      </c>
      <c r="D584" s="83">
        <f>TDCTRIBE!Y592</f>
        <v>279882.57296999998</v>
      </c>
      <c r="E584" s="83">
        <f>TDCTRIBE!Z592</f>
        <v>309306.133164</v>
      </c>
      <c r="F584" s="83">
        <f>TDCTRIBE!AA592</f>
        <v>350630.34267799999</v>
      </c>
      <c r="G584" s="83">
        <f>TDCTRIBE!AB592</f>
        <v>379835.61278600001</v>
      </c>
      <c r="H584" s="83">
        <f>TDCTRIBE!AC592</f>
        <v>409480.15137400007</v>
      </c>
      <c r="O584" s="9"/>
      <c r="P584" s="1"/>
      <c r="Q584" s="1"/>
      <c r="R584" s="1"/>
      <c r="S584" s="1"/>
      <c r="T584" s="1"/>
      <c r="U584" s="1"/>
      <c r="V584" s="9"/>
      <c r="W584" s="3"/>
      <c r="X584" s="4"/>
      <c r="Y584" s="1"/>
      <c r="Z584" s="1"/>
      <c r="AA584" s="1"/>
      <c r="AB584" s="1"/>
      <c r="AC584" s="1"/>
      <c r="AD584" s="3"/>
      <c r="AE584" s="3"/>
      <c r="AF584" s="5"/>
      <c r="AG584" s="5"/>
      <c r="AH584" s="5"/>
      <c r="AI584" s="5"/>
      <c r="AJ584" s="6"/>
      <c r="AK584" s="6"/>
      <c r="AL584" s="12"/>
      <c r="AM584" s="12"/>
      <c r="AN584" s="12"/>
      <c r="AO584" s="12"/>
      <c r="AP584" s="12"/>
    </row>
    <row r="585" spans="1:42" ht="15" x14ac:dyDescent="0.25">
      <c r="A585" s="82" t="str">
        <f>TDCTRIBE!I593</f>
        <v>Southwest</v>
      </c>
      <c r="B585" s="82" t="str">
        <f>TDCTRIBE!B593</f>
        <v>NM</v>
      </c>
      <c r="C585" s="82" t="str">
        <f>TDCTRIBE!F593</f>
        <v>Santa Clara Pueblo</v>
      </c>
      <c r="D585" s="83">
        <f>TDCTRIBE!Y593</f>
        <v>279882.57296999998</v>
      </c>
      <c r="E585" s="83">
        <f>TDCTRIBE!Z593</f>
        <v>309306.133164</v>
      </c>
      <c r="F585" s="83">
        <f>TDCTRIBE!AA593</f>
        <v>350630.34267799999</v>
      </c>
      <c r="G585" s="83">
        <f>TDCTRIBE!AB593</f>
        <v>379835.61278600001</v>
      </c>
      <c r="H585" s="83">
        <f>TDCTRIBE!AC593</f>
        <v>409480.15137400007</v>
      </c>
      <c r="O585" s="9"/>
      <c r="P585" s="1"/>
      <c r="Q585" s="1"/>
      <c r="R585" s="1"/>
      <c r="S585" s="1"/>
      <c r="T585" s="1"/>
      <c r="U585" s="1"/>
      <c r="V585" s="9"/>
      <c r="W585" s="3"/>
      <c r="X585" s="4"/>
      <c r="Y585" s="1"/>
      <c r="Z585" s="1"/>
      <c r="AA585" s="1"/>
      <c r="AB585" s="1"/>
      <c r="AC585" s="1"/>
      <c r="AD585" s="3"/>
      <c r="AE585" s="3"/>
      <c r="AF585" s="5"/>
      <c r="AG585" s="5"/>
      <c r="AH585" s="5"/>
      <c r="AI585" s="5"/>
      <c r="AJ585" s="6"/>
      <c r="AK585" s="6"/>
      <c r="AL585" s="12"/>
      <c r="AM585" s="12"/>
      <c r="AN585" s="12"/>
      <c r="AO585" s="12"/>
      <c r="AP585" s="12"/>
    </row>
    <row r="586" spans="1:42" ht="15" x14ac:dyDescent="0.25">
      <c r="A586" s="82" t="str">
        <f>TDCTRIBE!I594</f>
        <v>Southwest</v>
      </c>
      <c r="B586" s="82" t="str">
        <f>TDCTRIBE!B594</f>
        <v>NM</v>
      </c>
      <c r="C586" s="82" t="str">
        <f>TDCTRIBE!F594</f>
        <v>Santo Domingo Pueblo</v>
      </c>
      <c r="D586" s="83">
        <f>TDCTRIBE!Y594</f>
        <v>279882.57296999998</v>
      </c>
      <c r="E586" s="83">
        <f>TDCTRIBE!Z594</f>
        <v>309306.133164</v>
      </c>
      <c r="F586" s="83">
        <f>TDCTRIBE!AA594</f>
        <v>350630.34267799999</v>
      </c>
      <c r="G586" s="83">
        <f>TDCTRIBE!AB594</f>
        <v>379835.61278600001</v>
      </c>
      <c r="H586" s="83">
        <f>TDCTRIBE!AC594</f>
        <v>409480.15137400007</v>
      </c>
      <c r="O586" s="9"/>
      <c r="P586" s="1"/>
      <c r="Q586" s="1"/>
      <c r="R586" s="1"/>
      <c r="S586" s="1"/>
      <c r="T586" s="1"/>
      <c r="U586" s="1"/>
      <c r="V586" s="9"/>
      <c r="W586" s="3"/>
      <c r="X586" s="4"/>
      <c r="Y586" s="1"/>
      <c r="Z586" s="1"/>
      <c r="AA586" s="1"/>
      <c r="AB586" s="1"/>
      <c r="AC586" s="1"/>
      <c r="AD586" s="3"/>
      <c r="AE586" s="3"/>
      <c r="AF586" s="5"/>
      <c r="AG586" s="5"/>
      <c r="AH586" s="5"/>
      <c r="AI586" s="5"/>
      <c r="AJ586" s="6"/>
      <c r="AK586" s="6"/>
      <c r="AL586" s="12"/>
      <c r="AM586" s="12"/>
      <c r="AN586" s="12"/>
      <c r="AO586" s="12"/>
      <c r="AP586" s="12"/>
    </row>
    <row r="587" spans="1:42" ht="15" x14ac:dyDescent="0.25">
      <c r="A587" s="82" t="str">
        <f>TDCTRIBE!I595</f>
        <v>Southwest</v>
      </c>
      <c r="B587" s="82" t="str">
        <f>TDCTRIBE!B595</f>
        <v>NM</v>
      </c>
      <c r="C587" s="82" t="str">
        <f>TDCTRIBE!F595</f>
        <v>Taos Pueblo</v>
      </c>
      <c r="D587" s="83">
        <f>TDCTRIBE!Y595</f>
        <v>279882.57296999998</v>
      </c>
      <c r="E587" s="83">
        <f>TDCTRIBE!Z595</f>
        <v>309306.133164</v>
      </c>
      <c r="F587" s="83">
        <f>TDCTRIBE!AA595</f>
        <v>350630.34267799999</v>
      </c>
      <c r="G587" s="83">
        <f>TDCTRIBE!AB595</f>
        <v>379835.61278600001</v>
      </c>
      <c r="H587" s="83">
        <f>TDCTRIBE!AC595</f>
        <v>409480.15137400007</v>
      </c>
      <c r="O587" s="9"/>
      <c r="P587" s="1"/>
      <c r="Q587" s="1"/>
      <c r="R587" s="1"/>
      <c r="S587" s="1"/>
      <c r="T587" s="1"/>
      <c r="U587" s="1"/>
      <c r="V587" s="9"/>
      <c r="W587" s="3"/>
      <c r="X587" s="4"/>
      <c r="Y587" s="1"/>
      <c r="Z587" s="1"/>
      <c r="AA587" s="1"/>
      <c r="AB587" s="1"/>
      <c r="AC587" s="1"/>
      <c r="AD587" s="3"/>
      <c r="AE587" s="3"/>
      <c r="AF587" s="5"/>
      <c r="AG587" s="5"/>
      <c r="AH587" s="5"/>
      <c r="AI587" s="5"/>
      <c r="AJ587" s="6"/>
      <c r="AK587" s="6"/>
      <c r="AL587" s="12"/>
      <c r="AM587" s="12"/>
      <c r="AN587" s="12"/>
      <c r="AO587" s="12"/>
      <c r="AP587" s="12"/>
    </row>
    <row r="588" spans="1:42" ht="15" x14ac:dyDescent="0.25">
      <c r="A588" s="82" t="str">
        <f>TDCTRIBE!I596</f>
        <v>Southwest</v>
      </c>
      <c r="B588" s="82" t="str">
        <f>TDCTRIBE!B596</f>
        <v>NM</v>
      </c>
      <c r="C588" s="82" t="str">
        <f>TDCTRIBE!F596</f>
        <v>Tesuque Pueblo</v>
      </c>
      <c r="D588" s="83">
        <f>TDCTRIBE!Y596</f>
        <v>285857.60511</v>
      </c>
      <c r="E588" s="83">
        <f>TDCTRIBE!Z596</f>
        <v>316006.94143200002</v>
      </c>
      <c r="F588" s="83">
        <f>TDCTRIBE!AA596</f>
        <v>358371.63916399999</v>
      </c>
      <c r="G588" s="83">
        <f>TDCTRIBE!AB596</f>
        <v>388300.97091799998</v>
      </c>
      <c r="H588" s="83">
        <f>TDCTRIBE!AC596</f>
        <v>418620.07016199996</v>
      </c>
      <c r="O588" s="9"/>
      <c r="P588" s="1"/>
      <c r="Q588" s="1"/>
      <c r="R588" s="1"/>
      <c r="S588" s="1"/>
      <c r="T588" s="1"/>
      <c r="U588" s="1"/>
      <c r="V588" s="9"/>
      <c r="W588" s="3"/>
      <c r="X588" s="4"/>
      <c r="Y588" s="1"/>
      <c r="Z588" s="1"/>
      <c r="AA588" s="1"/>
      <c r="AB588" s="1"/>
      <c r="AC588" s="1"/>
      <c r="AD588" s="3"/>
      <c r="AE588" s="3"/>
      <c r="AF588" s="5"/>
      <c r="AG588" s="5"/>
      <c r="AH588" s="5"/>
      <c r="AI588" s="5"/>
      <c r="AJ588" s="6"/>
      <c r="AK588" s="6"/>
      <c r="AL588" s="12"/>
      <c r="AM588" s="12"/>
      <c r="AN588" s="12"/>
      <c r="AO588" s="12"/>
      <c r="AP588" s="12"/>
    </row>
    <row r="589" spans="1:42" ht="15" x14ac:dyDescent="0.25">
      <c r="A589" s="82" t="str">
        <f>TDCTRIBE!I597</f>
        <v>Southwest</v>
      </c>
      <c r="B589" s="82" t="str">
        <f>TDCTRIBE!B597</f>
        <v>NM</v>
      </c>
      <c r="C589" s="82" t="str">
        <f>TDCTRIBE!F597</f>
        <v>Zia Pueblo</v>
      </c>
      <c r="D589" s="83">
        <f>TDCTRIBE!Y597</f>
        <v>279882.57296999998</v>
      </c>
      <c r="E589" s="83">
        <f>TDCTRIBE!Z597</f>
        <v>309306.133164</v>
      </c>
      <c r="F589" s="83">
        <f>TDCTRIBE!AA597</f>
        <v>350630.34267799999</v>
      </c>
      <c r="G589" s="83">
        <f>TDCTRIBE!AB597</f>
        <v>379835.61278600001</v>
      </c>
      <c r="H589" s="83">
        <f>TDCTRIBE!AC597</f>
        <v>409480.15137400007</v>
      </c>
      <c r="O589" s="9"/>
      <c r="P589" s="1"/>
      <c r="Q589" s="1"/>
      <c r="R589" s="1"/>
      <c r="S589" s="1"/>
      <c r="T589" s="1"/>
      <c r="U589" s="1"/>
      <c r="V589" s="9"/>
      <c r="W589" s="3"/>
      <c r="X589" s="4"/>
      <c r="Y589" s="1"/>
      <c r="Z589" s="1"/>
      <c r="AA589" s="1"/>
      <c r="AB589" s="1"/>
      <c r="AC589" s="1"/>
      <c r="AD589" s="3"/>
      <c r="AE589" s="3"/>
      <c r="AF589" s="5"/>
      <c r="AG589" s="5"/>
      <c r="AH589" s="5"/>
      <c r="AI589" s="5"/>
      <c r="AJ589" s="6"/>
      <c r="AK589" s="6"/>
      <c r="AL589" s="12"/>
      <c r="AM589" s="12"/>
      <c r="AN589" s="12"/>
      <c r="AO589" s="12"/>
      <c r="AP589" s="12"/>
    </row>
    <row r="590" spans="1:42" ht="15" x14ac:dyDescent="0.25">
      <c r="A590" s="82" t="str">
        <f>TDCTRIBE!I598</f>
        <v>Southwest</v>
      </c>
      <c r="B590" s="82" t="str">
        <f>TDCTRIBE!B598</f>
        <v>NM</v>
      </c>
      <c r="C590" s="82" t="str">
        <f>TDCTRIBE!F598</f>
        <v>Zuni Tribe</v>
      </c>
      <c r="D590" s="83">
        <f>TDCTRIBE!Y598</f>
        <v>275401.29886499996</v>
      </c>
      <c r="E590" s="83">
        <f>TDCTRIBE!Z598</f>
        <v>304280.52696299995</v>
      </c>
      <c r="F590" s="83">
        <f>TDCTRIBE!AA598</f>
        <v>344824.37031350005</v>
      </c>
      <c r="G590" s="83">
        <f>TDCTRIBE!AB598</f>
        <v>373486.59418700001</v>
      </c>
      <c r="H590" s="83">
        <f>TDCTRIBE!AC598</f>
        <v>402625.212283</v>
      </c>
      <c r="O590" s="9"/>
      <c r="P590" s="1"/>
      <c r="Q590" s="1"/>
      <c r="R590" s="1"/>
      <c r="S590" s="1"/>
      <c r="T590" s="1"/>
      <c r="U590" s="1"/>
      <c r="V590" s="9"/>
      <c r="W590" s="3"/>
      <c r="X590" s="4"/>
      <c r="Y590" s="1"/>
      <c r="Z590" s="1"/>
      <c r="AA590" s="1"/>
      <c r="AB590" s="1"/>
      <c r="AC590" s="1"/>
      <c r="AD590" s="3"/>
      <c r="AE590" s="3"/>
      <c r="AF590" s="5"/>
      <c r="AG590" s="5"/>
      <c r="AH590" s="5"/>
      <c r="AI590" s="5"/>
      <c r="AJ590" s="6"/>
      <c r="AK590" s="6"/>
      <c r="AL590" s="12"/>
      <c r="AM590" s="12"/>
      <c r="AN590" s="12"/>
      <c r="AO590" s="12"/>
      <c r="AP590" s="12"/>
    </row>
    <row r="591" spans="1:42" ht="15" x14ac:dyDescent="0.25">
      <c r="A591" s="82" t="str">
        <f>TDCTRIBE!I599</f>
        <v>Southwest</v>
      </c>
      <c r="B591" s="82" t="str">
        <f>TDCTRIBE!B599</f>
        <v>NV</v>
      </c>
      <c r="C591" s="82" t="str">
        <f>TDCTRIBE!F599</f>
        <v>Duck Valley Shoshone-Paiute</v>
      </c>
      <c r="D591" s="83">
        <f>TDCTRIBE!Y599</f>
        <v>330233.69610000006</v>
      </c>
      <c r="E591" s="83">
        <f>TDCTRIBE!Z599</f>
        <v>365020.07157000003</v>
      </c>
      <c r="F591" s="83">
        <f>TDCTRIBE!AA599</f>
        <v>413891.20426500001</v>
      </c>
      <c r="G591" s="83">
        <f>TDCTRIBE!AB599</f>
        <v>448422.11568000005</v>
      </c>
      <c r="H591" s="83">
        <f>TDCTRIBE!AC599</f>
        <v>483429.41262000002</v>
      </c>
      <c r="O591" s="9"/>
      <c r="P591" s="1"/>
      <c r="Q591" s="1"/>
      <c r="R591" s="1"/>
      <c r="S591" s="1"/>
      <c r="T591" s="1"/>
      <c r="U591" s="1"/>
      <c r="V591" s="9"/>
      <c r="W591" s="3"/>
      <c r="X591" s="4"/>
      <c r="Y591" s="1"/>
      <c r="Z591" s="1"/>
      <c r="AA591" s="1"/>
      <c r="AB591" s="1"/>
      <c r="AC591" s="1"/>
      <c r="AD591" s="3"/>
      <c r="AE591" s="3"/>
      <c r="AF591" s="5"/>
      <c r="AG591" s="5"/>
      <c r="AH591" s="5"/>
      <c r="AI591" s="5"/>
      <c r="AJ591" s="6"/>
      <c r="AK591" s="6"/>
      <c r="AL591" s="12"/>
      <c r="AM591" s="12"/>
      <c r="AN591" s="12"/>
      <c r="AO591" s="12"/>
      <c r="AP591" s="12"/>
    </row>
    <row r="592" spans="1:42" ht="15" x14ac:dyDescent="0.25">
      <c r="A592" s="82" t="str">
        <f>TDCTRIBE!I600</f>
        <v>Southwest</v>
      </c>
      <c r="B592" s="82" t="str">
        <f>TDCTRIBE!B600</f>
        <v>NV</v>
      </c>
      <c r="C592" s="82" t="str">
        <f>TDCTRIBE!F600</f>
        <v>Duckwater Shoshone</v>
      </c>
      <c r="D592" s="83">
        <f>TDCTRIBE!Y600</f>
        <v>333767.82631500001</v>
      </c>
      <c r="E592" s="83">
        <f>TDCTRIBE!Z600</f>
        <v>368822.07690299995</v>
      </c>
      <c r="F592" s="83">
        <f>TDCTRIBE!AA600</f>
        <v>418046.95744350005</v>
      </c>
      <c r="G592" s="83">
        <f>TDCTRIBE!AB600</f>
        <v>452839.85999700008</v>
      </c>
      <c r="H592" s="83">
        <f>TDCTRIBE!AC600</f>
        <v>488177.21007300005</v>
      </c>
      <c r="O592" s="9"/>
      <c r="P592" s="1"/>
      <c r="Q592" s="1"/>
      <c r="R592" s="1"/>
      <c r="S592" s="7"/>
      <c r="T592" s="1"/>
      <c r="U592" s="1"/>
      <c r="V592" s="9"/>
      <c r="W592" s="3"/>
      <c r="X592" s="4"/>
      <c r="Y592" s="1"/>
      <c r="Z592" s="1"/>
      <c r="AA592" s="1"/>
      <c r="AB592" s="1"/>
      <c r="AC592" s="1"/>
      <c r="AD592" s="3"/>
      <c r="AE592" s="3"/>
      <c r="AF592" s="5"/>
      <c r="AG592" s="5"/>
      <c r="AH592" s="5"/>
      <c r="AI592" s="5"/>
      <c r="AJ592" s="6"/>
      <c r="AK592" s="6"/>
      <c r="AL592" s="12"/>
      <c r="AM592" s="12"/>
      <c r="AN592" s="12"/>
      <c r="AO592" s="12"/>
      <c r="AP592" s="12"/>
    </row>
    <row r="593" spans="1:42" ht="15" x14ac:dyDescent="0.25">
      <c r="A593" s="82" t="str">
        <f>TDCTRIBE!I601</f>
        <v>Southwest</v>
      </c>
      <c r="B593" s="82" t="str">
        <f>TDCTRIBE!B601</f>
        <v>NV</v>
      </c>
      <c r="C593" s="82" t="str">
        <f>TDCTRIBE!F601</f>
        <v>Ely Shoshone</v>
      </c>
      <c r="D593" s="83">
        <f>TDCTRIBE!Y601</f>
        <v>333767.82631500001</v>
      </c>
      <c r="E593" s="83">
        <f>TDCTRIBE!Z601</f>
        <v>368822.07690299995</v>
      </c>
      <c r="F593" s="83">
        <f>TDCTRIBE!AA601</f>
        <v>418046.95744350005</v>
      </c>
      <c r="G593" s="83">
        <f>TDCTRIBE!AB601</f>
        <v>452839.85999700008</v>
      </c>
      <c r="H593" s="83">
        <f>TDCTRIBE!AC601</f>
        <v>488177.21007300005</v>
      </c>
      <c r="O593" s="9"/>
      <c r="P593" s="1"/>
      <c r="Q593" s="1"/>
      <c r="R593" s="1"/>
      <c r="S593" s="1"/>
      <c r="T593" s="1"/>
      <c r="U593" s="1"/>
      <c r="V593" s="9"/>
      <c r="W593" s="3"/>
      <c r="X593" s="4"/>
      <c r="Y593" s="1"/>
      <c r="Z593" s="1"/>
      <c r="AA593" s="1"/>
      <c r="AB593" s="1"/>
      <c r="AC593" s="1"/>
      <c r="AD593" s="3"/>
      <c r="AE593" s="3"/>
      <c r="AF593" s="5"/>
      <c r="AG593" s="5"/>
      <c r="AH593" s="5"/>
      <c r="AI593" s="5"/>
      <c r="AJ593" s="6"/>
      <c r="AK593" s="6"/>
      <c r="AL593" s="12"/>
      <c r="AM593" s="12"/>
      <c r="AN593" s="12"/>
      <c r="AO593" s="12"/>
      <c r="AP593" s="12"/>
    </row>
    <row r="594" spans="1:42" ht="15" x14ac:dyDescent="0.25">
      <c r="A594" s="82" t="str">
        <f>TDCTRIBE!I602</f>
        <v>Southwest</v>
      </c>
      <c r="B594" s="82" t="str">
        <f>TDCTRIBE!B602</f>
        <v>NV</v>
      </c>
      <c r="C594" s="82" t="str">
        <f>TDCTRIBE!F602</f>
        <v>Fallon Paiute-Shoshone</v>
      </c>
      <c r="D594" s="83">
        <f>TDCTRIBE!Y602</f>
        <v>301706.20903500001</v>
      </c>
      <c r="E594" s="83">
        <f>TDCTRIBE!Z602</f>
        <v>333511.63076700002</v>
      </c>
      <c r="F594" s="83">
        <f>TDCTRIBE!AA602</f>
        <v>378200.05527150008</v>
      </c>
      <c r="G594" s="83">
        <f>TDCTRIBE!AB602</f>
        <v>409772.80833300005</v>
      </c>
      <c r="H594" s="83">
        <f>TDCTRIBE!AC602</f>
        <v>441766.26389700006</v>
      </c>
      <c r="O594" s="9"/>
      <c r="P594" s="1"/>
      <c r="Q594" s="1"/>
      <c r="R594" s="1"/>
      <c r="S594" s="1"/>
      <c r="T594" s="1"/>
      <c r="U594" s="1"/>
      <c r="V594" s="9"/>
      <c r="W594" s="3"/>
      <c r="X594" s="4"/>
      <c r="Y594" s="1"/>
      <c r="Z594" s="1"/>
      <c r="AA594" s="1"/>
      <c r="AB594" s="1"/>
      <c r="AC594" s="1"/>
      <c r="AD594" s="3"/>
      <c r="AE594" s="3"/>
      <c r="AF594" s="5"/>
      <c r="AG594" s="5"/>
      <c r="AH594" s="5"/>
      <c r="AI594" s="5"/>
      <c r="AJ594" s="6"/>
      <c r="AK594" s="6"/>
      <c r="AL594" s="12"/>
      <c r="AM594" s="12"/>
      <c r="AN594" s="12"/>
      <c r="AO594" s="12"/>
      <c r="AP594" s="12"/>
    </row>
    <row r="595" spans="1:42" ht="15" x14ac:dyDescent="0.25">
      <c r="A595" s="82" t="str">
        <f>TDCTRIBE!I603</f>
        <v>Southwest</v>
      </c>
      <c r="B595" s="82" t="str">
        <f>TDCTRIBE!B603</f>
        <v>NV</v>
      </c>
      <c r="C595" s="82" t="str">
        <f>TDCTRIBE!F603</f>
        <v>Las Vegas Colony</v>
      </c>
      <c r="D595" s="83">
        <f>TDCTRIBE!Y603</f>
        <v>333767.82631500001</v>
      </c>
      <c r="E595" s="83">
        <f>TDCTRIBE!Z603</f>
        <v>368822.07690299995</v>
      </c>
      <c r="F595" s="83">
        <f>TDCTRIBE!AA603</f>
        <v>418046.95744350005</v>
      </c>
      <c r="G595" s="83">
        <f>TDCTRIBE!AB603</f>
        <v>452839.85999700008</v>
      </c>
      <c r="H595" s="83">
        <f>TDCTRIBE!AC603</f>
        <v>488177.21007300005</v>
      </c>
      <c r="O595" s="9"/>
      <c r="P595" s="1"/>
      <c r="Q595" s="1"/>
      <c r="R595" s="1"/>
      <c r="S595" s="1"/>
      <c r="T595" s="1"/>
      <c r="U595" s="1"/>
      <c r="V595" s="9"/>
      <c r="W595" s="3"/>
      <c r="X595" s="4"/>
      <c r="Y595" s="1"/>
      <c r="Z595" s="1"/>
      <c r="AA595" s="1"/>
      <c r="AB595" s="1"/>
      <c r="AC595" s="1"/>
      <c r="AD595" s="3"/>
      <c r="AE595" s="3"/>
      <c r="AF595" s="5"/>
      <c r="AG595" s="5"/>
      <c r="AH595" s="5"/>
      <c r="AI595" s="5"/>
      <c r="AJ595" s="6"/>
      <c r="AK595" s="6"/>
      <c r="AL595" s="12"/>
      <c r="AM595" s="12"/>
      <c r="AN595" s="12"/>
      <c r="AO595" s="12"/>
      <c r="AP595" s="12"/>
    </row>
    <row r="596" spans="1:42" ht="15" x14ac:dyDescent="0.25">
      <c r="A596" s="82" t="str">
        <f>TDCTRIBE!I604</f>
        <v>Southwest</v>
      </c>
      <c r="B596" s="82" t="str">
        <f>TDCTRIBE!B604</f>
        <v>NV</v>
      </c>
      <c r="C596" s="82" t="str">
        <f>TDCTRIBE!F604</f>
        <v>Lovelock Colony</v>
      </c>
      <c r="D596" s="83">
        <f>TDCTRIBE!Y604</f>
        <v>313656.27331500006</v>
      </c>
      <c r="E596" s="83">
        <f>TDCTRIBE!Z604</f>
        <v>346913.24730300001</v>
      </c>
      <c r="F596" s="83">
        <f>TDCTRIBE!AA604</f>
        <v>393682.64824350004</v>
      </c>
      <c r="G596" s="83">
        <f>TDCTRIBE!AB604</f>
        <v>426703.52459700004</v>
      </c>
      <c r="H596" s="83">
        <f>TDCTRIBE!AC604</f>
        <v>460046.10147300002</v>
      </c>
      <c r="O596" s="9"/>
      <c r="P596" s="1"/>
      <c r="Q596" s="1"/>
      <c r="R596" s="1"/>
      <c r="S596" s="1"/>
      <c r="T596" s="1"/>
      <c r="U596" s="1"/>
      <c r="V596" s="9"/>
      <c r="W596" s="3"/>
      <c r="X596" s="4"/>
      <c r="Y596" s="1"/>
      <c r="Z596" s="1"/>
      <c r="AA596" s="1"/>
      <c r="AB596" s="1"/>
      <c r="AC596" s="1"/>
      <c r="AD596" s="3"/>
      <c r="AE596" s="3"/>
      <c r="AF596" s="5"/>
      <c r="AG596" s="5"/>
      <c r="AH596" s="5"/>
      <c r="AI596" s="5"/>
      <c r="AJ596" s="6"/>
      <c r="AK596" s="6"/>
      <c r="AL596" s="12"/>
      <c r="AM596" s="12"/>
      <c r="AN596" s="12"/>
      <c r="AO596" s="12"/>
      <c r="AP596" s="12"/>
    </row>
    <row r="597" spans="1:42" ht="15" x14ac:dyDescent="0.25">
      <c r="A597" s="82" t="str">
        <f>TDCTRIBE!I605</f>
        <v>Southwest</v>
      </c>
      <c r="B597" s="82" t="str">
        <f>TDCTRIBE!B605</f>
        <v>NV</v>
      </c>
      <c r="C597" s="82" t="str">
        <f>TDCTRIBE!F605</f>
        <v>Moapa Band of Paiute</v>
      </c>
      <c r="D597" s="83">
        <f>TDCTRIBE!Y605</f>
        <v>333767.82631500001</v>
      </c>
      <c r="E597" s="83">
        <f>TDCTRIBE!Z605</f>
        <v>368822.07690299995</v>
      </c>
      <c r="F597" s="83">
        <f>TDCTRIBE!AA605</f>
        <v>418046.95744350005</v>
      </c>
      <c r="G597" s="83">
        <f>TDCTRIBE!AB605</f>
        <v>452839.85999700008</v>
      </c>
      <c r="H597" s="83">
        <f>TDCTRIBE!AC605</f>
        <v>488177.21007300005</v>
      </c>
      <c r="O597" s="9"/>
      <c r="P597" s="1"/>
      <c r="Q597" s="1"/>
      <c r="R597" s="1"/>
      <c r="S597" s="1"/>
      <c r="T597" s="1"/>
      <c r="U597" s="1"/>
      <c r="V597" s="9"/>
      <c r="W597" s="3"/>
      <c r="X597" s="4"/>
      <c r="Y597" s="1"/>
      <c r="Z597" s="1"/>
      <c r="AA597" s="1"/>
      <c r="AB597" s="1"/>
      <c r="AC597" s="1"/>
      <c r="AD597" s="3"/>
      <c r="AE597" s="3"/>
      <c r="AF597" s="5"/>
      <c r="AG597" s="5"/>
      <c r="AH597" s="5"/>
      <c r="AI597" s="5"/>
      <c r="AJ597" s="6"/>
      <c r="AK597" s="6"/>
      <c r="AL597" s="12"/>
      <c r="AM597" s="12"/>
      <c r="AN597" s="12"/>
      <c r="AO597" s="12"/>
      <c r="AP597" s="12"/>
    </row>
    <row r="598" spans="1:42" ht="15" x14ac:dyDescent="0.25">
      <c r="A598" s="82" t="str">
        <f>TDCTRIBE!I606</f>
        <v>Southwest</v>
      </c>
      <c r="B598" s="82" t="str">
        <f>TDCTRIBE!B606</f>
        <v>NV</v>
      </c>
      <c r="C598" s="82" t="str">
        <f>TDCTRIBE!F606</f>
        <v>Pyramid Lake Paiute</v>
      </c>
      <c r="D598" s="83">
        <f>TDCTRIBE!Y606</f>
        <v>307681.24117500003</v>
      </c>
      <c r="E598" s="83">
        <f>TDCTRIBE!Z606</f>
        <v>340212.43903499999</v>
      </c>
      <c r="F598" s="83">
        <f>TDCTRIBE!AA606</f>
        <v>385941.35175750009</v>
      </c>
      <c r="G598" s="83">
        <f>TDCTRIBE!AB606</f>
        <v>418238.16646500007</v>
      </c>
      <c r="H598" s="83">
        <f>TDCTRIBE!AC606</f>
        <v>450906.18268500001</v>
      </c>
      <c r="O598" s="9"/>
      <c r="P598" s="1"/>
      <c r="Q598" s="1"/>
      <c r="R598" s="1"/>
      <c r="S598" s="1"/>
      <c r="T598" s="1"/>
      <c r="U598" s="1"/>
      <c r="V598" s="9"/>
      <c r="W598" s="3"/>
      <c r="X598" s="4"/>
      <c r="Y598" s="1"/>
      <c r="Z598" s="1"/>
      <c r="AA598" s="1"/>
      <c r="AB598" s="1"/>
      <c r="AC598" s="1"/>
      <c r="AD598" s="3"/>
      <c r="AE598" s="3"/>
      <c r="AF598" s="5"/>
      <c r="AG598" s="5"/>
      <c r="AH598" s="5"/>
      <c r="AI598" s="5"/>
      <c r="AJ598" s="6"/>
      <c r="AK598" s="6"/>
      <c r="AL598" s="12"/>
      <c r="AM598" s="12"/>
      <c r="AN598" s="12"/>
      <c r="AO598" s="12"/>
      <c r="AP598" s="12"/>
    </row>
    <row r="599" spans="1:42" ht="15" x14ac:dyDescent="0.25">
      <c r="A599" s="82" t="str">
        <f>TDCTRIBE!I607</f>
        <v>Southwest</v>
      </c>
      <c r="B599" s="82" t="str">
        <f>TDCTRIBE!B607</f>
        <v>NV</v>
      </c>
      <c r="C599" s="82" t="str">
        <f>TDCTRIBE!F607</f>
        <v>Reno-Sparks Colony</v>
      </c>
      <c r="D599" s="83">
        <f>TDCTRIBE!Y607</f>
        <v>307681.24117500003</v>
      </c>
      <c r="E599" s="83">
        <f>TDCTRIBE!Z607</f>
        <v>340212.43903499999</v>
      </c>
      <c r="F599" s="83">
        <f>TDCTRIBE!AA607</f>
        <v>385941.35175750009</v>
      </c>
      <c r="G599" s="83">
        <f>TDCTRIBE!AB607</f>
        <v>418238.16646500007</v>
      </c>
      <c r="H599" s="83">
        <f>TDCTRIBE!AC607</f>
        <v>450906.18268500001</v>
      </c>
      <c r="O599" s="9"/>
      <c r="P599" s="1"/>
      <c r="Q599" s="1"/>
      <c r="R599" s="1"/>
      <c r="S599" s="1"/>
      <c r="T599" s="1"/>
      <c r="U599" s="1"/>
      <c r="V599" s="9"/>
      <c r="W599" s="3"/>
      <c r="X599" s="4"/>
      <c r="Y599" s="1"/>
      <c r="Z599" s="1"/>
      <c r="AA599" s="1"/>
      <c r="AB599" s="1"/>
      <c r="AC599" s="1"/>
      <c r="AD599" s="3"/>
      <c r="AE599" s="3"/>
      <c r="AF599" s="5"/>
      <c r="AG599" s="5"/>
      <c r="AH599" s="5"/>
      <c r="AI599" s="5"/>
      <c r="AJ599" s="6"/>
      <c r="AK599" s="6"/>
      <c r="AL599" s="12"/>
      <c r="AM599" s="12"/>
      <c r="AN599" s="12"/>
      <c r="AO599" s="12"/>
      <c r="AP599" s="12"/>
    </row>
    <row r="600" spans="1:42" ht="15" x14ac:dyDescent="0.25">
      <c r="A600" s="82" t="str">
        <f>TDCTRIBE!I608</f>
        <v>Southwest</v>
      </c>
      <c r="B600" s="82" t="str">
        <f>TDCTRIBE!B608</f>
        <v>NV</v>
      </c>
      <c r="C600" s="82" t="str">
        <f>TDCTRIBE!F608</f>
        <v>Summit Lake Paiute Tribe</v>
      </c>
      <c r="D600" s="83">
        <f>TDCTRIBE!Y608</f>
        <v>313656.27331500006</v>
      </c>
      <c r="E600" s="83">
        <f>TDCTRIBE!Z608</f>
        <v>346913.24730300001</v>
      </c>
      <c r="F600" s="83">
        <f>TDCTRIBE!AA608</f>
        <v>393682.64824350004</v>
      </c>
      <c r="G600" s="83">
        <f>TDCTRIBE!AB608</f>
        <v>426703.52459700004</v>
      </c>
      <c r="H600" s="83">
        <f>TDCTRIBE!AC608</f>
        <v>460046.10147300002</v>
      </c>
      <c r="O600" s="9"/>
      <c r="P600" s="1"/>
      <c r="Q600" s="1"/>
      <c r="R600" s="1"/>
      <c r="S600" s="7"/>
      <c r="T600" s="1"/>
      <c r="U600" s="1"/>
      <c r="V600" s="9"/>
      <c r="W600" s="3"/>
      <c r="X600" s="4"/>
      <c r="Y600" s="1"/>
      <c r="Z600" s="1"/>
      <c r="AA600" s="1"/>
      <c r="AB600" s="1"/>
      <c r="AC600" s="1"/>
      <c r="AD600" s="3"/>
      <c r="AE600" s="3"/>
      <c r="AF600" s="5"/>
      <c r="AG600" s="5"/>
      <c r="AH600" s="5"/>
      <c r="AI600" s="5"/>
      <c r="AJ600" s="6"/>
      <c r="AK600" s="6"/>
      <c r="AL600" s="12"/>
      <c r="AM600" s="12"/>
      <c r="AN600" s="12"/>
      <c r="AO600" s="12"/>
      <c r="AP600" s="12"/>
    </row>
    <row r="601" spans="1:42" ht="15" x14ac:dyDescent="0.25">
      <c r="A601" s="82" t="str">
        <f>TDCTRIBE!I609</f>
        <v>Southwest</v>
      </c>
      <c r="B601" s="82" t="str">
        <f>TDCTRIBE!B609</f>
        <v>NV</v>
      </c>
      <c r="C601" s="82" t="str">
        <f>TDCTRIBE!F609</f>
        <v>Te-Moak</v>
      </c>
      <c r="D601" s="83">
        <f>TDCTRIBE!Y609</f>
        <v>330233.69610000006</v>
      </c>
      <c r="E601" s="83">
        <f>TDCTRIBE!Z609</f>
        <v>365020.07157000003</v>
      </c>
      <c r="F601" s="83">
        <f>TDCTRIBE!AA609</f>
        <v>413891.20426500001</v>
      </c>
      <c r="G601" s="83">
        <f>TDCTRIBE!AB609</f>
        <v>448422.11568000005</v>
      </c>
      <c r="H601" s="83">
        <f>TDCTRIBE!AC609</f>
        <v>483429.41262000002</v>
      </c>
      <c r="O601" s="9"/>
      <c r="P601" s="1"/>
      <c r="Q601" s="1"/>
      <c r="R601" s="1"/>
      <c r="S601" s="1"/>
      <c r="T601" s="1"/>
      <c r="U601" s="1"/>
      <c r="V601" s="9"/>
      <c r="W601" s="3"/>
      <c r="X601" s="4"/>
      <c r="Y601" s="1"/>
      <c r="Z601" s="1"/>
      <c r="AA601" s="1"/>
      <c r="AB601" s="1"/>
      <c r="AC601" s="1"/>
      <c r="AD601" s="3"/>
      <c r="AE601" s="3"/>
      <c r="AF601" s="5"/>
      <c r="AG601" s="5"/>
      <c r="AH601" s="5"/>
      <c r="AI601" s="5"/>
      <c r="AJ601" s="6"/>
      <c r="AK601" s="6"/>
      <c r="AL601" s="12"/>
      <c r="AM601" s="12"/>
      <c r="AN601" s="12"/>
      <c r="AO601" s="12"/>
      <c r="AP601" s="12"/>
    </row>
    <row r="602" spans="1:42" ht="15" x14ac:dyDescent="0.25">
      <c r="A602" s="82" t="str">
        <f>TDCTRIBE!I610</f>
        <v>Southwest</v>
      </c>
      <c r="B602" s="82" t="str">
        <f>TDCTRIBE!B610</f>
        <v>NV</v>
      </c>
      <c r="C602" s="82" t="str">
        <f>TDCTRIBE!F610</f>
        <v>Walker River Paiute Tribe</v>
      </c>
      <c r="D602" s="83">
        <f>TDCTRIBE!Y610</f>
        <v>313656.27331500006</v>
      </c>
      <c r="E602" s="83">
        <f>TDCTRIBE!Z610</f>
        <v>346913.24730300001</v>
      </c>
      <c r="F602" s="83">
        <f>TDCTRIBE!AA610</f>
        <v>393682.64824350004</v>
      </c>
      <c r="G602" s="83">
        <f>TDCTRIBE!AB610</f>
        <v>426703.52459700004</v>
      </c>
      <c r="H602" s="83">
        <f>TDCTRIBE!AC610</f>
        <v>460046.10147300002</v>
      </c>
      <c r="O602" s="9"/>
      <c r="P602" s="1"/>
      <c r="Q602" s="1"/>
      <c r="R602" s="1"/>
      <c r="S602" s="1"/>
      <c r="T602" s="1"/>
      <c r="U602" s="1"/>
      <c r="V602" s="9"/>
      <c r="W602" s="3"/>
      <c r="X602" s="4"/>
      <c r="Y602" s="1"/>
      <c r="Z602" s="1"/>
      <c r="AA602" s="1"/>
      <c r="AB602" s="1"/>
      <c r="AC602" s="1"/>
      <c r="AD602" s="3"/>
      <c r="AE602" s="3"/>
      <c r="AF602" s="5"/>
      <c r="AG602" s="5"/>
      <c r="AH602" s="5"/>
      <c r="AI602" s="5"/>
      <c r="AJ602" s="6"/>
      <c r="AK602" s="6"/>
      <c r="AL602" s="12"/>
      <c r="AM602" s="12"/>
      <c r="AN602" s="12"/>
      <c r="AO602" s="12"/>
      <c r="AP602" s="12"/>
    </row>
    <row r="603" spans="1:42" ht="15" x14ac:dyDescent="0.25">
      <c r="A603" s="82" t="str">
        <f>TDCTRIBE!I611</f>
        <v>Southwest</v>
      </c>
      <c r="B603" s="82" t="str">
        <f>TDCTRIBE!B611</f>
        <v>NV</v>
      </c>
      <c r="C603" s="82" t="str">
        <f>TDCTRIBE!F611</f>
        <v>Washoe Tribe</v>
      </c>
      <c r="D603" s="83">
        <f>TDCTRIBE!Y611</f>
        <v>313656.27331500006</v>
      </c>
      <c r="E603" s="83">
        <f>TDCTRIBE!Z611</f>
        <v>346913.24730300001</v>
      </c>
      <c r="F603" s="83">
        <f>TDCTRIBE!AA611</f>
        <v>393682.64824350004</v>
      </c>
      <c r="G603" s="83">
        <f>TDCTRIBE!AB611</f>
        <v>426703.52459700004</v>
      </c>
      <c r="H603" s="83">
        <f>TDCTRIBE!AC611</f>
        <v>460046.10147300002</v>
      </c>
      <c r="O603" s="9"/>
      <c r="P603" s="1"/>
      <c r="Q603" s="1"/>
      <c r="R603" s="1"/>
      <c r="S603" s="1"/>
      <c r="T603" s="1"/>
      <c r="U603" s="1"/>
      <c r="V603" s="9"/>
      <c r="W603" s="3"/>
      <c r="X603" s="4"/>
      <c r="Y603" s="1"/>
      <c r="Z603" s="1"/>
      <c r="AA603" s="1"/>
      <c r="AB603" s="1"/>
      <c r="AC603" s="1"/>
      <c r="AD603" s="3"/>
      <c r="AE603" s="3"/>
      <c r="AF603" s="5"/>
      <c r="AG603" s="5"/>
      <c r="AH603" s="5"/>
      <c r="AI603" s="5"/>
      <c r="AJ603" s="6"/>
      <c r="AK603" s="6"/>
      <c r="AL603" s="12"/>
      <c r="AM603" s="12"/>
      <c r="AN603" s="12"/>
      <c r="AO603" s="12"/>
      <c r="AP603" s="12"/>
    </row>
    <row r="604" spans="1:42" ht="15" x14ac:dyDescent="0.25">
      <c r="A604" s="82" t="str">
        <f>TDCTRIBE!I612</f>
        <v>Southwest</v>
      </c>
      <c r="B604" s="82" t="str">
        <f>TDCTRIBE!B612</f>
        <v>NV</v>
      </c>
      <c r="C604" s="82" t="str">
        <f>TDCTRIBE!F612</f>
        <v>Winnemucca Colony</v>
      </c>
      <c r="D604" s="83">
        <f>TDCTRIBE!Y612</f>
        <v>313656.27331500006</v>
      </c>
      <c r="E604" s="83">
        <f>TDCTRIBE!Z612</f>
        <v>346913.24730300001</v>
      </c>
      <c r="F604" s="83">
        <f>TDCTRIBE!AA612</f>
        <v>393682.64824350004</v>
      </c>
      <c r="G604" s="83">
        <f>TDCTRIBE!AB612</f>
        <v>426703.52459700004</v>
      </c>
      <c r="H604" s="83">
        <f>TDCTRIBE!AC612</f>
        <v>460046.10147300002</v>
      </c>
      <c r="O604" s="9"/>
      <c r="P604" s="1"/>
      <c r="Q604" s="1"/>
      <c r="R604" s="1"/>
      <c r="S604" s="1"/>
      <c r="T604" s="1"/>
      <c r="U604" s="1"/>
      <c r="V604" s="9"/>
      <c r="W604" s="3"/>
      <c r="X604" s="4"/>
      <c r="Y604" s="1"/>
      <c r="Z604" s="1"/>
      <c r="AA604" s="1"/>
      <c r="AB604" s="1"/>
      <c r="AC604" s="1"/>
      <c r="AD604" s="3"/>
      <c r="AE604" s="3"/>
      <c r="AF604" s="5"/>
      <c r="AG604" s="5"/>
      <c r="AH604" s="5"/>
      <c r="AI604" s="5"/>
      <c r="AJ604" s="6"/>
      <c r="AK604" s="6"/>
      <c r="AL604" s="12"/>
      <c r="AM604" s="12"/>
      <c r="AN604" s="12"/>
      <c r="AO604" s="12"/>
      <c r="AP604" s="12"/>
    </row>
    <row r="605" spans="1:42" ht="15" x14ac:dyDescent="0.25">
      <c r="A605" s="82" t="str">
        <f>TDCTRIBE!I613</f>
        <v>Southwest</v>
      </c>
      <c r="B605" s="82" t="str">
        <f>TDCTRIBE!B613</f>
        <v>NV</v>
      </c>
      <c r="C605" s="82" t="str">
        <f>TDCTRIBE!F613</f>
        <v>Yerington Paiute Tribe</v>
      </c>
      <c r="D605" s="83">
        <f>TDCTRIBE!Y613</f>
        <v>313656.27331500006</v>
      </c>
      <c r="E605" s="83">
        <f>TDCTRIBE!Z613</f>
        <v>346913.24730300001</v>
      </c>
      <c r="F605" s="83">
        <f>TDCTRIBE!AA613</f>
        <v>393682.64824350004</v>
      </c>
      <c r="G605" s="83">
        <f>TDCTRIBE!AB613</f>
        <v>426703.52459700004</v>
      </c>
      <c r="H605" s="83">
        <f>TDCTRIBE!AC613</f>
        <v>460046.10147300002</v>
      </c>
      <c r="O605" s="9"/>
      <c r="P605" s="1"/>
      <c r="Q605" s="1"/>
      <c r="R605" s="1"/>
      <c r="S605" s="1"/>
      <c r="T605" s="1"/>
      <c r="U605" s="1"/>
      <c r="V605" s="9"/>
      <c r="W605" s="3"/>
      <c r="X605" s="4"/>
      <c r="Y605" s="1"/>
      <c r="Z605" s="1"/>
      <c r="AA605" s="1"/>
      <c r="AB605" s="1"/>
      <c r="AC605" s="1"/>
      <c r="AD605" s="3"/>
      <c r="AE605" s="3"/>
      <c r="AF605" s="5"/>
      <c r="AG605" s="5"/>
      <c r="AH605" s="5"/>
      <c r="AI605" s="5"/>
      <c r="AJ605" s="6"/>
      <c r="AK605" s="6"/>
      <c r="AL605" s="12"/>
      <c r="AM605" s="12"/>
      <c r="AN605" s="12"/>
      <c r="AO605" s="12"/>
      <c r="AP605" s="12"/>
    </row>
    <row r="606" spans="1:42" ht="15" x14ac:dyDescent="0.25">
      <c r="A606" s="82" t="str">
        <f>TDCTRIBE!I614</f>
        <v>Southwest</v>
      </c>
      <c r="B606" s="82" t="str">
        <f>TDCTRIBE!B614</f>
        <v>NV</v>
      </c>
      <c r="C606" s="82" t="str">
        <f>TDCTRIBE!F614</f>
        <v>Yomba Shoshone Tribe</v>
      </c>
      <c r="D606" s="83">
        <f>TDCTRIBE!Y614</f>
        <v>333767.82631500001</v>
      </c>
      <c r="E606" s="83">
        <f>TDCTRIBE!Z614</f>
        <v>368822.07690299995</v>
      </c>
      <c r="F606" s="83">
        <f>TDCTRIBE!AA614</f>
        <v>418046.95744350005</v>
      </c>
      <c r="G606" s="83">
        <f>TDCTRIBE!AB614</f>
        <v>452839.85999700008</v>
      </c>
      <c r="H606" s="83">
        <f>TDCTRIBE!AC614</f>
        <v>488177.21007300005</v>
      </c>
      <c r="O606" s="9"/>
      <c r="P606" s="1"/>
      <c r="Q606" s="1"/>
      <c r="R606" s="1"/>
      <c r="S606" s="1"/>
      <c r="T606" s="1"/>
      <c r="U606" s="1"/>
      <c r="V606" s="9"/>
      <c r="W606" s="3"/>
      <c r="X606" s="4"/>
      <c r="Y606" s="7"/>
      <c r="Z606" s="1"/>
      <c r="AA606" s="1"/>
      <c r="AB606" s="1"/>
      <c r="AC606" s="1"/>
      <c r="AD606" s="3"/>
      <c r="AE606" s="3"/>
      <c r="AF606" s="5"/>
      <c r="AG606" s="5"/>
      <c r="AH606" s="5"/>
      <c r="AI606" s="5"/>
      <c r="AJ606" s="6"/>
      <c r="AK606" s="6"/>
      <c r="AL606" s="12"/>
      <c r="AM606" s="12"/>
      <c r="AN606" s="12"/>
      <c r="AO606" s="12"/>
      <c r="AP606" s="12"/>
    </row>
    <row r="607" spans="1:42" ht="15" x14ac:dyDescent="0.25">
      <c r="A607" s="82" t="str">
        <f>TDCTRIBE!I615</f>
        <v>Southwest</v>
      </c>
      <c r="B607" s="82" t="str">
        <f>TDCTRIBE!B615</f>
        <v>NV</v>
      </c>
      <c r="C607" s="82" t="str">
        <f>TDCTRIBE!F615</f>
        <v>Fort McDermitt Paiute and Shoshone</v>
      </c>
      <c r="D607" s="83">
        <f>TDCTRIBE!Y615</f>
        <v>317737.01767500001</v>
      </c>
      <c r="E607" s="83">
        <f>TDCTRIBE!Z615</f>
        <v>351166.85383499996</v>
      </c>
      <c r="F607" s="83">
        <f>TDCTRIBE!AA615</f>
        <v>398123.50635750004</v>
      </c>
      <c r="G607" s="83">
        <f>TDCTRIBE!AB615</f>
        <v>431306.33416500007</v>
      </c>
      <c r="H607" s="83">
        <f>TDCTRIBE!AC615</f>
        <v>464971.73698500003</v>
      </c>
      <c r="O607" s="9"/>
      <c r="P607" s="1"/>
      <c r="Q607" s="1"/>
      <c r="R607" s="1"/>
      <c r="S607" s="1"/>
      <c r="T607" s="1"/>
      <c r="U607" s="1"/>
      <c r="V607" s="9"/>
      <c r="W607" s="3"/>
      <c r="X607" s="4"/>
      <c r="Y607" s="1"/>
      <c r="Z607" s="1"/>
      <c r="AA607" s="1"/>
      <c r="AB607" s="1"/>
      <c r="AC607" s="1"/>
      <c r="AD607" s="3"/>
      <c r="AE607" s="3"/>
      <c r="AF607" s="5"/>
      <c r="AG607" s="5"/>
      <c r="AH607" s="5"/>
      <c r="AI607" s="5"/>
      <c r="AJ607" s="6"/>
      <c r="AK607" s="6"/>
      <c r="AL607" s="12"/>
      <c r="AM607" s="12"/>
      <c r="AN607" s="12"/>
      <c r="AO607" s="12"/>
      <c r="AP607" s="12"/>
    </row>
    <row r="608" spans="1:42" ht="15" x14ac:dyDescent="0.25">
      <c r="A608" s="82" t="str">
        <f>TDCTRIBE!I616</f>
        <v>Southwest</v>
      </c>
      <c r="B608" s="82" t="str">
        <f>TDCTRIBE!B616</f>
        <v>TX</v>
      </c>
      <c r="C608" s="82" t="str">
        <f>TDCTRIBE!F616</f>
        <v>Ysleta Del Sur</v>
      </c>
      <c r="D608" s="83">
        <f>TDCTRIBE!Y616</f>
        <v>267021.48511500005</v>
      </c>
      <c r="E608" s="83">
        <f>TDCTRIBE!Z616</f>
        <v>295151.84796300001</v>
      </c>
      <c r="F608" s="83">
        <f>TDCTRIBE!AA616</f>
        <v>334672.57481350005</v>
      </c>
      <c r="G608" s="83">
        <f>TDCTRIBE!AB616</f>
        <v>362596.45443699998</v>
      </c>
      <c r="H608" s="83">
        <f>TDCTRIBE!AC616</f>
        <v>390903.91703300003</v>
      </c>
      <c r="O608" s="9"/>
      <c r="P608" s="1"/>
      <c r="Q608" s="1"/>
      <c r="R608" s="1"/>
      <c r="S608" s="1"/>
      <c r="T608" s="1"/>
      <c r="U608" s="1"/>
      <c r="V608" s="9"/>
      <c r="W608" s="3"/>
      <c r="X608" s="4"/>
      <c r="Y608" s="1"/>
      <c r="Z608" s="1"/>
      <c r="AA608" s="1"/>
      <c r="AB608" s="1"/>
      <c r="AC608" s="1"/>
      <c r="AD608" s="3"/>
      <c r="AE608" s="3"/>
      <c r="AF608" s="5"/>
      <c r="AG608" s="5"/>
      <c r="AH608" s="5"/>
      <c r="AI608" s="5"/>
      <c r="AJ608" s="6"/>
      <c r="AK608" s="6"/>
      <c r="AL608" s="12"/>
      <c r="AM608" s="12"/>
      <c r="AN608" s="12"/>
      <c r="AO608" s="12"/>
      <c r="AP608" s="12"/>
    </row>
    <row r="609" spans="1:42" x14ac:dyDescent="0.25">
      <c r="D609" s="2"/>
      <c r="E609" s="2"/>
      <c r="F609" s="2"/>
      <c r="G609" s="2"/>
      <c r="H609" s="2"/>
      <c r="O609" s="9"/>
      <c r="P609" s="1"/>
      <c r="Q609" s="1"/>
      <c r="R609" s="1"/>
      <c r="S609" s="1"/>
      <c r="T609" s="1"/>
      <c r="U609" s="1"/>
      <c r="V609" s="9"/>
      <c r="W609" s="3"/>
      <c r="X609" s="4"/>
      <c r="Y609" s="1"/>
      <c r="Z609" s="1"/>
      <c r="AA609" s="1"/>
      <c r="AB609" s="1"/>
      <c r="AC609" s="1"/>
      <c r="AD609" s="3"/>
      <c r="AE609" s="3"/>
      <c r="AF609" s="5"/>
      <c r="AG609" s="5"/>
      <c r="AH609" s="5"/>
      <c r="AI609" s="5"/>
      <c r="AJ609" s="6"/>
      <c r="AK609" s="6"/>
      <c r="AL609" s="12"/>
      <c r="AM609" s="12"/>
      <c r="AN609" s="12"/>
      <c r="AO609" s="12"/>
      <c r="AP609" s="12"/>
    </row>
    <row r="610" spans="1:42" ht="15" x14ac:dyDescent="0.25">
      <c r="A610" s="34"/>
      <c r="B610" s="34"/>
      <c r="C610" s="34"/>
      <c r="D610" s="35"/>
      <c r="E610" s="35"/>
      <c r="F610" s="35"/>
      <c r="G610" s="35"/>
      <c r="H610" s="35"/>
      <c r="I610" s="29"/>
      <c r="O610" s="9"/>
      <c r="P610" s="1"/>
      <c r="Q610" s="1"/>
      <c r="R610" s="1"/>
      <c r="S610" s="1"/>
      <c r="T610" s="1"/>
      <c r="U610" s="1"/>
      <c r="V610" s="9"/>
      <c r="W610" s="3"/>
      <c r="X610" s="4"/>
      <c r="Y610" s="1"/>
      <c r="Z610" s="1"/>
      <c r="AA610" s="1"/>
      <c r="AB610" s="1"/>
      <c r="AC610" s="1"/>
      <c r="AD610" s="3"/>
      <c r="AE610" s="3"/>
      <c r="AF610" s="5"/>
      <c r="AG610" s="5"/>
      <c r="AH610" s="5"/>
      <c r="AI610" s="5"/>
      <c r="AJ610" s="6"/>
      <c r="AK610" s="6"/>
      <c r="AL610" s="12"/>
      <c r="AM610" s="12"/>
      <c r="AN610" s="12"/>
      <c r="AO610" s="12"/>
      <c r="AP610" s="12"/>
    </row>
    <row r="611" spans="1:42" ht="15" x14ac:dyDescent="0.25">
      <c r="A611" s="34"/>
      <c r="B611" s="34"/>
      <c r="C611" s="34"/>
      <c r="D611" s="35"/>
      <c r="E611" s="35"/>
      <c r="F611" s="35"/>
      <c r="G611" s="35"/>
      <c r="H611" s="35"/>
      <c r="I611" s="29"/>
      <c r="O611" s="9"/>
      <c r="P611" s="1"/>
      <c r="Q611" s="1"/>
      <c r="R611" s="1"/>
      <c r="S611" s="1"/>
      <c r="T611" s="1"/>
      <c r="U611" s="1"/>
      <c r="V611" s="9"/>
      <c r="W611" s="3"/>
      <c r="X611" s="4"/>
      <c r="Y611" s="1"/>
      <c r="Z611" s="1"/>
      <c r="AA611" s="1"/>
      <c r="AB611" s="1"/>
      <c r="AC611" s="1"/>
      <c r="AD611" s="3"/>
      <c r="AE611" s="3"/>
      <c r="AF611" s="5"/>
      <c r="AG611" s="5"/>
      <c r="AH611" s="5"/>
      <c r="AI611" s="5"/>
      <c r="AJ611" s="6"/>
      <c r="AK611" s="6"/>
      <c r="AL611" s="12"/>
      <c r="AM611" s="12"/>
      <c r="AN611" s="12"/>
      <c r="AO611" s="12"/>
      <c r="AP611" s="12"/>
    </row>
    <row r="612" spans="1:42" ht="15" x14ac:dyDescent="0.25">
      <c r="A612" s="34"/>
      <c r="B612" s="34"/>
      <c r="C612" s="34"/>
      <c r="D612" s="35"/>
      <c r="E612" s="35"/>
      <c r="F612" s="35"/>
      <c r="G612" s="35"/>
      <c r="H612" s="35"/>
      <c r="I612" s="29"/>
      <c r="O612" s="9"/>
      <c r="P612" s="1"/>
      <c r="Q612" s="1"/>
      <c r="R612" s="1"/>
      <c r="S612" s="1"/>
      <c r="T612" s="1"/>
      <c r="U612" s="1"/>
      <c r="V612" s="9"/>
      <c r="W612" s="3"/>
      <c r="X612" s="4"/>
      <c r="Y612" s="1"/>
      <c r="Z612" s="1"/>
      <c r="AA612" s="1"/>
      <c r="AB612" s="1"/>
      <c r="AC612" s="1"/>
      <c r="AD612" s="3"/>
      <c r="AE612" s="3"/>
      <c r="AF612" s="5"/>
      <c r="AG612" s="5"/>
      <c r="AH612" s="5"/>
      <c r="AI612" s="5"/>
      <c r="AJ612" s="6"/>
      <c r="AK612" s="6"/>
      <c r="AL612" s="12"/>
      <c r="AM612" s="12"/>
      <c r="AN612" s="12"/>
      <c r="AO612" s="12"/>
      <c r="AP612" s="12"/>
    </row>
    <row r="613" spans="1:42" ht="15" x14ac:dyDescent="0.25">
      <c r="A613" s="34"/>
      <c r="B613" s="34"/>
      <c r="C613" s="34"/>
      <c r="D613" s="35"/>
      <c r="E613" s="35"/>
      <c r="F613" s="35"/>
      <c r="G613" s="35"/>
      <c r="H613" s="35"/>
      <c r="I613" s="29"/>
      <c r="O613" s="9"/>
      <c r="P613" s="1"/>
      <c r="Q613" s="1"/>
      <c r="R613" s="1"/>
      <c r="S613" s="1"/>
      <c r="T613" s="1"/>
      <c r="U613" s="1"/>
      <c r="V613" s="9"/>
      <c r="W613" s="3"/>
      <c r="X613" s="4"/>
      <c r="Y613" s="1"/>
      <c r="Z613" s="1"/>
      <c r="AA613" s="1"/>
      <c r="AB613" s="1"/>
      <c r="AC613" s="1"/>
      <c r="AD613" s="3"/>
      <c r="AE613" s="3"/>
      <c r="AF613" s="5"/>
      <c r="AG613" s="5"/>
      <c r="AH613" s="5"/>
      <c r="AI613" s="5"/>
      <c r="AJ613" s="6"/>
      <c r="AK613" s="6"/>
      <c r="AL613" s="12"/>
      <c r="AM613" s="12"/>
      <c r="AN613" s="12"/>
      <c r="AO613" s="12"/>
      <c r="AP613" s="12"/>
    </row>
    <row r="614" spans="1:42" ht="15" x14ac:dyDescent="0.25">
      <c r="A614" s="34"/>
      <c r="B614" s="34"/>
      <c r="C614" s="34"/>
      <c r="D614" s="35"/>
      <c r="E614" s="35"/>
      <c r="F614" s="35"/>
      <c r="G614" s="35"/>
      <c r="H614" s="35"/>
      <c r="I614" s="29"/>
      <c r="O614" s="9"/>
      <c r="P614" s="1"/>
      <c r="Q614" s="1"/>
      <c r="R614" s="1"/>
      <c r="S614" s="1"/>
      <c r="T614" s="1"/>
      <c r="U614" s="1"/>
      <c r="V614" s="9"/>
      <c r="W614" s="3"/>
      <c r="X614" s="4"/>
      <c r="Y614" s="1"/>
      <c r="Z614" s="1"/>
      <c r="AA614" s="1"/>
      <c r="AB614" s="1"/>
      <c r="AC614" s="1"/>
      <c r="AD614" s="3"/>
      <c r="AE614" s="3"/>
      <c r="AF614" s="5"/>
      <c r="AG614" s="5"/>
      <c r="AH614" s="5"/>
      <c r="AI614" s="5"/>
      <c r="AJ614" s="6"/>
      <c r="AK614" s="6"/>
      <c r="AL614" s="12"/>
      <c r="AM614" s="12"/>
      <c r="AN614" s="12"/>
      <c r="AO614" s="12"/>
      <c r="AP614" s="12"/>
    </row>
    <row r="615" spans="1:42" ht="15" x14ac:dyDescent="0.25">
      <c r="A615" s="34"/>
      <c r="B615" s="34"/>
      <c r="C615" s="34"/>
      <c r="D615" s="35"/>
      <c r="E615" s="35"/>
      <c r="F615" s="35"/>
      <c r="G615" s="35"/>
      <c r="H615" s="35"/>
      <c r="I615" s="29"/>
      <c r="O615" s="9"/>
      <c r="P615" s="1"/>
      <c r="Q615" s="1"/>
      <c r="R615" s="1"/>
      <c r="S615" s="7"/>
      <c r="T615" s="1"/>
      <c r="U615" s="1"/>
      <c r="V615" s="9"/>
      <c r="W615" s="3"/>
      <c r="X615" s="4"/>
      <c r="Y615" s="1"/>
      <c r="Z615" s="1"/>
      <c r="AA615" s="1"/>
      <c r="AB615" s="1"/>
      <c r="AC615" s="1"/>
      <c r="AD615" s="3"/>
      <c r="AE615" s="3"/>
      <c r="AF615" s="5"/>
      <c r="AG615" s="5"/>
      <c r="AH615" s="5"/>
      <c r="AI615" s="5"/>
      <c r="AJ615" s="6"/>
      <c r="AK615" s="6"/>
      <c r="AL615" s="12"/>
      <c r="AM615" s="12"/>
      <c r="AN615" s="12"/>
      <c r="AO615" s="12"/>
      <c r="AP615" s="12"/>
    </row>
    <row r="616" spans="1:42" ht="15" x14ac:dyDescent="0.25">
      <c r="A616" s="34"/>
      <c r="B616" s="34"/>
      <c r="C616" s="34"/>
      <c r="D616" s="35"/>
      <c r="E616" s="36"/>
      <c r="F616" s="36"/>
      <c r="G616" s="36"/>
      <c r="H616" s="36"/>
      <c r="I616" s="29"/>
    </row>
    <row r="617" spans="1:42" ht="15" x14ac:dyDescent="0.25">
      <c r="A617" s="34"/>
      <c r="B617" s="34"/>
      <c r="C617" s="34"/>
      <c r="D617" s="35"/>
      <c r="E617" s="37"/>
      <c r="F617" s="37"/>
      <c r="G617" s="35"/>
      <c r="H617" s="35"/>
      <c r="I617" s="31"/>
    </row>
    <row r="618" spans="1:42" ht="15" x14ac:dyDescent="0.25">
      <c r="A618" s="34"/>
      <c r="B618" s="34"/>
      <c r="C618" s="34"/>
      <c r="D618" s="35"/>
      <c r="E618" s="37"/>
      <c r="F618" s="37"/>
      <c r="G618" s="35"/>
      <c r="H618" s="35"/>
      <c r="I618" s="31"/>
    </row>
    <row r="619" spans="1:42" ht="15" x14ac:dyDescent="0.25">
      <c r="A619" s="34"/>
      <c r="B619" s="34"/>
      <c r="C619" s="34"/>
      <c r="D619" s="35"/>
      <c r="E619" s="37"/>
      <c r="F619" s="37"/>
      <c r="G619" s="35"/>
      <c r="H619" s="35"/>
      <c r="I619" s="31"/>
    </row>
    <row r="620" spans="1:42" ht="15" x14ac:dyDescent="0.25">
      <c r="A620" s="34"/>
      <c r="B620" s="34"/>
      <c r="C620" s="34"/>
      <c r="D620" s="35"/>
      <c r="E620" s="37"/>
      <c r="F620" s="37"/>
      <c r="G620" s="35"/>
      <c r="H620" s="35"/>
      <c r="I620" s="31"/>
    </row>
    <row r="621" spans="1:42" ht="15" x14ac:dyDescent="0.25">
      <c r="A621" s="34"/>
      <c r="B621" s="34"/>
      <c r="C621" s="34"/>
      <c r="D621" s="35"/>
      <c r="E621" s="37"/>
      <c r="F621" s="37"/>
      <c r="G621" s="35"/>
      <c r="H621" s="35"/>
      <c r="I621" s="31"/>
    </row>
    <row r="622" spans="1:42" ht="15" x14ac:dyDescent="0.25">
      <c r="A622" s="34"/>
      <c r="B622" s="34"/>
      <c r="C622" s="34"/>
      <c r="D622" s="35"/>
      <c r="E622" s="37"/>
      <c r="F622" s="37"/>
      <c r="G622" s="35"/>
      <c r="H622" s="35"/>
      <c r="I622" s="31"/>
    </row>
    <row r="623" spans="1:42" ht="15" x14ac:dyDescent="0.25">
      <c r="A623" s="34"/>
      <c r="B623" s="34"/>
      <c r="C623" s="34"/>
      <c r="D623" s="35"/>
      <c r="E623" s="37"/>
      <c r="F623" s="37"/>
      <c r="G623" s="35"/>
      <c r="H623" s="35"/>
      <c r="I623" s="31"/>
    </row>
    <row r="624" spans="1:42" ht="15" x14ac:dyDescent="0.25">
      <c r="A624" s="34"/>
      <c r="B624" s="34"/>
      <c r="C624" s="34"/>
      <c r="D624" s="35"/>
      <c r="E624" s="37"/>
      <c r="F624" s="37"/>
      <c r="G624" s="35"/>
      <c r="H624" s="35"/>
      <c r="I624" s="31"/>
    </row>
    <row r="625" spans="1:9" ht="15" x14ac:dyDescent="0.25">
      <c r="A625" s="34"/>
      <c r="B625" s="34"/>
      <c r="C625" s="34"/>
      <c r="D625" s="35"/>
      <c r="E625" s="37"/>
      <c r="F625" s="37"/>
      <c r="G625" s="35"/>
      <c r="H625" s="35"/>
      <c r="I625" s="31"/>
    </row>
    <row r="626" spans="1:9" ht="15" x14ac:dyDescent="0.25">
      <c r="A626" s="34"/>
      <c r="B626" s="34"/>
      <c r="C626" s="34"/>
      <c r="D626" s="35"/>
      <c r="E626" s="37"/>
      <c r="F626" s="37"/>
      <c r="G626" s="35"/>
      <c r="H626" s="35"/>
      <c r="I626" s="31"/>
    </row>
    <row r="627" spans="1:9" ht="15" x14ac:dyDescent="0.25">
      <c r="A627" s="34"/>
      <c r="B627" s="34"/>
      <c r="C627" s="34"/>
      <c r="D627" s="35"/>
      <c r="E627" s="37"/>
      <c r="F627" s="37"/>
      <c r="G627" s="35"/>
      <c r="H627" s="35"/>
      <c r="I627" s="31"/>
    </row>
    <row r="628" spans="1:9" ht="15" x14ac:dyDescent="0.25">
      <c r="A628" s="34"/>
      <c r="B628" s="34"/>
      <c r="C628" s="34"/>
      <c r="D628" s="35"/>
      <c r="E628" s="37"/>
      <c r="F628" s="37"/>
      <c r="G628" s="35"/>
      <c r="H628" s="35"/>
      <c r="I628" s="31"/>
    </row>
    <row r="629" spans="1:9" ht="15" x14ac:dyDescent="0.25">
      <c r="A629" s="34"/>
      <c r="B629" s="34"/>
      <c r="C629" s="34"/>
      <c r="D629" s="35"/>
      <c r="E629" s="37"/>
      <c r="F629" s="37"/>
      <c r="G629" s="35"/>
      <c r="H629" s="35"/>
      <c r="I629" s="31"/>
    </row>
    <row r="630" spans="1:9" ht="15" x14ac:dyDescent="0.25">
      <c r="A630" s="34"/>
      <c r="B630" s="34"/>
      <c r="C630" s="34"/>
      <c r="D630" s="35"/>
      <c r="E630" s="37"/>
      <c r="F630" s="37"/>
      <c r="G630" s="35"/>
      <c r="H630" s="35"/>
      <c r="I630" s="31"/>
    </row>
    <row r="631" spans="1:9" ht="15" x14ac:dyDescent="0.25">
      <c r="A631" s="34"/>
      <c r="B631" s="34"/>
      <c r="C631" s="34"/>
      <c r="D631" s="35"/>
      <c r="E631" s="37"/>
      <c r="F631" s="37"/>
      <c r="G631" s="35"/>
      <c r="H631" s="35"/>
      <c r="I631" s="31"/>
    </row>
    <row r="632" spans="1:9" ht="15" x14ac:dyDescent="0.25">
      <c r="A632" s="30"/>
      <c r="B632" s="30"/>
      <c r="C632" s="30"/>
      <c r="D632" s="28"/>
      <c r="E632" s="33"/>
      <c r="F632" s="33"/>
      <c r="G632" s="28"/>
      <c r="H632" s="28"/>
      <c r="I632" s="31"/>
    </row>
    <row r="633" spans="1:9" ht="15" x14ac:dyDescent="0.25">
      <c r="A633" s="30"/>
      <c r="B633" s="30"/>
      <c r="C633" s="30"/>
      <c r="D633" s="28"/>
      <c r="E633" s="33"/>
      <c r="F633" s="33"/>
      <c r="G633" s="28"/>
      <c r="H633" s="28"/>
      <c r="I633" s="31"/>
    </row>
    <row r="634" spans="1:9" ht="15" x14ac:dyDescent="0.25">
      <c r="A634" s="30"/>
      <c r="B634" s="30"/>
      <c r="C634" s="30"/>
      <c r="D634" s="28"/>
      <c r="E634" s="33"/>
      <c r="F634" s="33"/>
      <c r="G634" s="28"/>
      <c r="H634" s="28"/>
      <c r="I634" s="31"/>
    </row>
    <row r="635" spans="1:9" ht="15" x14ac:dyDescent="0.25">
      <c r="A635" s="30"/>
      <c r="B635" s="30"/>
      <c r="C635" s="30"/>
      <c r="D635" s="28"/>
      <c r="E635" s="33"/>
      <c r="F635" s="33"/>
      <c r="G635" s="28"/>
      <c r="H635" s="28"/>
      <c r="I635" s="31"/>
    </row>
    <row r="636" spans="1:9" ht="15" x14ac:dyDescent="0.25">
      <c r="A636" s="30"/>
      <c r="B636" s="30"/>
      <c r="C636" s="30"/>
      <c r="D636" s="28"/>
      <c r="E636" s="33"/>
      <c r="F636" s="33"/>
      <c r="G636" s="28"/>
      <c r="H636" s="28"/>
      <c r="I636" s="31"/>
    </row>
    <row r="637" spans="1:9" ht="15" x14ac:dyDescent="0.25">
      <c r="A637" s="30"/>
      <c r="B637" s="30"/>
      <c r="C637" s="30"/>
      <c r="D637" s="28"/>
      <c r="E637" s="33"/>
      <c r="F637" s="33"/>
      <c r="G637" s="28"/>
      <c r="H637" s="28"/>
      <c r="I637" s="31"/>
    </row>
    <row r="638" spans="1:9" ht="15" x14ac:dyDescent="0.25">
      <c r="A638" s="30"/>
      <c r="B638" s="30"/>
      <c r="C638" s="30"/>
      <c r="D638" s="28"/>
      <c r="E638" s="33"/>
      <c r="F638" s="33"/>
      <c r="G638" s="28"/>
      <c r="H638" s="28"/>
      <c r="I638" s="31"/>
    </row>
    <row r="639" spans="1:9" ht="15" x14ac:dyDescent="0.25">
      <c r="A639" s="30"/>
      <c r="B639" s="30"/>
      <c r="C639" s="30"/>
      <c r="D639" s="28"/>
      <c r="E639" s="33"/>
      <c r="F639" s="33"/>
      <c r="G639" s="28"/>
      <c r="H639" s="28"/>
      <c r="I639" s="31"/>
    </row>
    <row r="640" spans="1:9" ht="15" x14ac:dyDescent="0.25">
      <c r="A640" s="30"/>
      <c r="B640" s="30"/>
      <c r="C640" s="30"/>
      <c r="D640" s="28"/>
      <c r="E640" s="33"/>
      <c r="F640" s="33"/>
      <c r="G640" s="28"/>
      <c r="H640" s="28"/>
      <c r="I640" s="31"/>
    </row>
    <row r="641" spans="1:9" ht="15" x14ac:dyDescent="0.25">
      <c r="A641" s="30"/>
      <c r="B641" s="30"/>
      <c r="C641" s="30"/>
      <c r="D641" s="28"/>
      <c r="E641" s="33"/>
      <c r="F641" s="33"/>
      <c r="G641" s="28"/>
      <c r="H641" s="28"/>
      <c r="I641" s="31"/>
    </row>
    <row r="642" spans="1:9" ht="15" x14ac:dyDescent="0.25">
      <c r="A642" s="30"/>
      <c r="B642" s="30"/>
      <c r="C642" s="30"/>
      <c r="D642" s="28"/>
      <c r="E642" s="33"/>
      <c r="F642" s="33"/>
      <c r="G642" s="28"/>
      <c r="H642" s="28"/>
      <c r="I642" s="31"/>
    </row>
    <row r="643" spans="1:9" ht="15" x14ac:dyDescent="0.25">
      <c r="A643" s="30"/>
      <c r="B643" s="30"/>
      <c r="C643" s="30"/>
      <c r="D643" s="28"/>
      <c r="E643" s="33"/>
      <c r="F643" s="33"/>
      <c r="G643" s="28"/>
      <c r="H643" s="28"/>
      <c r="I643" s="31"/>
    </row>
    <row r="644" spans="1:9" ht="15" x14ac:dyDescent="0.25">
      <c r="A644" s="30"/>
      <c r="B644" s="30"/>
      <c r="C644" s="30"/>
      <c r="D644" s="28"/>
      <c r="E644" s="33"/>
      <c r="F644" s="33"/>
      <c r="G644" s="28"/>
      <c r="H644" s="28"/>
      <c r="I644" s="31"/>
    </row>
    <row r="645" spans="1:9" ht="15" x14ac:dyDescent="0.25">
      <c r="A645" s="30"/>
      <c r="B645" s="30"/>
      <c r="C645" s="30"/>
      <c r="D645" s="28"/>
      <c r="E645" s="33"/>
      <c r="F645" s="33"/>
      <c r="G645" s="28"/>
      <c r="H645" s="28"/>
      <c r="I645" s="31"/>
    </row>
    <row r="646" spans="1:9" ht="15" x14ac:dyDescent="0.25">
      <c r="A646" s="30"/>
      <c r="B646" s="30"/>
      <c r="C646" s="30"/>
      <c r="D646" s="28"/>
      <c r="E646" s="33"/>
      <c r="F646" s="33"/>
      <c r="G646" s="28"/>
      <c r="H646" s="28"/>
      <c r="I646" s="31"/>
    </row>
    <row r="647" spans="1:9" ht="15" x14ac:dyDescent="0.25">
      <c r="A647" s="30"/>
      <c r="B647" s="30"/>
      <c r="C647" s="30"/>
      <c r="D647" s="28"/>
      <c r="E647" s="33"/>
      <c r="F647" s="33"/>
      <c r="G647" s="28"/>
      <c r="H647" s="28"/>
      <c r="I647" s="31"/>
    </row>
    <row r="648" spans="1:9" ht="15" x14ac:dyDescent="0.25">
      <c r="A648" s="30"/>
      <c r="B648" s="30"/>
      <c r="C648" s="30"/>
      <c r="D648" s="28"/>
      <c r="E648" s="33"/>
      <c r="F648" s="33"/>
      <c r="G648" s="28"/>
      <c r="H648" s="28"/>
      <c r="I648" s="31"/>
    </row>
    <row r="649" spans="1:9" ht="15" x14ac:dyDescent="0.25">
      <c r="A649" s="30"/>
      <c r="B649" s="30"/>
      <c r="C649" s="30"/>
      <c r="D649" s="28"/>
      <c r="E649" s="33"/>
      <c r="F649" s="33"/>
      <c r="G649" s="28"/>
      <c r="H649" s="28"/>
      <c r="I649" s="31"/>
    </row>
    <row r="650" spans="1:9" ht="15" x14ac:dyDescent="0.25">
      <c r="A650" s="30"/>
      <c r="B650" s="30"/>
      <c r="C650" s="30"/>
      <c r="D650" s="28"/>
      <c r="E650" s="33"/>
      <c r="F650" s="33"/>
      <c r="G650" s="28"/>
      <c r="H650" s="28"/>
      <c r="I650" s="31"/>
    </row>
    <row r="651" spans="1:9" ht="15" x14ac:dyDescent="0.25">
      <c r="A651" s="30"/>
      <c r="B651" s="30"/>
      <c r="C651" s="30"/>
      <c r="D651" s="28"/>
      <c r="E651" s="33"/>
      <c r="F651" s="33"/>
      <c r="G651" s="28"/>
      <c r="H651" s="28"/>
      <c r="I651" s="31"/>
    </row>
    <row r="652" spans="1:9" ht="15" x14ac:dyDescent="0.25">
      <c r="A652" s="30"/>
      <c r="B652" s="30"/>
      <c r="C652" s="30"/>
      <c r="D652" s="28"/>
      <c r="E652" s="33"/>
      <c r="F652" s="33"/>
      <c r="G652" s="28"/>
      <c r="H652" s="28"/>
      <c r="I652" s="31"/>
    </row>
    <row r="653" spans="1:9" ht="15" x14ac:dyDescent="0.25">
      <c r="A653" s="30"/>
      <c r="B653" s="30"/>
      <c r="C653" s="30"/>
      <c r="D653" s="28"/>
      <c r="E653" s="33"/>
      <c r="F653" s="33"/>
      <c r="G653" s="28"/>
      <c r="H653" s="28"/>
      <c r="I653" s="31"/>
    </row>
    <row r="654" spans="1:9" ht="15" x14ac:dyDescent="0.25">
      <c r="A654" s="30"/>
      <c r="B654" s="30"/>
      <c r="C654" s="30"/>
      <c r="D654" s="28"/>
      <c r="E654" s="33"/>
      <c r="F654" s="33"/>
      <c r="G654" s="28"/>
      <c r="H654" s="28"/>
      <c r="I654" s="31"/>
    </row>
    <row r="655" spans="1:9" ht="15" x14ac:dyDescent="0.25">
      <c r="A655" s="30"/>
      <c r="B655" s="30"/>
      <c r="C655" s="30"/>
      <c r="D655" s="28"/>
      <c r="E655" s="33"/>
      <c r="F655" s="33"/>
      <c r="G655" s="28"/>
      <c r="H655" s="28"/>
      <c r="I655" s="31"/>
    </row>
    <row r="656" spans="1:9" ht="15" x14ac:dyDescent="0.25">
      <c r="A656" s="30"/>
      <c r="B656" s="30"/>
      <c r="C656" s="30"/>
      <c r="D656" s="28"/>
      <c r="E656" s="33"/>
      <c r="F656" s="33"/>
      <c r="G656" s="28"/>
      <c r="H656" s="28"/>
      <c r="I656" s="31"/>
    </row>
    <row r="657" spans="1:9" ht="15" x14ac:dyDescent="0.25">
      <c r="A657" s="30"/>
      <c r="B657" s="30"/>
      <c r="C657" s="30"/>
      <c r="D657" s="28"/>
      <c r="E657" s="33"/>
      <c r="F657" s="33"/>
      <c r="G657" s="28"/>
      <c r="H657" s="28"/>
      <c r="I657" s="31"/>
    </row>
    <row r="658" spans="1:9" ht="15" x14ac:dyDescent="0.25">
      <c r="A658" s="30"/>
      <c r="B658" s="30"/>
      <c r="C658" s="30"/>
      <c r="D658" s="28"/>
      <c r="E658" s="33"/>
      <c r="F658" s="33"/>
      <c r="G658" s="28"/>
      <c r="H658" s="28"/>
      <c r="I658" s="31"/>
    </row>
    <row r="659" spans="1:9" ht="15" x14ac:dyDescent="0.25">
      <c r="A659" s="30"/>
      <c r="B659" s="30"/>
      <c r="C659" s="30"/>
      <c r="D659" s="28"/>
      <c r="E659" s="33"/>
      <c r="F659" s="33"/>
      <c r="G659" s="28"/>
      <c r="H659" s="28"/>
      <c r="I659" s="31"/>
    </row>
    <row r="660" spans="1:9" ht="15" x14ac:dyDescent="0.25">
      <c r="A660" s="30"/>
      <c r="B660" s="30"/>
      <c r="C660" s="30"/>
      <c r="D660" s="28"/>
      <c r="E660" s="33"/>
      <c r="F660" s="33"/>
      <c r="G660" s="28"/>
      <c r="H660" s="28"/>
      <c r="I660" s="31"/>
    </row>
    <row r="661" spans="1:9" ht="15" x14ac:dyDescent="0.25">
      <c r="A661" s="30"/>
      <c r="B661" s="30"/>
      <c r="C661" s="30"/>
      <c r="D661" s="28"/>
      <c r="E661" s="33"/>
      <c r="F661" s="33"/>
      <c r="G661" s="28"/>
      <c r="H661" s="28"/>
      <c r="I661" s="31"/>
    </row>
    <row r="662" spans="1:9" ht="15" x14ac:dyDescent="0.25">
      <c r="A662" s="30"/>
      <c r="B662" s="30"/>
      <c r="C662" s="30"/>
      <c r="D662" s="28"/>
      <c r="E662" s="33"/>
      <c r="F662" s="33"/>
      <c r="G662" s="28"/>
      <c r="H662" s="28"/>
      <c r="I662" s="31"/>
    </row>
    <row r="663" spans="1:9" ht="15" x14ac:dyDescent="0.25">
      <c r="A663" s="30"/>
      <c r="B663" s="30"/>
      <c r="C663" s="30"/>
      <c r="D663" s="28"/>
      <c r="E663" s="33"/>
      <c r="F663" s="33"/>
      <c r="G663" s="28"/>
      <c r="H663" s="28"/>
      <c r="I663" s="31"/>
    </row>
    <row r="664" spans="1:9" ht="15" x14ac:dyDescent="0.25">
      <c r="A664" s="30"/>
      <c r="B664" s="30"/>
      <c r="C664" s="30"/>
      <c r="D664" s="28"/>
      <c r="E664" s="33"/>
      <c r="F664" s="33"/>
      <c r="G664" s="28"/>
      <c r="H664" s="28"/>
      <c r="I664" s="31"/>
    </row>
    <row r="665" spans="1:9" ht="15" x14ac:dyDescent="0.25">
      <c r="A665" s="30"/>
      <c r="B665" s="30"/>
      <c r="C665" s="30"/>
      <c r="D665" s="28"/>
      <c r="E665" s="33"/>
      <c r="F665" s="33"/>
      <c r="G665" s="28"/>
      <c r="H665" s="28"/>
      <c r="I665" s="31"/>
    </row>
    <row r="666" spans="1:9" ht="15" x14ac:dyDescent="0.25">
      <c r="A666" s="30"/>
      <c r="B666" s="30"/>
      <c r="C666" s="30"/>
      <c r="D666" s="28"/>
      <c r="E666" s="33"/>
      <c r="F666" s="33"/>
      <c r="G666" s="28"/>
      <c r="H666" s="28"/>
      <c r="I666" s="31"/>
    </row>
    <row r="667" spans="1:9" ht="15" x14ac:dyDescent="0.25">
      <c r="A667" s="30"/>
      <c r="B667" s="30"/>
      <c r="C667" s="30"/>
      <c r="D667" s="28"/>
      <c r="E667" s="33"/>
      <c r="F667" s="33"/>
      <c r="G667" s="28"/>
      <c r="H667" s="28"/>
      <c r="I667" s="31"/>
    </row>
    <row r="668" spans="1:9" ht="15" x14ac:dyDescent="0.25">
      <c r="A668" s="30"/>
      <c r="B668" s="30"/>
      <c r="C668" s="30"/>
      <c r="D668" s="28"/>
      <c r="E668" s="33"/>
      <c r="F668" s="33"/>
      <c r="G668" s="28"/>
      <c r="H668" s="28"/>
      <c r="I668" s="31"/>
    </row>
    <row r="669" spans="1:9" ht="15" x14ac:dyDescent="0.25">
      <c r="A669" s="30"/>
      <c r="B669" s="30"/>
      <c r="C669" s="30"/>
      <c r="D669" s="28"/>
      <c r="E669" s="33"/>
      <c r="F669" s="33"/>
      <c r="G669" s="28"/>
      <c r="H669" s="28"/>
      <c r="I669" s="31"/>
    </row>
    <row r="670" spans="1:9" ht="15" x14ac:dyDescent="0.25">
      <c r="A670" s="30"/>
      <c r="B670" s="30"/>
      <c r="C670" s="30"/>
      <c r="D670" s="28"/>
      <c r="E670" s="33"/>
      <c r="F670" s="33"/>
      <c r="G670" s="28"/>
      <c r="H670" s="28"/>
      <c r="I670" s="31"/>
    </row>
    <row r="671" spans="1:9" ht="15" x14ac:dyDescent="0.25">
      <c r="A671" s="30"/>
      <c r="B671" s="30"/>
      <c r="C671" s="30"/>
      <c r="D671" s="28"/>
      <c r="E671" s="33"/>
      <c r="F671" s="33"/>
      <c r="G671" s="28"/>
      <c r="H671" s="28"/>
      <c r="I671" s="31"/>
    </row>
    <row r="672" spans="1:9" ht="15" x14ac:dyDescent="0.25">
      <c r="A672" s="30"/>
      <c r="B672" s="30"/>
      <c r="C672" s="30"/>
      <c r="D672" s="28"/>
      <c r="E672" s="33"/>
      <c r="F672" s="33"/>
      <c r="G672" s="28"/>
      <c r="H672" s="28"/>
      <c r="I672" s="31"/>
    </row>
    <row r="673" spans="1:9" ht="15" x14ac:dyDescent="0.25">
      <c r="A673" s="30"/>
      <c r="B673" s="30"/>
      <c r="C673" s="30"/>
      <c r="D673" s="28"/>
      <c r="E673" s="33"/>
      <c r="F673" s="33"/>
      <c r="G673" s="28"/>
      <c r="H673" s="28"/>
      <c r="I673" s="31"/>
    </row>
    <row r="674" spans="1:9" ht="15" x14ac:dyDescent="0.25">
      <c r="A674" s="30"/>
      <c r="B674" s="30"/>
      <c r="C674" s="30"/>
      <c r="D674" s="28"/>
      <c r="E674" s="33"/>
      <c r="F674" s="33"/>
      <c r="G674" s="28"/>
      <c r="H674" s="28"/>
      <c r="I674" s="31"/>
    </row>
    <row r="675" spans="1:9" ht="15" x14ac:dyDescent="0.25">
      <c r="A675" s="30"/>
      <c r="B675" s="30"/>
      <c r="C675" s="30"/>
      <c r="D675" s="28"/>
      <c r="E675" s="33"/>
      <c r="F675" s="33"/>
      <c r="G675" s="28"/>
      <c r="H675" s="28"/>
      <c r="I675" s="31"/>
    </row>
    <row r="676" spans="1:9" ht="15" x14ac:dyDescent="0.25">
      <c r="A676" s="30"/>
      <c r="B676" s="30"/>
      <c r="C676" s="30"/>
      <c r="D676" s="28"/>
      <c r="E676" s="33"/>
      <c r="F676" s="33"/>
      <c r="G676" s="28"/>
      <c r="H676" s="28"/>
      <c r="I676" s="31"/>
    </row>
    <row r="677" spans="1:9" ht="15" x14ac:dyDescent="0.25">
      <c r="A677" s="30"/>
      <c r="B677" s="30"/>
      <c r="C677" s="30"/>
      <c r="D677" s="28"/>
      <c r="E677" s="33"/>
      <c r="F677" s="33"/>
      <c r="G677" s="28"/>
      <c r="H677" s="28"/>
      <c r="I677" s="31"/>
    </row>
    <row r="678" spans="1:9" ht="15" x14ac:dyDescent="0.25">
      <c r="A678" s="30"/>
      <c r="B678" s="30"/>
      <c r="C678" s="30"/>
      <c r="D678" s="28"/>
      <c r="E678" s="33"/>
      <c r="F678" s="33"/>
      <c r="G678" s="28"/>
      <c r="H678" s="28"/>
      <c r="I678" s="31"/>
    </row>
    <row r="679" spans="1:9" ht="15" x14ac:dyDescent="0.25">
      <c r="A679" s="30"/>
      <c r="B679" s="30"/>
      <c r="C679" s="30"/>
      <c r="D679" s="28"/>
      <c r="E679" s="33"/>
      <c r="F679" s="33"/>
      <c r="G679" s="28"/>
      <c r="H679" s="28"/>
      <c r="I679" s="31"/>
    </row>
    <row r="680" spans="1:9" ht="15" x14ac:dyDescent="0.25">
      <c r="A680" s="30"/>
      <c r="B680" s="30"/>
      <c r="C680" s="30"/>
      <c r="D680" s="28"/>
      <c r="E680" s="33"/>
      <c r="F680" s="33"/>
      <c r="G680" s="28"/>
      <c r="H680" s="28"/>
      <c r="I680" s="31"/>
    </row>
    <row r="681" spans="1:9" ht="15" x14ac:dyDescent="0.25">
      <c r="B681" s="30"/>
      <c r="C681" s="30"/>
      <c r="D681" s="28"/>
      <c r="E681" s="33"/>
      <c r="F681" s="33"/>
      <c r="G681" s="28"/>
      <c r="H681" s="28"/>
      <c r="I681" s="31"/>
    </row>
    <row r="682" spans="1:9" ht="15" x14ac:dyDescent="0.25">
      <c r="B682" s="30"/>
      <c r="C682" s="30"/>
      <c r="D682" s="28"/>
      <c r="E682" s="33"/>
      <c r="F682" s="33"/>
      <c r="G682" s="28"/>
      <c r="H682" s="28"/>
      <c r="I682" s="31"/>
    </row>
    <row r="683" spans="1:9" ht="15" x14ac:dyDescent="0.25">
      <c r="B683" s="30"/>
      <c r="C683" s="30"/>
      <c r="D683" s="28"/>
      <c r="E683" s="33"/>
      <c r="F683" s="33"/>
      <c r="G683" s="28"/>
      <c r="H683" s="28"/>
      <c r="I683" s="31"/>
    </row>
    <row r="684" spans="1:9" ht="15" x14ac:dyDescent="0.25">
      <c r="B684" s="30"/>
      <c r="C684" s="30"/>
      <c r="D684" s="28"/>
      <c r="E684" s="33"/>
      <c r="F684" s="33"/>
      <c r="G684" s="28"/>
      <c r="H684" s="28"/>
      <c r="I684" s="31"/>
    </row>
    <row r="685" spans="1:9" ht="15" x14ac:dyDescent="0.25">
      <c r="B685" s="30"/>
      <c r="C685" s="30"/>
      <c r="D685" s="28"/>
      <c r="E685" s="33"/>
      <c r="F685" s="33"/>
      <c r="G685" s="28"/>
      <c r="H685" s="28"/>
      <c r="I685" s="31"/>
    </row>
    <row r="686" spans="1:9" ht="15" x14ac:dyDescent="0.25">
      <c r="B686" s="30"/>
      <c r="C686" s="30"/>
      <c r="D686" s="28"/>
      <c r="E686" s="33"/>
      <c r="F686" s="33"/>
      <c r="G686" s="28"/>
      <c r="H686" s="28"/>
      <c r="I686" s="31"/>
    </row>
    <row r="687" spans="1:9" ht="15" x14ac:dyDescent="0.25">
      <c r="B687" s="30"/>
      <c r="C687" s="30"/>
      <c r="D687" s="28"/>
      <c r="E687" s="33"/>
      <c r="F687" s="33"/>
      <c r="G687" s="28"/>
      <c r="H687" s="28"/>
      <c r="I687" s="31"/>
    </row>
    <row r="688" spans="1:9" ht="15" x14ac:dyDescent="0.25">
      <c r="B688" s="30"/>
      <c r="C688" s="30"/>
      <c r="D688" s="28"/>
      <c r="E688" s="33"/>
      <c r="F688" s="33"/>
      <c r="G688" s="28"/>
      <c r="H688" s="28"/>
      <c r="I688" s="31"/>
    </row>
    <row r="689" spans="2:9" ht="15" x14ac:dyDescent="0.25">
      <c r="B689" s="30"/>
      <c r="C689" s="30"/>
      <c r="D689" s="28"/>
      <c r="E689" s="33"/>
      <c r="F689" s="33"/>
      <c r="G689" s="28"/>
      <c r="H689" s="28"/>
      <c r="I689" s="31"/>
    </row>
    <row r="690" spans="2:9" ht="15" x14ac:dyDescent="0.25">
      <c r="B690" s="30"/>
      <c r="C690" s="30"/>
      <c r="D690" s="28"/>
      <c r="E690" s="33"/>
      <c r="F690" s="33"/>
      <c r="G690" s="28"/>
      <c r="H690" s="28"/>
      <c r="I690" s="31"/>
    </row>
    <row r="691" spans="2:9" ht="15" x14ac:dyDescent="0.25">
      <c r="B691" s="30"/>
      <c r="C691" s="30"/>
      <c r="D691" s="28"/>
      <c r="E691" s="33"/>
      <c r="F691" s="33"/>
      <c r="G691" s="28"/>
      <c r="H691" s="28"/>
      <c r="I691" s="31"/>
    </row>
    <row r="692" spans="2:9" ht="15" x14ac:dyDescent="0.25">
      <c r="B692" s="30"/>
      <c r="C692" s="30"/>
      <c r="D692" s="28"/>
      <c r="E692" s="33"/>
      <c r="F692" s="33"/>
      <c r="G692" s="28"/>
      <c r="H692" s="28"/>
      <c r="I692" s="31"/>
    </row>
    <row r="693" spans="2:9" ht="15" x14ac:dyDescent="0.25">
      <c r="B693" s="30"/>
      <c r="C693" s="30"/>
      <c r="D693" s="28"/>
      <c r="E693" s="33"/>
      <c r="F693" s="33"/>
      <c r="G693" s="28"/>
      <c r="H693" s="28"/>
      <c r="I693" s="31"/>
    </row>
    <row r="694" spans="2:9" ht="15" x14ac:dyDescent="0.25">
      <c r="B694" s="30"/>
      <c r="C694" s="30"/>
      <c r="D694" s="28"/>
      <c r="E694" s="33"/>
      <c r="F694" s="33"/>
      <c r="G694" s="28"/>
      <c r="H694" s="28"/>
      <c r="I694" s="31"/>
    </row>
    <row r="695" spans="2:9" ht="15" x14ac:dyDescent="0.25">
      <c r="B695" s="30"/>
      <c r="C695" s="30"/>
      <c r="D695" s="28"/>
      <c r="E695" s="33"/>
      <c r="F695" s="33"/>
      <c r="G695" s="28"/>
      <c r="H695" s="28"/>
      <c r="I695" s="31"/>
    </row>
    <row r="696" spans="2:9" ht="15" x14ac:dyDescent="0.25">
      <c r="B696" s="30"/>
      <c r="C696" s="30"/>
      <c r="D696" s="28"/>
      <c r="E696" s="33"/>
      <c r="F696" s="33"/>
      <c r="G696" s="28"/>
      <c r="H696" s="28"/>
      <c r="I696" s="31"/>
    </row>
    <row r="697" spans="2:9" ht="15" x14ac:dyDescent="0.25">
      <c r="B697" s="30"/>
      <c r="C697" s="30"/>
      <c r="D697" s="28"/>
      <c r="E697" s="33"/>
      <c r="F697" s="33"/>
      <c r="G697" s="28"/>
      <c r="H697" s="28"/>
      <c r="I697" s="31"/>
    </row>
    <row r="698" spans="2:9" ht="15" x14ac:dyDescent="0.25">
      <c r="B698" s="30"/>
      <c r="C698" s="30"/>
      <c r="D698" s="28"/>
      <c r="E698" s="33"/>
      <c r="F698" s="33"/>
      <c r="G698" s="28"/>
      <c r="H698" s="28"/>
      <c r="I698" s="31"/>
    </row>
    <row r="699" spans="2:9" ht="15" x14ac:dyDescent="0.25">
      <c r="B699" s="30"/>
      <c r="C699" s="30"/>
      <c r="D699" s="28"/>
      <c r="E699" s="33"/>
      <c r="F699" s="33"/>
      <c r="G699" s="28"/>
      <c r="H699" s="28"/>
      <c r="I699" s="31"/>
    </row>
    <row r="700" spans="2:9" ht="15" x14ac:dyDescent="0.25">
      <c r="B700" s="30"/>
      <c r="C700" s="30"/>
      <c r="D700" s="28"/>
      <c r="E700" s="33"/>
      <c r="F700" s="33"/>
      <c r="G700" s="28"/>
      <c r="H700" s="28"/>
      <c r="I700" s="31"/>
    </row>
    <row r="701" spans="2:9" ht="15" x14ac:dyDescent="0.25">
      <c r="B701" s="30"/>
      <c r="C701" s="30"/>
      <c r="D701" s="28"/>
      <c r="E701" s="33"/>
      <c r="F701" s="33"/>
      <c r="G701" s="28"/>
      <c r="H701" s="28"/>
      <c r="I701" s="31"/>
    </row>
    <row r="702" spans="2:9" ht="15" x14ac:dyDescent="0.25">
      <c r="B702" s="30"/>
      <c r="C702" s="30"/>
      <c r="D702" s="28"/>
      <c r="E702" s="33"/>
      <c r="F702" s="33"/>
      <c r="G702" s="28"/>
      <c r="H702" s="28"/>
      <c r="I702" s="31"/>
    </row>
    <row r="703" spans="2:9" ht="15" x14ac:dyDescent="0.25">
      <c r="B703" s="30"/>
      <c r="C703" s="30"/>
      <c r="D703" s="28"/>
      <c r="E703" s="33"/>
      <c r="F703" s="33"/>
      <c r="G703" s="28"/>
      <c r="H703" s="28"/>
      <c r="I703" s="31"/>
    </row>
    <row r="704" spans="2:9" ht="15" x14ac:dyDescent="0.25">
      <c r="B704" s="30"/>
      <c r="C704" s="30"/>
      <c r="D704" s="28"/>
      <c r="E704" s="33"/>
      <c r="F704" s="33"/>
      <c r="G704" s="28"/>
      <c r="H704" s="28"/>
      <c r="I704" s="31"/>
    </row>
    <row r="705" spans="2:9" ht="15" x14ac:dyDescent="0.25">
      <c r="B705" s="30"/>
      <c r="C705" s="30"/>
      <c r="D705" s="28"/>
      <c r="E705" s="33"/>
      <c r="F705" s="33"/>
      <c r="G705" s="28"/>
      <c r="H705" s="28"/>
      <c r="I705" s="31"/>
    </row>
    <row r="706" spans="2:9" ht="15" x14ac:dyDescent="0.25">
      <c r="B706" s="30"/>
      <c r="C706" s="30"/>
      <c r="D706" s="28"/>
      <c r="E706" s="33"/>
      <c r="F706" s="33"/>
      <c r="G706" s="28"/>
      <c r="H706" s="28"/>
      <c r="I706" s="31"/>
    </row>
    <row r="707" spans="2:9" ht="15" x14ac:dyDescent="0.25">
      <c r="B707" s="30"/>
      <c r="C707" s="30"/>
      <c r="D707" s="28"/>
      <c r="E707" s="33"/>
      <c r="F707" s="33"/>
      <c r="G707" s="28"/>
      <c r="H707" s="28"/>
      <c r="I707" s="31"/>
    </row>
    <row r="708" spans="2:9" ht="15" x14ac:dyDescent="0.25">
      <c r="B708" s="30"/>
      <c r="C708" s="30"/>
      <c r="D708" s="28"/>
      <c r="E708" s="33"/>
      <c r="F708" s="33"/>
      <c r="G708" s="28"/>
      <c r="H708" s="28"/>
      <c r="I708" s="31"/>
    </row>
    <row r="709" spans="2:9" ht="15" x14ac:dyDescent="0.25">
      <c r="B709" s="30"/>
      <c r="C709" s="30"/>
      <c r="D709" s="28"/>
      <c r="E709" s="33"/>
      <c r="F709" s="33"/>
      <c r="G709" s="28"/>
      <c r="H709" s="28"/>
      <c r="I709" s="31"/>
    </row>
    <row r="710" spans="2:9" ht="15" x14ac:dyDescent="0.25">
      <c r="B710" s="30"/>
      <c r="C710" s="30"/>
      <c r="D710" s="28"/>
      <c r="E710" s="33"/>
      <c r="F710" s="33"/>
      <c r="G710" s="28"/>
      <c r="H710" s="28"/>
      <c r="I710" s="31"/>
    </row>
    <row r="711" spans="2:9" ht="15" x14ac:dyDescent="0.25">
      <c r="B711" s="30"/>
      <c r="C711" s="30"/>
      <c r="D711" s="28"/>
      <c r="E711" s="33"/>
      <c r="F711" s="33"/>
      <c r="G711" s="28"/>
      <c r="H711" s="28"/>
      <c r="I711" s="31"/>
    </row>
    <row r="712" spans="2:9" ht="15" x14ac:dyDescent="0.25">
      <c r="B712" s="30"/>
      <c r="C712" s="30"/>
      <c r="D712" s="28"/>
      <c r="E712" s="33"/>
      <c r="F712" s="33"/>
      <c r="G712" s="28"/>
      <c r="H712" s="28"/>
      <c r="I712" s="31"/>
    </row>
    <row r="713" spans="2:9" ht="15" x14ac:dyDescent="0.25">
      <c r="B713" s="30"/>
      <c r="C713" s="30"/>
      <c r="D713" s="28"/>
      <c r="E713" s="33"/>
      <c r="F713" s="33"/>
      <c r="G713" s="28"/>
      <c r="H713" s="28"/>
      <c r="I713" s="31"/>
    </row>
    <row r="714" spans="2:9" ht="15" x14ac:dyDescent="0.25">
      <c r="B714" s="30"/>
      <c r="C714" s="30"/>
      <c r="D714" s="28"/>
      <c r="E714" s="33"/>
      <c r="F714" s="33"/>
      <c r="G714" s="28"/>
      <c r="H714" s="28"/>
      <c r="I714" s="31"/>
    </row>
    <row r="715" spans="2:9" ht="15" x14ac:dyDescent="0.25">
      <c r="B715" s="30"/>
      <c r="C715" s="30"/>
      <c r="D715" s="28"/>
      <c r="E715" s="33"/>
      <c r="F715" s="33"/>
      <c r="G715" s="28"/>
      <c r="H715" s="28"/>
      <c r="I715" s="31"/>
    </row>
    <row r="716" spans="2:9" ht="15" x14ac:dyDescent="0.25">
      <c r="B716" s="30"/>
      <c r="C716" s="30"/>
      <c r="D716" s="28"/>
      <c r="E716" s="33"/>
      <c r="F716" s="33"/>
      <c r="G716" s="28"/>
      <c r="H716" s="28"/>
      <c r="I716" s="31"/>
    </row>
    <row r="717" spans="2:9" ht="15" x14ac:dyDescent="0.25">
      <c r="B717" s="30"/>
      <c r="C717" s="30"/>
      <c r="D717" s="28"/>
      <c r="E717" s="33"/>
      <c r="F717" s="33"/>
      <c r="G717" s="28"/>
      <c r="H717" s="28"/>
      <c r="I717" s="31"/>
    </row>
    <row r="718" spans="2:9" ht="15" x14ac:dyDescent="0.25">
      <c r="B718" s="30"/>
      <c r="C718" s="30"/>
      <c r="D718" s="28"/>
      <c r="E718" s="33"/>
      <c r="F718" s="33"/>
      <c r="G718" s="28"/>
      <c r="H718" s="28"/>
      <c r="I718" s="31"/>
    </row>
    <row r="719" spans="2:9" ht="15" x14ac:dyDescent="0.25">
      <c r="B719" s="30"/>
      <c r="C719" s="30"/>
      <c r="D719" s="28"/>
      <c r="E719" s="33"/>
      <c r="F719" s="33"/>
      <c r="G719" s="28"/>
      <c r="H719" s="28"/>
      <c r="I719" s="31"/>
    </row>
    <row r="720" spans="2:9" ht="15" x14ac:dyDescent="0.25">
      <c r="B720" s="30"/>
      <c r="C720" s="30"/>
      <c r="D720" s="28"/>
      <c r="E720" s="33"/>
      <c r="F720" s="33"/>
      <c r="G720" s="28"/>
      <c r="H720" s="28"/>
      <c r="I720" s="31"/>
    </row>
    <row r="721" spans="2:9" ht="15" x14ac:dyDescent="0.25">
      <c r="B721" s="30"/>
      <c r="C721" s="30"/>
      <c r="D721" s="28"/>
      <c r="E721" s="33"/>
      <c r="F721" s="33"/>
      <c r="G721" s="28"/>
      <c r="H721" s="28"/>
      <c r="I721" s="31"/>
    </row>
    <row r="722" spans="2:9" ht="15" x14ac:dyDescent="0.25">
      <c r="B722" s="30"/>
      <c r="C722" s="30"/>
      <c r="D722" s="28"/>
      <c r="E722" s="33"/>
      <c r="F722" s="33"/>
      <c r="G722" s="28"/>
      <c r="H722" s="28"/>
      <c r="I722" s="31"/>
    </row>
    <row r="723" spans="2:9" ht="15" x14ac:dyDescent="0.25">
      <c r="B723" s="30"/>
      <c r="C723" s="30"/>
      <c r="D723" s="28"/>
      <c r="E723" s="33"/>
      <c r="F723" s="33"/>
      <c r="G723" s="28"/>
      <c r="H723" s="28"/>
      <c r="I723" s="31"/>
    </row>
    <row r="724" spans="2:9" ht="15" x14ac:dyDescent="0.25">
      <c r="B724" s="30"/>
      <c r="C724" s="30"/>
      <c r="D724" s="28"/>
      <c r="E724" s="33"/>
      <c r="F724" s="33"/>
      <c r="G724" s="28"/>
      <c r="H724" s="28"/>
      <c r="I724" s="31"/>
    </row>
    <row r="725" spans="2:9" ht="15" x14ac:dyDescent="0.25">
      <c r="B725" s="30"/>
      <c r="C725" s="30"/>
      <c r="D725" s="28"/>
      <c r="E725" s="33"/>
      <c r="F725" s="33"/>
      <c r="G725" s="28"/>
      <c r="H725" s="28"/>
      <c r="I725" s="31"/>
    </row>
    <row r="726" spans="2:9" ht="15" x14ac:dyDescent="0.25">
      <c r="B726" s="30"/>
      <c r="C726" s="30"/>
      <c r="D726" s="28"/>
      <c r="E726" s="33"/>
      <c r="F726" s="33"/>
      <c r="G726" s="28"/>
      <c r="H726" s="28"/>
      <c r="I726" s="31"/>
    </row>
    <row r="727" spans="2:9" ht="15" x14ac:dyDescent="0.25">
      <c r="B727" s="30"/>
      <c r="C727" s="30"/>
      <c r="D727" s="28"/>
      <c r="E727" s="33"/>
      <c r="F727" s="33"/>
      <c r="G727" s="28"/>
      <c r="H727" s="28"/>
      <c r="I727" s="31"/>
    </row>
    <row r="728" spans="2:9" ht="15" x14ac:dyDescent="0.25">
      <c r="B728" s="30"/>
      <c r="C728" s="30"/>
      <c r="D728" s="28"/>
      <c r="E728" s="33"/>
      <c r="F728" s="33"/>
      <c r="G728" s="28"/>
      <c r="H728" s="28"/>
      <c r="I728" s="31"/>
    </row>
    <row r="729" spans="2:9" ht="15" x14ac:dyDescent="0.25">
      <c r="B729" s="30"/>
      <c r="C729" s="30"/>
      <c r="D729" s="28"/>
      <c r="E729" s="33"/>
      <c r="F729" s="33"/>
      <c r="G729" s="28"/>
      <c r="H729" s="28"/>
      <c r="I729" s="31"/>
    </row>
    <row r="730" spans="2:9" ht="15" x14ac:dyDescent="0.25">
      <c r="B730" s="30"/>
      <c r="C730" s="30"/>
      <c r="D730" s="28"/>
      <c r="E730" s="33"/>
      <c r="F730" s="33"/>
      <c r="G730" s="28"/>
      <c r="H730" s="28"/>
      <c r="I730" s="31"/>
    </row>
    <row r="731" spans="2:9" ht="15" x14ac:dyDescent="0.25">
      <c r="B731" s="30"/>
      <c r="C731" s="30"/>
      <c r="D731" s="28"/>
      <c r="E731" s="33"/>
      <c r="F731" s="33"/>
      <c r="G731" s="28"/>
      <c r="H731" s="28"/>
      <c r="I731" s="31"/>
    </row>
    <row r="732" spans="2:9" ht="15" x14ac:dyDescent="0.25">
      <c r="B732" s="30"/>
      <c r="C732" s="30"/>
      <c r="D732" s="28"/>
      <c r="E732" s="33"/>
      <c r="F732" s="33"/>
      <c r="G732" s="28"/>
      <c r="H732" s="28"/>
      <c r="I732" s="31"/>
    </row>
    <row r="733" spans="2:9" ht="15" x14ac:dyDescent="0.25">
      <c r="B733" s="30"/>
      <c r="C733" s="30"/>
      <c r="D733" s="28"/>
      <c r="E733" s="33"/>
      <c r="F733" s="33"/>
      <c r="G733" s="28"/>
      <c r="H733" s="28"/>
      <c r="I733" s="31"/>
    </row>
    <row r="734" spans="2:9" ht="15" x14ac:dyDescent="0.25">
      <c r="B734" s="30"/>
      <c r="C734" s="30"/>
      <c r="D734" s="28"/>
      <c r="E734" s="33"/>
      <c r="F734" s="33"/>
      <c r="G734" s="28"/>
      <c r="H734" s="28"/>
      <c r="I734" s="31"/>
    </row>
    <row r="735" spans="2:9" ht="15" x14ac:dyDescent="0.25">
      <c r="B735" s="30"/>
      <c r="C735" s="30"/>
      <c r="D735" s="28"/>
      <c r="E735" s="33"/>
      <c r="F735" s="33"/>
      <c r="G735" s="28"/>
      <c r="H735" s="28"/>
      <c r="I735" s="31"/>
    </row>
    <row r="736" spans="2:9" ht="15" x14ac:dyDescent="0.25">
      <c r="B736" s="30"/>
      <c r="C736" s="30"/>
      <c r="D736" s="28"/>
      <c r="E736" s="33"/>
      <c r="F736" s="33"/>
      <c r="G736" s="28"/>
      <c r="H736" s="28"/>
      <c r="I736" s="31"/>
    </row>
    <row r="737" spans="2:9" ht="15" x14ac:dyDescent="0.25">
      <c r="B737" s="30"/>
      <c r="C737" s="30"/>
      <c r="D737" s="28"/>
      <c r="E737" s="33"/>
      <c r="F737" s="33"/>
      <c r="G737" s="28"/>
      <c r="H737" s="28"/>
      <c r="I737" s="31"/>
    </row>
    <row r="738" spans="2:9" ht="15" x14ac:dyDescent="0.25">
      <c r="B738" s="30"/>
      <c r="C738" s="30"/>
      <c r="D738" s="28"/>
      <c r="E738" s="33"/>
      <c r="F738" s="33"/>
      <c r="G738" s="28"/>
      <c r="H738" s="28"/>
      <c r="I738" s="31"/>
    </row>
    <row r="739" spans="2:9" ht="15" x14ac:dyDescent="0.25">
      <c r="B739" s="30"/>
      <c r="C739" s="30"/>
      <c r="D739" s="28"/>
      <c r="E739" s="33"/>
      <c r="F739" s="33"/>
      <c r="G739" s="28"/>
      <c r="H739" s="28"/>
      <c r="I739" s="31"/>
    </row>
    <row r="740" spans="2:9" ht="15" x14ac:dyDescent="0.25">
      <c r="B740" s="30"/>
      <c r="C740" s="30"/>
      <c r="D740" s="28"/>
      <c r="E740" s="33"/>
      <c r="F740" s="33"/>
      <c r="G740" s="28"/>
      <c r="H740" s="28"/>
      <c r="I740" s="31"/>
    </row>
    <row r="741" spans="2:9" ht="15" x14ac:dyDescent="0.25">
      <c r="B741" s="30"/>
      <c r="C741" s="30"/>
      <c r="D741" s="28"/>
      <c r="E741" s="33"/>
      <c r="F741" s="33"/>
      <c r="G741" s="28"/>
      <c r="H741" s="28"/>
      <c r="I741" s="31"/>
    </row>
    <row r="742" spans="2:9" ht="15" x14ac:dyDescent="0.25">
      <c r="B742" s="30"/>
      <c r="C742" s="30"/>
      <c r="D742" s="28"/>
      <c r="E742" s="33"/>
      <c r="F742" s="33"/>
      <c r="G742" s="28"/>
      <c r="H742" s="28"/>
      <c r="I742" s="31"/>
    </row>
    <row r="743" spans="2:9" ht="15" x14ac:dyDescent="0.25">
      <c r="B743" s="30"/>
      <c r="C743" s="30"/>
      <c r="D743" s="28"/>
      <c r="E743" s="33"/>
      <c r="F743" s="33"/>
      <c r="G743" s="28"/>
      <c r="H743" s="28"/>
      <c r="I743" s="31"/>
    </row>
    <row r="744" spans="2:9" ht="15" x14ac:dyDescent="0.25">
      <c r="B744" s="30"/>
      <c r="C744" s="30"/>
      <c r="D744" s="28"/>
      <c r="E744" s="33"/>
      <c r="F744" s="33"/>
      <c r="G744" s="28"/>
      <c r="H744" s="28"/>
      <c r="I744" s="31"/>
    </row>
    <row r="745" spans="2:9" ht="15" x14ac:dyDescent="0.25">
      <c r="B745" s="30"/>
      <c r="C745" s="30"/>
      <c r="D745" s="28"/>
      <c r="E745" s="33"/>
      <c r="F745" s="33"/>
      <c r="G745" s="28"/>
      <c r="H745" s="28"/>
      <c r="I745" s="31"/>
    </row>
    <row r="746" spans="2:9" ht="15" x14ac:dyDescent="0.25">
      <c r="B746" s="30"/>
      <c r="C746" s="30"/>
      <c r="D746" s="28"/>
      <c r="E746" s="33"/>
      <c r="F746" s="33"/>
      <c r="G746" s="28"/>
      <c r="H746" s="28"/>
      <c r="I746" s="31"/>
    </row>
    <row r="747" spans="2:9" ht="15" x14ac:dyDescent="0.25">
      <c r="B747" s="30"/>
      <c r="C747" s="30"/>
      <c r="D747" s="28"/>
      <c r="E747" s="33"/>
      <c r="F747" s="33"/>
      <c r="G747" s="28"/>
      <c r="H747" s="28"/>
      <c r="I747" s="31"/>
    </row>
    <row r="748" spans="2:9" ht="15" x14ac:dyDescent="0.25">
      <c r="B748" s="30"/>
      <c r="C748" s="30"/>
      <c r="D748" s="28"/>
      <c r="E748" s="33"/>
      <c r="F748" s="33"/>
      <c r="G748" s="28"/>
      <c r="H748" s="28"/>
      <c r="I748" s="31"/>
    </row>
    <row r="749" spans="2:9" ht="15" x14ac:dyDescent="0.25">
      <c r="B749" s="30"/>
      <c r="C749" s="30"/>
      <c r="D749" s="28"/>
      <c r="E749" s="33"/>
      <c r="F749" s="33"/>
      <c r="G749" s="28"/>
      <c r="H749" s="28"/>
      <c r="I749" s="31"/>
    </row>
    <row r="750" spans="2:9" ht="15" x14ac:dyDescent="0.25">
      <c r="B750" s="30"/>
      <c r="C750" s="30"/>
      <c r="D750" s="28"/>
      <c r="E750" s="33"/>
      <c r="F750" s="33"/>
      <c r="G750" s="28"/>
      <c r="H750" s="28"/>
      <c r="I750" s="31"/>
    </row>
    <row r="751" spans="2:9" ht="15" x14ac:dyDescent="0.25">
      <c r="B751" s="30"/>
      <c r="C751" s="30"/>
      <c r="D751" s="28"/>
      <c r="E751" s="33"/>
      <c r="F751" s="33"/>
      <c r="G751" s="28"/>
      <c r="H751" s="28"/>
      <c r="I751" s="31"/>
    </row>
    <row r="752" spans="2:9" ht="15" x14ac:dyDescent="0.25">
      <c r="B752" s="30"/>
      <c r="C752" s="30"/>
      <c r="D752" s="28"/>
      <c r="E752" s="33"/>
      <c r="F752" s="33"/>
      <c r="G752" s="28"/>
      <c r="H752" s="28"/>
      <c r="I752" s="31"/>
    </row>
    <row r="753" spans="2:9" ht="15" x14ac:dyDescent="0.25">
      <c r="B753" s="30"/>
      <c r="C753" s="30"/>
      <c r="D753" s="28"/>
      <c r="E753" s="33"/>
      <c r="F753" s="33"/>
      <c r="G753" s="28"/>
      <c r="H753" s="28"/>
      <c r="I753" s="31"/>
    </row>
    <row r="754" spans="2:9" ht="15" x14ac:dyDescent="0.25">
      <c r="B754" s="30"/>
      <c r="C754" s="30"/>
      <c r="D754" s="28"/>
      <c r="E754" s="33"/>
      <c r="F754" s="33"/>
      <c r="G754" s="28"/>
      <c r="H754" s="28"/>
      <c r="I754" s="31"/>
    </row>
    <row r="755" spans="2:9" ht="15" x14ac:dyDescent="0.25">
      <c r="B755" s="30"/>
      <c r="C755" s="30"/>
      <c r="D755" s="28"/>
      <c r="E755" s="33"/>
      <c r="F755" s="33"/>
      <c r="G755" s="28"/>
      <c r="H755" s="28"/>
      <c r="I755" s="31"/>
    </row>
    <row r="756" spans="2:9" ht="15" x14ac:dyDescent="0.25">
      <c r="B756" s="30"/>
      <c r="C756" s="30"/>
      <c r="D756" s="28"/>
      <c r="E756" s="33"/>
      <c r="F756" s="33"/>
      <c r="G756" s="28"/>
      <c r="H756" s="28"/>
      <c r="I756" s="31"/>
    </row>
    <row r="757" spans="2:9" ht="15" x14ac:dyDescent="0.25">
      <c r="B757" s="30"/>
      <c r="C757" s="30"/>
      <c r="D757" s="28"/>
      <c r="E757" s="33"/>
      <c r="F757" s="33"/>
      <c r="G757" s="28"/>
      <c r="H757" s="28"/>
      <c r="I757" s="31"/>
    </row>
    <row r="758" spans="2:9" ht="15" x14ac:dyDescent="0.25">
      <c r="B758" s="30"/>
      <c r="C758" s="30"/>
      <c r="D758" s="28"/>
      <c r="E758" s="33"/>
      <c r="F758" s="33"/>
      <c r="G758" s="28"/>
      <c r="H758" s="28"/>
      <c r="I758" s="31"/>
    </row>
    <row r="759" spans="2:9" ht="15" x14ac:dyDescent="0.25">
      <c r="B759" s="30"/>
      <c r="C759" s="30"/>
      <c r="D759" s="28"/>
      <c r="E759" s="33"/>
      <c r="F759" s="33"/>
      <c r="G759" s="28"/>
      <c r="H759" s="28"/>
      <c r="I759" s="31"/>
    </row>
    <row r="760" spans="2:9" ht="15" x14ac:dyDescent="0.25">
      <c r="B760" s="30"/>
      <c r="C760" s="30"/>
      <c r="D760" s="28"/>
      <c r="E760" s="33"/>
      <c r="F760" s="33"/>
      <c r="G760" s="28"/>
      <c r="H760" s="28"/>
      <c r="I760" s="31"/>
    </row>
    <row r="761" spans="2:9" ht="15" x14ac:dyDescent="0.25">
      <c r="B761" s="30"/>
      <c r="C761" s="30"/>
      <c r="D761" s="28"/>
      <c r="E761" s="33"/>
      <c r="F761" s="33"/>
      <c r="G761" s="28"/>
      <c r="H761" s="28"/>
      <c r="I761" s="31"/>
    </row>
    <row r="762" spans="2:9" ht="15" x14ac:dyDescent="0.25">
      <c r="B762" s="30"/>
      <c r="C762" s="30"/>
      <c r="D762" s="28"/>
      <c r="E762" s="33"/>
      <c r="F762" s="33"/>
      <c r="G762" s="28"/>
      <c r="H762" s="28"/>
      <c r="I762" s="31"/>
    </row>
    <row r="763" spans="2:9" ht="15" x14ac:dyDescent="0.25">
      <c r="B763" s="30"/>
      <c r="C763" s="30"/>
      <c r="D763" s="28"/>
      <c r="E763" s="33"/>
      <c r="F763" s="33"/>
      <c r="G763" s="28"/>
      <c r="H763" s="28"/>
      <c r="I763" s="31"/>
    </row>
    <row r="764" spans="2:9" ht="15" x14ac:dyDescent="0.25">
      <c r="B764" s="30"/>
      <c r="C764" s="30"/>
      <c r="D764" s="28"/>
      <c r="E764" s="33"/>
      <c r="F764" s="33"/>
      <c r="G764" s="28"/>
      <c r="H764" s="28"/>
      <c r="I764" s="31"/>
    </row>
    <row r="765" spans="2:9" ht="15" x14ac:dyDescent="0.25">
      <c r="B765" s="30"/>
      <c r="C765" s="30"/>
      <c r="D765" s="28"/>
      <c r="E765" s="33"/>
      <c r="F765" s="33"/>
      <c r="G765" s="28"/>
      <c r="H765" s="28"/>
      <c r="I765" s="31"/>
    </row>
  </sheetData>
  <printOptions gridLines="1"/>
  <pageMargins left="0.7" right="0.7" top="0.75" bottom="0.75" header="0.3" footer="0.3"/>
  <pageSetup scale="72" fitToHeight="0" orientation="portrait" blackAndWhite="1" horizontalDpi="1800" verticalDpi="1800" r:id="rId1"/>
  <headerFooter alignWithMargins="0">
    <oddHeader>&amp;L&amp;"Arial Black,Bold"&amp;14Total Development Cost&amp;C&amp;"Arial Black,Bold"&amp;12&amp;A&amp;R&amp;"Arial Black,Regular"&amp;14Revised March 2019</oddHeader>
    <oddFooter>&amp;C&amp;"Times New Roman,Regular"&amp;12Page &amp;P of &amp;N&amp;9
All Total Delevopment Costs are for detached dwellings (one-four family dwellings). For other structure types, e.g., walkup, elevator, etc., contact the Area ONAP Office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>
    <pageSetUpPr fitToPage="1"/>
  </sheetPr>
  <dimension ref="A1:AP765"/>
  <sheetViews>
    <sheetView showRowColHeaders="0" tabSelected="1" view="pageLayout" zoomScale="115" zoomScaleNormal="75" zoomScaleSheetLayoutView="130" zoomScalePageLayoutView="115" workbookViewId="0">
      <selection activeCell="C1" sqref="C1"/>
    </sheetView>
  </sheetViews>
  <sheetFormatPr defaultColWidth="7.6640625" defaultRowHeight="13.2" x14ac:dyDescent="0.25"/>
  <cols>
    <col min="1" max="1" width="19.21875" style="2" customWidth="1"/>
    <col min="2" max="2" width="8" style="2" customWidth="1"/>
    <col min="3" max="3" width="42.109375" style="2" customWidth="1"/>
    <col min="4" max="4" width="11.6640625" style="6" customWidth="1"/>
    <col min="5" max="6" width="11.6640625" style="32" customWidth="1"/>
    <col min="7" max="8" width="11.6640625" style="6" customWidth="1"/>
    <col min="9" max="9" width="12.6640625" style="11" customWidth="1"/>
    <col min="10" max="10" width="7.33203125" style="2" customWidth="1"/>
    <col min="11" max="11" width="6.77734375" style="2" customWidth="1"/>
    <col min="12" max="12" width="7.33203125" style="2" customWidth="1"/>
    <col min="13" max="16384" width="7.6640625" style="2"/>
  </cols>
  <sheetData>
    <row r="1" spans="1:42" ht="26.25" customHeight="1" x14ac:dyDescent="0.3">
      <c r="A1" s="80" t="str">
        <f>TDCTRIBE!I10</f>
        <v>ONAP OFFICE</v>
      </c>
      <c r="B1" s="80" t="str">
        <f>TDCTRIBE!B10</f>
        <v>STATE</v>
      </c>
      <c r="C1" s="80" t="str">
        <f>TDCTRIBE!F10</f>
        <v>TRIBAL AREA</v>
      </c>
      <c r="D1" s="81" t="str">
        <f>TDCTRIBE!Y10</f>
        <v>1BDRM</v>
      </c>
      <c r="E1" s="81" t="str">
        <f>TDCTRIBE!Z10</f>
        <v>2BDRM</v>
      </c>
      <c r="F1" s="81" t="str">
        <f>TDCTRIBE!AA10</f>
        <v>3BDRM</v>
      </c>
      <c r="G1" s="81" t="str">
        <f>TDCTRIBE!AB10</f>
        <v>4BDRM</v>
      </c>
      <c r="H1" s="81" t="str">
        <f>TDCTRIBE!AC10</f>
        <v>5BDRM</v>
      </c>
      <c r="O1" s="13"/>
      <c r="P1" s="14"/>
      <c r="Q1" s="14"/>
      <c r="R1" s="14"/>
      <c r="S1" s="14"/>
      <c r="T1" s="14"/>
      <c r="U1" s="14"/>
      <c r="V1" s="15"/>
      <c r="W1" s="16"/>
      <c r="X1" s="16"/>
      <c r="Y1" s="14"/>
      <c r="Z1" s="14"/>
      <c r="AA1" s="14"/>
      <c r="AB1" s="14"/>
      <c r="AC1" s="14"/>
      <c r="AD1" s="16"/>
      <c r="AE1" s="16"/>
      <c r="AF1" s="14"/>
      <c r="AG1" s="14"/>
      <c r="AH1" s="14"/>
      <c r="AI1" s="14"/>
      <c r="AJ1" s="17"/>
      <c r="AK1" s="17"/>
      <c r="AL1" s="16"/>
      <c r="AM1" s="16"/>
      <c r="AN1" s="16"/>
      <c r="AO1" s="16"/>
      <c r="AP1" s="16"/>
    </row>
    <row r="2" spans="1:42" s="17" customFormat="1" ht="17.25" customHeight="1" x14ac:dyDescent="0.25">
      <c r="A2" s="82" t="s">
        <v>1187</v>
      </c>
      <c r="B2" s="82" t="str">
        <f>TDCTRIBE!B11</f>
        <v>AK</v>
      </c>
      <c r="C2" s="82" t="str">
        <f>TDCTRIBE!F11</f>
        <v>Afognak</v>
      </c>
      <c r="D2" s="83">
        <f>TDCTRIBE!Y11</f>
        <v>537627.23286300001</v>
      </c>
      <c r="E2" s="83">
        <f>TDCTRIBE!Z11</f>
        <v>593892.8539060998</v>
      </c>
      <c r="F2" s="83">
        <f>TDCTRIBE!AA11</f>
        <v>670883.01826070005</v>
      </c>
      <c r="G2" s="83">
        <f>TDCTRIBE!AB11</f>
        <v>727154.03193440009</v>
      </c>
      <c r="H2" s="83">
        <f>TDCTRIBE!AC11</f>
        <v>784795.42359260004</v>
      </c>
      <c r="J2" s="2"/>
      <c r="K2" s="2"/>
      <c r="L2" s="2"/>
      <c r="O2" s="9"/>
      <c r="P2" s="1"/>
      <c r="Q2" s="1"/>
      <c r="R2" s="1"/>
      <c r="S2" s="7"/>
      <c r="T2" s="1"/>
      <c r="U2" s="1"/>
      <c r="V2" s="9"/>
      <c r="W2" s="3"/>
      <c r="X2" s="4"/>
      <c r="Y2" s="7"/>
      <c r="Z2" s="1"/>
      <c r="AA2" s="1"/>
      <c r="AB2" s="1"/>
      <c r="AC2" s="1"/>
      <c r="AD2" s="3"/>
      <c r="AE2" s="3"/>
      <c r="AF2" s="5"/>
      <c r="AG2" s="5"/>
      <c r="AH2" s="5"/>
      <c r="AI2" s="5"/>
      <c r="AJ2" s="6"/>
      <c r="AK2" s="6"/>
      <c r="AL2" s="12"/>
      <c r="AM2" s="12"/>
      <c r="AN2" s="12"/>
      <c r="AO2" s="12"/>
      <c r="AP2" s="12"/>
    </row>
    <row r="3" spans="1:42" ht="15" x14ac:dyDescent="0.25">
      <c r="A3" s="82" t="str">
        <f>TDCTRIBE!I12</f>
        <v>Alaska</v>
      </c>
      <c r="B3" s="82" t="str">
        <f>TDCTRIBE!B12</f>
        <v>AK</v>
      </c>
      <c r="C3" s="82" t="str">
        <f>TDCTRIBE!F12</f>
        <v>Ahtna Native Regional Corporation</v>
      </c>
      <c r="D3" s="83">
        <f>TDCTRIBE!Y12</f>
        <v>537627.23286300001</v>
      </c>
      <c r="E3" s="83">
        <f>TDCTRIBE!Z12</f>
        <v>593892.8539060998</v>
      </c>
      <c r="F3" s="83">
        <f>TDCTRIBE!AA12</f>
        <v>670883.01826070005</v>
      </c>
      <c r="G3" s="83">
        <f>TDCTRIBE!AB12</f>
        <v>727154.03193440009</v>
      </c>
      <c r="H3" s="83">
        <f>TDCTRIBE!AC12</f>
        <v>784795.42359260004</v>
      </c>
      <c r="O3" s="9"/>
      <c r="P3" s="1"/>
      <c r="Q3" s="1"/>
      <c r="R3" s="1"/>
      <c r="S3" s="1"/>
      <c r="T3" s="1"/>
      <c r="U3" s="1"/>
      <c r="V3" s="9"/>
      <c r="W3" s="3"/>
      <c r="X3" s="4"/>
      <c r="Y3" s="7"/>
      <c r="Z3" s="1"/>
      <c r="AA3" s="1"/>
      <c r="AB3" s="1"/>
      <c r="AC3" s="1"/>
      <c r="AD3" s="3"/>
      <c r="AE3" s="3"/>
      <c r="AF3" s="5"/>
      <c r="AG3" s="5"/>
      <c r="AH3" s="5"/>
      <c r="AI3" s="5"/>
      <c r="AJ3" s="6"/>
      <c r="AK3" s="6"/>
      <c r="AL3" s="12"/>
      <c r="AM3" s="12"/>
      <c r="AN3" s="12"/>
      <c r="AO3" s="12"/>
      <c r="AP3" s="12"/>
    </row>
    <row r="4" spans="1:42" ht="15" x14ac:dyDescent="0.25">
      <c r="A4" s="82" t="str">
        <f>TDCTRIBE!I13</f>
        <v>Alaska</v>
      </c>
      <c r="B4" s="82" t="str">
        <f>TDCTRIBE!B13</f>
        <v>AK</v>
      </c>
      <c r="C4" s="82" t="str">
        <f>TDCTRIBE!F13</f>
        <v>Akhiok</v>
      </c>
      <c r="D4" s="83">
        <f>TDCTRIBE!Y13</f>
        <v>537627.23286300001</v>
      </c>
      <c r="E4" s="83">
        <f>TDCTRIBE!Z13</f>
        <v>593892.8539060998</v>
      </c>
      <c r="F4" s="83">
        <f>TDCTRIBE!AA13</f>
        <v>670883.01826070005</v>
      </c>
      <c r="G4" s="83">
        <f>TDCTRIBE!AB13</f>
        <v>727154.03193440009</v>
      </c>
      <c r="H4" s="83">
        <f>TDCTRIBE!AC13</f>
        <v>784795.42359260004</v>
      </c>
      <c r="O4" s="9"/>
      <c r="P4" s="1"/>
      <c r="Q4" s="1"/>
      <c r="R4" s="1"/>
      <c r="S4" s="1"/>
      <c r="T4" s="1"/>
      <c r="U4" s="1"/>
      <c r="V4" s="9"/>
      <c r="W4" s="3"/>
      <c r="X4" s="4"/>
      <c r="Y4" s="1"/>
      <c r="Z4" s="1"/>
      <c r="AA4" s="1"/>
      <c r="AB4" s="1"/>
      <c r="AC4" s="1"/>
      <c r="AD4" s="3"/>
      <c r="AE4" s="3"/>
      <c r="AF4" s="5"/>
      <c r="AG4" s="5"/>
      <c r="AH4" s="5"/>
      <c r="AI4" s="5"/>
      <c r="AJ4" s="6"/>
      <c r="AK4" s="6"/>
      <c r="AL4" s="12"/>
      <c r="AM4" s="12"/>
      <c r="AN4" s="12"/>
      <c r="AO4" s="12"/>
      <c r="AP4" s="12"/>
    </row>
    <row r="5" spans="1:42" ht="15" x14ac:dyDescent="0.25">
      <c r="A5" s="82" t="str">
        <f>TDCTRIBE!I14</f>
        <v>Alaska</v>
      </c>
      <c r="B5" s="82" t="str">
        <f>TDCTRIBE!B14</f>
        <v>AK</v>
      </c>
      <c r="C5" s="82" t="str">
        <f>TDCTRIBE!F14</f>
        <v>Akiachak</v>
      </c>
      <c r="D5" s="83">
        <f>TDCTRIBE!Y14</f>
        <v>537627.23286300001</v>
      </c>
      <c r="E5" s="83">
        <f>TDCTRIBE!Z14</f>
        <v>593892.8539060998</v>
      </c>
      <c r="F5" s="83">
        <f>TDCTRIBE!AA14</f>
        <v>670883.01826070005</v>
      </c>
      <c r="G5" s="83">
        <f>TDCTRIBE!AB14</f>
        <v>727154.03193440009</v>
      </c>
      <c r="H5" s="83">
        <f>TDCTRIBE!AC14</f>
        <v>784795.42359260004</v>
      </c>
      <c r="O5" s="9"/>
      <c r="P5" s="1"/>
      <c r="Q5" s="1"/>
      <c r="R5" s="1"/>
      <c r="S5" s="1"/>
      <c r="T5" s="1"/>
      <c r="U5" s="1"/>
      <c r="V5" s="9"/>
      <c r="W5" s="3"/>
      <c r="X5" s="4"/>
      <c r="Y5" s="1"/>
      <c r="Z5" s="1"/>
      <c r="AA5" s="1"/>
      <c r="AB5" s="1"/>
      <c r="AC5" s="1"/>
      <c r="AD5" s="3"/>
      <c r="AE5" s="3"/>
      <c r="AF5" s="5"/>
      <c r="AG5" s="5"/>
      <c r="AH5" s="5"/>
      <c r="AI5" s="5"/>
      <c r="AJ5" s="6"/>
      <c r="AK5" s="6"/>
      <c r="AL5" s="12"/>
      <c r="AM5" s="12"/>
      <c r="AN5" s="12"/>
      <c r="AO5" s="12"/>
      <c r="AP5" s="12"/>
    </row>
    <row r="6" spans="1:42" ht="15" x14ac:dyDescent="0.25">
      <c r="A6" s="82" t="str">
        <f>TDCTRIBE!I15</f>
        <v>Alaska</v>
      </c>
      <c r="B6" s="82" t="str">
        <f>TDCTRIBE!B15</f>
        <v>AK</v>
      </c>
      <c r="C6" s="82" t="str">
        <f>TDCTRIBE!F15</f>
        <v>Akiak</v>
      </c>
      <c r="D6" s="83">
        <f>TDCTRIBE!Y15</f>
        <v>537627.23286300001</v>
      </c>
      <c r="E6" s="83">
        <f>TDCTRIBE!Z15</f>
        <v>593892.8539060998</v>
      </c>
      <c r="F6" s="83">
        <f>TDCTRIBE!AA15</f>
        <v>670883.01826070005</v>
      </c>
      <c r="G6" s="83">
        <f>TDCTRIBE!AB15</f>
        <v>727154.03193440009</v>
      </c>
      <c r="H6" s="83">
        <f>TDCTRIBE!AC15</f>
        <v>784795.42359260004</v>
      </c>
      <c r="O6" s="9"/>
      <c r="P6" s="1"/>
      <c r="Q6" s="1"/>
      <c r="R6" s="1"/>
      <c r="S6" s="1"/>
      <c r="T6" s="1"/>
      <c r="U6" s="1"/>
      <c r="V6" s="9"/>
      <c r="W6" s="3"/>
      <c r="X6" s="4"/>
      <c r="Y6" s="1"/>
      <c r="Z6" s="1"/>
      <c r="AA6" s="1"/>
      <c r="AB6" s="1"/>
      <c r="AC6" s="1"/>
      <c r="AD6" s="3"/>
      <c r="AE6" s="3"/>
      <c r="AF6" s="5"/>
      <c r="AG6" s="5"/>
      <c r="AH6" s="5"/>
      <c r="AI6" s="5"/>
      <c r="AJ6" s="6"/>
      <c r="AK6" s="6"/>
      <c r="AL6" s="12"/>
      <c r="AM6" s="12"/>
      <c r="AN6" s="12"/>
      <c r="AO6" s="12"/>
      <c r="AP6" s="12"/>
    </row>
    <row r="7" spans="1:42" ht="15" x14ac:dyDescent="0.25">
      <c r="A7" s="82" t="str">
        <f>TDCTRIBE!I16</f>
        <v>Alaska</v>
      </c>
      <c r="B7" s="82" t="str">
        <f>TDCTRIBE!B16</f>
        <v>AK</v>
      </c>
      <c r="C7" s="82" t="str">
        <f>TDCTRIBE!F16</f>
        <v>Akutan</v>
      </c>
      <c r="D7" s="83">
        <f>TDCTRIBE!Y16</f>
        <v>537627.23286300001</v>
      </c>
      <c r="E7" s="83">
        <f>TDCTRIBE!Z16</f>
        <v>593892.8539060998</v>
      </c>
      <c r="F7" s="83">
        <f>TDCTRIBE!AA16</f>
        <v>670883.01826070005</v>
      </c>
      <c r="G7" s="83">
        <f>TDCTRIBE!AB16</f>
        <v>727154.03193440009</v>
      </c>
      <c r="H7" s="83">
        <f>TDCTRIBE!AC16</f>
        <v>784795.42359260004</v>
      </c>
      <c r="O7" s="9"/>
      <c r="P7" s="1"/>
      <c r="Q7" s="1"/>
      <c r="R7" s="1"/>
      <c r="S7" s="1"/>
      <c r="T7" s="1"/>
      <c r="U7" s="1"/>
      <c r="V7" s="9"/>
      <c r="W7" s="3"/>
      <c r="X7" s="4"/>
      <c r="Y7" s="1"/>
      <c r="Z7" s="1"/>
      <c r="AA7" s="1"/>
      <c r="AB7" s="1"/>
      <c r="AC7" s="1"/>
      <c r="AD7" s="3"/>
      <c r="AE7" s="3"/>
      <c r="AF7" s="5"/>
      <c r="AG7" s="5"/>
      <c r="AH7" s="5"/>
      <c r="AI7" s="5"/>
      <c r="AJ7" s="6"/>
      <c r="AK7" s="6"/>
      <c r="AL7" s="12"/>
      <c r="AM7" s="12"/>
      <c r="AN7" s="12"/>
      <c r="AO7" s="12"/>
      <c r="AP7" s="12"/>
    </row>
    <row r="8" spans="1:42" ht="15" x14ac:dyDescent="0.25">
      <c r="A8" s="82" t="str">
        <f>TDCTRIBE!I17</f>
        <v>Alaska</v>
      </c>
      <c r="B8" s="82" t="str">
        <f>TDCTRIBE!B17</f>
        <v>AK</v>
      </c>
      <c r="C8" s="82" t="str">
        <f>TDCTRIBE!F17</f>
        <v>Alakanuk</v>
      </c>
      <c r="D8" s="83">
        <f>TDCTRIBE!Y17</f>
        <v>537627.23286300001</v>
      </c>
      <c r="E8" s="83">
        <f>TDCTRIBE!Z17</f>
        <v>593892.8539060998</v>
      </c>
      <c r="F8" s="83">
        <f>TDCTRIBE!AA17</f>
        <v>670883.01826070005</v>
      </c>
      <c r="G8" s="83">
        <f>TDCTRIBE!AB17</f>
        <v>727154.03193440009</v>
      </c>
      <c r="H8" s="83">
        <f>TDCTRIBE!AC17</f>
        <v>784795.42359260004</v>
      </c>
      <c r="O8" s="9"/>
      <c r="P8" s="1"/>
      <c r="Q8" s="1"/>
      <c r="R8" s="1"/>
      <c r="S8" s="1"/>
      <c r="T8" s="1"/>
      <c r="U8" s="1"/>
      <c r="V8" s="9"/>
      <c r="W8" s="3"/>
      <c r="X8" s="4"/>
      <c r="Y8" s="1"/>
      <c r="Z8" s="1"/>
      <c r="AA8" s="1"/>
      <c r="AB8" s="1"/>
      <c r="AC8" s="1"/>
      <c r="AD8" s="3"/>
      <c r="AE8" s="3"/>
      <c r="AF8" s="5"/>
      <c r="AG8" s="5"/>
      <c r="AH8" s="5"/>
      <c r="AI8" s="5"/>
      <c r="AJ8" s="6"/>
      <c r="AK8" s="6"/>
      <c r="AL8" s="12"/>
      <c r="AM8" s="12"/>
      <c r="AN8" s="12"/>
      <c r="AO8" s="12"/>
      <c r="AP8" s="12"/>
    </row>
    <row r="9" spans="1:42" ht="15" x14ac:dyDescent="0.25">
      <c r="A9" s="82" t="str">
        <f>TDCTRIBE!I18</f>
        <v>Alaska</v>
      </c>
      <c r="B9" s="82" t="str">
        <f>TDCTRIBE!B18</f>
        <v>AK</v>
      </c>
      <c r="C9" s="82" t="str">
        <f>TDCTRIBE!F18</f>
        <v>Alatna</v>
      </c>
      <c r="D9" s="83">
        <f>TDCTRIBE!Y18</f>
        <v>573912.50187599997</v>
      </c>
      <c r="E9" s="83">
        <f>TDCTRIBE!Z18</f>
        <v>633906.89508719998</v>
      </c>
      <c r="F9" s="83">
        <f>TDCTRIBE!AA18</f>
        <v>715983.34034640016</v>
      </c>
      <c r="G9" s="83">
        <f>TDCTRIBE!AB18</f>
        <v>775980.51116880018</v>
      </c>
      <c r="H9" s="83">
        <f>TDCTRIBE!AC18</f>
        <v>837476.24333520012</v>
      </c>
      <c r="O9" s="9"/>
      <c r="P9" s="1"/>
      <c r="Q9" s="1"/>
      <c r="R9" s="1"/>
      <c r="S9" s="1"/>
      <c r="T9" s="1"/>
      <c r="U9" s="1"/>
      <c r="V9" s="9"/>
      <c r="W9" s="3"/>
      <c r="X9" s="4"/>
      <c r="Y9" s="1"/>
      <c r="Z9" s="1"/>
      <c r="AA9" s="1"/>
      <c r="AB9" s="1"/>
      <c r="AC9" s="1"/>
      <c r="AD9" s="3"/>
      <c r="AE9" s="3"/>
      <c r="AF9" s="5"/>
      <c r="AG9" s="5"/>
      <c r="AH9" s="5"/>
      <c r="AI9" s="5"/>
      <c r="AJ9" s="6"/>
      <c r="AK9" s="6"/>
      <c r="AL9" s="12"/>
      <c r="AM9" s="12"/>
      <c r="AN9" s="12"/>
      <c r="AO9" s="12"/>
      <c r="AP9" s="12"/>
    </row>
    <row r="10" spans="1:42" ht="15" x14ac:dyDescent="0.25">
      <c r="A10" s="82" t="str">
        <f>TDCTRIBE!I19</f>
        <v>Alaska</v>
      </c>
      <c r="B10" s="82" t="str">
        <f>TDCTRIBE!B19</f>
        <v>AK</v>
      </c>
      <c r="C10" s="82" t="str">
        <f>TDCTRIBE!F19</f>
        <v>Aleknagik</v>
      </c>
      <c r="D10" s="83">
        <f>TDCTRIBE!Y19</f>
        <v>537627.23286300001</v>
      </c>
      <c r="E10" s="83">
        <f>TDCTRIBE!Z19</f>
        <v>593892.8539060998</v>
      </c>
      <c r="F10" s="83">
        <f>TDCTRIBE!AA19</f>
        <v>670883.01826070005</v>
      </c>
      <c r="G10" s="83">
        <f>TDCTRIBE!AB19</f>
        <v>727154.03193440009</v>
      </c>
      <c r="H10" s="83">
        <f>TDCTRIBE!AC19</f>
        <v>784795.42359260004</v>
      </c>
      <c r="O10" s="9"/>
      <c r="P10" s="1"/>
      <c r="Q10" s="1"/>
      <c r="R10" s="1"/>
      <c r="S10" s="1"/>
      <c r="T10" s="1"/>
      <c r="U10" s="1"/>
      <c r="V10" s="9"/>
      <c r="W10" s="3"/>
      <c r="X10" s="4"/>
      <c r="Y10" s="1"/>
      <c r="Z10" s="1"/>
      <c r="AA10" s="1"/>
      <c r="AB10" s="1"/>
      <c r="AC10" s="1"/>
      <c r="AD10" s="3"/>
      <c r="AE10" s="3"/>
      <c r="AF10" s="5"/>
      <c r="AG10" s="5"/>
      <c r="AH10" s="5"/>
      <c r="AI10" s="5"/>
      <c r="AJ10" s="6"/>
      <c r="AK10" s="6"/>
      <c r="AL10" s="12"/>
      <c r="AM10" s="12"/>
      <c r="AN10" s="12"/>
      <c r="AO10" s="12"/>
      <c r="AP10" s="12"/>
    </row>
    <row r="11" spans="1:42" ht="15" x14ac:dyDescent="0.25">
      <c r="A11" s="82" t="str">
        <f>TDCTRIBE!I20</f>
        <v>Alaska</v>
      </c>
      <c r="B11" s="82" t="str">
        <f>TDCTRIBE!B20</f>
        <v>AK</v>
      </c>
      <c r="C11" s="82" t="str">
        <f>TDCTRIBE!F20</f>
        <v>Aleutian Regional Corp.</v>
      </c>
      <c r="D11" s="83">
        <f>TDCTRIBE!Y20</f>
        <v>537627.23286300001</v>
      </c>
      <c r="E11" s="83">
        <f>TDCTRIBE!Z20</f>
        <v>593892.8539060998</v>
      </c>
      <c r="F11" s="83">
        <f>TDCTRIBE!AA20</f>
        <v>670883.01826070005</v>
      </c>
      <c r="G11" s="83">
        <f>TDCTRIBE!AB20</f>
        <v>727154.03193440009</v>
      </c>
      <c r="H11" s="83">
        <f>TDCTRIBE!AC20</f>
        <v>784795.42359260004</v>
      </c>
      <c r="O11" s="9"/>
      <c r="P11" s="1"/>
      <c r="Q11" s="1"/>
      <c r="R11" s="1"/>
      <c r="S11" s="1"/>
      <c r="T11" s="1"/>
      <c r="U11" s="1"/>
      <c r="V11" s="9"/>
      <c r="W11" s="3"/>
      <c r="X11" s="4"/>
      <c r="Y11" s="1"/>
      <c r="Z11" s="1"/>
      <c r="AA11" s="1"/>
      <c r="AB11" s="1"/>
      <c r="AC11" s="1"/>
      <c r="AD11" s="3"/>
      <c r="AE11" s="3"/>
      <c r="AF11" s="5"/>
      <c r="AG11" s="5"/>
      <c r="AH11" s="5"/>
      <c r="AI11" s="5"/>
      <c r="AJ11" s="6"/>
      <c r="AK11" s="6"/>
      <c r="AL11" s="12"/>
      <c r="AM11" s="12"/>
      <c r="AN11" s="12"/>
      <c r="AO11" s="12"/>
      <c r="AP11" s="12"/>
    </row>
    <row r="12" spans="1:42" ht="15" x14ac:dyDescent="0.25">
      <c r="A12" s="82" t="str">
        <f>TDCTRIBE!I21</f>
        <v>Alaska</v>
      </c>
      <c r="B12" s="82" t="str">
        <f>TDCTRIBE!B21</f>
        <v>AK</v>
      </c>
      <c r="C12" s="82" t="str">
        <f>TDCTRIBE!F21</f>
        <v>Algaaciq (St. Mary's)</v>
      </c>
      <c r="D12" s="83">
        <f>TDCTRIBE!Y21</f>
        <v>537627.23286300001</v>
      </c>
      <c r="E12" s="83">
        <f>TDCTRIBE!Z21</f>
        <v>593892.8539060998</v>
      </c>
      <c r="F12" s="83">
        <f>TDCTRIBE!AA21</f>
        <v>670883.01826070005</v>
      </c>
      <c r="G12" s="83">
        <f>TDCTRIBE!AB21</f>
        <v>727154.03193440009</v>
      </c>
      <c r="H12" s="83">
        <f>TDCTRIBE!AC21</f>
        <v>784795.42359260004</v>
      </c>
      <c r="O12" s="9"/>
      <c r="P12" s="1"/>
      <c r="Q12" s="1"/>
      <c r="R12" s="1"/>
      <c r="S12" s="1"/>
      <c r="T12" s="1"/>
      <c r="U12" s="1"/>
      <c r="V12" s="9"/>
      <c r="W12" s="3"/>
      <c r="X12" s="4"/>
      <c r="Y12" s="1"/>
      <c r="Z12" s="1"/>
      <c r="AA12" s="1"/>
      <c r="AB12" s="1"/>
      <c r="AC12" s="1"/>
      <c r="AD12" s="3"/>
      <c r="AE12" s="3"/>
      <c r="AF12" s="5"/>
      <c r="AG12" s="5"/>
      <c r="AH12" s="5"/>
      <c r="AI12" s="5"/>
      <c r="AJ12" s="6"/>
      <c r="AK12" s="6"/>
      <c r="AL12" s="12"/>
      <c r="AM12" s="12"/>
      <c r="AN12" s="12"/>
      <c r="AO12" s="12"/>
      <c r="AP12" s="12"/>
    </row>
    <row r="13" spans="1:42" ht="15" x14ac:dyDescent="0.25">
      <c r="A13" s="82" t="str">
        <f>TDCTRIBE!I22</f>
        <v>Alaska</v>
      </c>
      <c r="B13" s="82" t="str">
        <f>TDCTRIBE!B22</f>
        <v>AK</v>
      </c>
      <c r="C13" s="82" t="str">
        <f>TDCTRIBE!F22</f>
        <v>Allakaket</v>
      </c>
      <c r="D13" s="83">
        <f>TDCTRIBE!Y22</f>
        <v>573912.50187599997</v>
      </c>
      <c r="E13" s="83">
        <f>TDCTRIBE!Z22</f>
        <v>633906.89508719998</v>
      </c>
      <c r="F13" s="83">
        <f>TDCTRIBE!AA22</f>
        <v>715983.34034640016</v>
      </c>
      <c r="G13" s="83">
        <f>TDCTRIBE!AB22</f>
        <v>775980.51116880018</v>
      </c>
      <c r="H13" s="83">
        <f>TDCTRIBE!AC22</f>
        <v>837476.24333520012</v>
      </c>
      <c r="O13" s="9"/>
      <c r="P13" s="1"/>
      <c r="Q13" s="1"/>
      <c r="R13" s="1"/>
      <c r="S13" s="1"/>
      <c r="T13" s="1"/>
      <c r="U13" s="1"/>
      <c r="V13" s="9"/>
      <c r="W13" s="3"/>
      <c r="X13" s="4"/>
      <c r="Y13" s="1"/>
      <c r="Z13" s="1"/>
      <c r="AA13" s="1"/>
      <c r="AB13" s="1"/>
      <c r="AC13" s="1"/>
      <c r="AD13" s="3"/>
      <c r="AE13" s="3"/>
      <c r="AF13" s="5"/>
      <c r="AG13" s="5"/>
      <c r="AH13" s="5"/>
      <c r="AI13" s="5"/>
      <c r="AJ13" s="6"/>
      <c r="AK13" s="6"/>
      <c r="AL13" s="12"/>
      <c r="AM13" s="12"/>
      <c r="AN13" s="12"/>
      <c r="AO13" s="12"/>
      <c r="AP13" s="12"/>
    </row>
    <row r="14" spans="1:42" ht="15" x14ac:dyDescent="0.25">
      <c r="A14" s="82" t="str">
        <f>TDCTRIBE!I23</f>
        <v>Alaska</v>
      </c>
      <c r="B14" s="82" t="str">
        <f>TDCTRIBE!B23</f>
        <v>AK</v>
      </c>
      <c r="C14" s="82" t="str">
        <f>TDCTRIBE!F23</f>
        <v>Ambler</v>
      </c>
      <c r="D14" s="83">
        <f>TDCTRIBE!Y23</f>
        <v>573912.50187599997</v>
      </c>
      <c r="E14" s="83">
        <f>TDCTRIBE!Z23</f>
        <v>633906.89508719998</v>
      </c>
      <c r="F14" s="83">
        <f>TDCTRIBE!AA23</f>
        <v>715983.34034640016</v>
      </c>
      <c r="G14" s="83">
        <f>TDCTRIBE!AB23</f>
        <v>775980.51116880018</v>
      </c>
      <c r="H14" s="83">
        <f>TDCTRIBE!AC23</f>
        <v>837476.24333520012</v>
      </c>
      <c r="O14" s="9"/>
      <c r="P14" s="1"/>
      <c r="Q14" s="1"/>
      <c r="R14" s="1"/>
      <c r="S14" s="1"/>
      <c r="T14" s="1"/>
      <c r="U14" s="1"/>
      <c r="V14" s="9"/>
      <c r="W14" s="3"/>
      <c r="X14" s="4"/>
      <c r="Y14" s="1"/>
      <c r="Z14" s="1"/>
      <c r="AA14" s="1"/>
      <c r="AB14" s="1"/>
      <c r="AC14" s="1"/>
      <c r="AD14" s="3"/>
      <c r="AE14" s="3"/>
      <c r="AF14" s="5"/>
      <c r="AG14" s="5"/>
      <c r="AH14" s="5"/>
      <c r="AI14" s="5"/>
      <c r="AJ14" s="6"/>
      <c r="AK14" s="6"/>
      <c r="AL14" s="12"/>
      <c r="AM14" s="12"/>
      <c r="AN14" s="12"/>
      <c r="AO14" s="12"/>
      <c r="AP14" s="12"/>
    </row>
    <row r="15" spans="1:42" ht="15" x14ac:dyDescent="0.25">
      <c r="A15" s="82" t="str">
        <f>TDCTRIBE!I24</f>
        <v>Alaska</v>
      </c>
      <c r="B15" s="82" t="str">
        <f>TDCTRIBE!B24</f>
        <v>AK</v>
      </c>
      <c r="C15" s="82" t="str">
        <f>TDCTRIBE!F24</f>
        <v>Anaktuvuk Pass</v>
      </c>
      <c r="D15" s="83">
        <f>TDCTRIBE!Y24</f>
        <v>573912.50187599997</v>
      </c>
      <c r="E15" s="83">
        <f>TDCTRIBE!Z24</f>
        <v>633906.89508719998</v>
      </c>
      <c r="F15" s="83">
        <f>TDCTRIBE!AA24</f>
        <v>715983.34034640016</v>
      </c>
      <c r="G15" s="83">
        <f>TDCTRIBE!AB24</f>
        <v>775980.51116880018</v>
      </c>
      <c r="H15" s="83">
        <f>TDCTRIBE!AC24</f>
        <v>837476.24333520012</v>
      </c>
      <c r="O15" s="9"/>
      <c r="P15" s="1"/>
      <c r="Q15" s="1"/>
      <c r="R15" s="1"/>
      <c r="S15" s="1"/>
      <c r="T15" s="1"/>
      <c r="U15" s="1"/>
      <c r="V15" s="9"/>
      <c r="W15" s="3"/>
      <c r="X15" s="4"/>
      <c r="Y15" s="1"/>
      <c r="Z15" s="1"/>
      <c r="AA15" s="1"/>
      <c r="AB15" s="1"/>
      <c r="AC15" s="1"/>
      <c r="AD15" s="3"/>
      <c r="AE15" s="3"/>
      <c r="AF15" s="5"/>
      <c r="AG15" s="5"/>
      <c r="AH15" s="5"/>
      <c r="AI15" s="5"/>
      <c r="AJ15" s="6"/>
      <c r="AK15" s="6"/>
      <c r="AL15" s="12"/>
      <c r="AM15" s="12"/>
      <c r="AN15" s="12"/>
      <c r="AO15" s="12"/>
      <c r="AP15" s="12"/>
    </row>
    <row r="16" spans="1:42" ht="15" x14ac:dyDescent="0.25">
      <c r="A16" s="82" t="str">
        <f>TDCTRIBE!I25</f>
        <v>Alaska</v>
      </c>
      <c r="B16" s="82" t="str">
        <f>TDCTRIBE!B25</f>
        <v>AK</v>
      </c>
      <c r="C16" s="82" t="str">
        <f>TDCTRIBE!F25</f>
        <v>Andreafski</v>
      </c>
      <c r="D16" s="83">
        <f>TDCTRIBE!Y25</f>
        <v>537627.23286300001</v>
      </c>
      <c r="E16" s="83">
        <f>TDCTRIBE!Z25</f>
        <v>593892.8539060998</v>
      </c>
      <c r="F16" s="83">
        <f>TDCTRIBE!AA25</f>
        <v>670883.01826070005</v>
      </c>
      <c r="G16" s="83">
        <f>TDCTRIBE!AB25</f>
        <v>727154.03193440009</v>
      </c>
      <c r="H16" s="83">
        <f>TDCTRIBE!AC25</f>
        <v>784795.42359260004</v>
      </c>
      <c r="O16" s="9"/>
      <c r="P16" s="1"/>
      <c r="Q16" s="1"/>
      <c r="R16" s="1"/>
      <c r="S16" s="1"/>
      <c r="T16" s="1"/>
      <c r="U16" s="1"/>
      <c r="V16" s="9"/>
      <c r="W16" s="3"/>
      <c r="X16" s="4"/>
      <c r="Y16" s="1"/>
      <c r="Z16" s="1"/>
      <c r="AA16" s="1"/>
      <c r="AB16" s="1"/>
      <c r="AC16" s="1"/>
      <c r="AD16" s="3"/>
      <c r="AE16" s="3"/>
      <c r="AF16" s="5"/>
      <c r="AG16" s="5"/>
      <c r="AH16" s="5"/>
      <c r="AI16" s="5"/>
      <c r="AJ16" s="6"/>
      <c r="AK16" s="6"/>
      <c r="AL16" s="12"/>
      <c r="AM16" s="12"/>
      <c r="AN16" s="12"/>
      <c r="AO16" s="12"/>
      <c r="AP16" s="12"/>
    </row>
    <row r="17" spans="1:42" ht="15" x14ac:dyDescent="0.25">
      <c r="A17" s="82" t="str">
        <f>TDCTRIBE!I26</f>
        <v>Alaska</v>
      </c>
      <c r="B17" s="82" t="str">
        <f>TDCTRIBE!B26</f>
        <v>AK</v>
      </c>
      <c r="C17" s="82" t="str">
        <f>TDCTRIBE!F26</f>
        <v>Angoon</v>
      </c>
      <c r="D17" s="83">
        <f>TDCTRIBE!Y26</f>
        <v>465666.31849500001</v>
      </c>
      <c r="E17" s="83">
        <f>TDCTRIBE!Z26</f>
        <v>514428.62433899997</v>
      </c>
      <c r="F17" s="83">
        <f>TDCTRIBE!AA26</f>
        <v>581158.19019300013</v>
      </c>
      <c r="G17" s="83">
        <f>TDCTRIBE!AB26</f>
        <v>629926.37213100016</v>
      </c>
      <c r="H17" s="83">
        <f>TDCTRIBE!AC26</f>
        <v>679867.06659900001</v>
      </c>
      <c r="O17" s="9"/>
      <c r="P17" s="1"/>
      <c r="Q17" s="1"/>
      <c r="R17" s="1"/>
      <c r="S17" s="1"/>
      <c r="T17" s="1"/>
      <c r="U17" s="1"/>
      <c r="V17" s="9"/>
      <c r="W17" s="3"/>
      <c r="X17" s="4"/>
      <c r="Y17" s="1"/>
      <c r="Z17" s="1"/>
      <c r="AA17" s="1"/>
      <c r="AB17" s="1"/>
      <c r="AC17" s="1"/>
      <c r="AD17" s="3"/>
      <c r="AE17" s="3"/>
      <c r="AF17" s="5"/>
      <c r="AG17" s="5"/>
      <c r="AH17" s="5"/>
      <c r="AI17" s="5"/>
      <c r="AJ17" s="6"/>
      <c r="AK17" s="6"/>
      <c r="AL17" s="12"/>
      <c r="AM17" s="12"/>
      <c r="AN17" s="12"/>
      <c r="AO17" s="12"/>
      <c r="AP17" s="12"/>
    </row>
    <row r="18" spans="1:42" ht="15" x14ac:dyDescent="0.25">
      <c r="A18" s="82" t="str">
        <f>TDCTRIBE!I27</f>
        <v>Alaska</v>
      </c>
      <c r="B18" s="82" t="str">
        <f>TDCTRIBE!B27</f>
        <v>AK</v>
      </c>
      <c r="C18" s="82" t="str">
        <f>TDCTRIBE!F27</f>
        <v>Aniak</v>
      </c>
      <c r="D18" s="83">
        <f>TDCTRIBE!Y27</f>
        <v>537627.23286300001</v>
      </c>
      <c r="E18" s="83">
        <f>TDCTRIBE!Z27</f>
        <v>593892.8539060998</v>
      </c>
      <c r="F18" s="83">
        <f>TDCTRIBE!AA27</f>
        <v>670883.01826070005</v>
      </c>
      <c r="G18" s="83">
        <f>TDCTRIBE!AB27</f>
        <v>727154.03193440009</v>
      </c>
      <c r="H18" s="83">
        <f>TDCTRIBE!AC27</f>
        <v>784795.42359260004</v>
      </c>
      <c r="O18" s="9"/>
      <c r="P18" s="1"/>
      <c r="Q18" s="1"/>
      <c r="R18" s="1"/>
      <c r="S18" s="1"/>
      <c r="T18" s="1"/>
      <c r="U18" s="1"/>
      <c r="V18" s="9"/>
      <c r="W18" s="3"/>
      <c r="X18" s="4"/>
      <c r="Y18" s="1"/>
      <c r="Z18" s="1"/>
      <c r="AA18" s="1"/>
      <c r="AB18" s="1"/>
      <c r="AC18" s="1"/>
      <c r="AD18" s="3"/>
      <c r="AE18" s="3"/>
      <c r="AF18" s="5"/>
      <c r="AG18" s="5"/>
      <c r="AH18" s="5"/>
      <c r="AI18" s="5"/>
      <c r="AJ18" s="6"/>
      <c r="AK18" s="6"/>
      <c r="AL18" s="12"/>
      <c r="AM18" s="12"/>
      <c r="AN18" s="12"/>
      <c r="AO18" s="12"/>
      <c r="AP18" s="12"/>
    </row>
    <row r="19" spans="1:42" ht="15" x14ac:dyDescent="0.25">
      <c r="A19" s="82" t="str">
        <f>TDCTRIBE!I28</f>
        <v>Alaska</v>
      </c>
      <c r="B19" s="82" t="str">
        <f>TDCTRIBE!B28</f>
        <v>AK</v>
      </c>
      <c r="C19" s="82" t="str">
        <f>TDCTRIBE!F28</f>
        <v>Annette Island  (Metlakakla)</v>
      </c>
      <c r="D19" s="83">
        <f>TDCTRIBE!Y28</f>
        <v>465666.31849500001</v>
      </c>
      <c r="E19" s="83">
        <f>TDCTRIBE!Z28</f>
        <v>514428.62433899997</v>
      </c>
      <c r="F19" s="83">
        <f>TDCTRIBE!AA28</f>
        <v>581158.19019300013</v>
      </c>
      <c r="G19" s="83">
        <f>TDCTRIBE!AB28</f>
        <v>629926.37213100016</v>
      </c>
      <c r="H19" s="83">
        <f>TDCTRIBE!AC28</f>
        <v>679867.06659900001</v>
      </c>
      <c r="O19" s="9"/>
      <c r="P19" s="1"/>
      <c r="Q19" s="1"/>
      <c r="R19" s="1"/>
      <c r="S19" s="1"/>
      <c r="T19" s="1"/>
      <c r="U19" s="1"/>
      <c r="V19" s="9"/>
      <c r="W19" s="3"/>
      <c r="X19" s="4"/>
      <c r="Y19" s="1"/>
      <c r="Z19" s="1"/>
      <c r="AA19" s="1"/>
      <c r="AB19" s="1"/>
      <c r="AC19" s="1"/>
      <c r="AD19" s="3"/>
      <c r="AE19" s="3"/>
      <c r="AF19" s="5"/>
      <c r="AG19" s="5"/>
      <c r="AH19" s="5"/>
      <c r="AI19" s="5"/>
      <c r="AJ19" s="6"/>
      <c r="AK19" s="6"/>
      <c r="AL19" s="12"/>
      <c r="AM19" s="12"/>
      <c r="AN19" s="12"/>
      <c r="AO19" s="12"/>
      <c r="AP19" s="12"/>
    </row>
    <row r="20" spans="1:42" ht="15" x14ac:dyDescent="0.25">
      <c r="A20" s="82" t="str">
        <f>TDCTRIBE!I29</f>
        <v>Alaska</v>
      </c>
      <c r="B20" s="82" t="str">
        <f>TDCTRIBE!B29</f>
        <v>AK</v>
      </c>
      <c r="C20" s="82" t="str">
        <f>TDCTRIBE!F29</f>
        <v>Anvik</v>
      </c>
      <c r="D20" s="83">
        <f>TDCTRIBE!Y29</f>
        <v>537627.23286300001</v>
      </c>
      <c r="E20" s="83">
        <f>TDCTRIBE!Z29</f>
        <v>593892.8539060998</v>
      </c>
      <c r="F20" s="83">
        <f>TDCTRIBE!AA29</f>
        <v>670883.01826070005</v>
      </c>
      <c r="G20" s="83">
        <f>TDCTRIBE!AB29</f>
        <v>727154.03193440009</v>
      </c>
      <c r="H20" s="83">
        <f>TDCTRIBE!AC29</f>
        <v>784795.42359260004</v>
      </c>
      <c r="O20" s="9"/>
      <c r="P20" s="1"/>
      <c r="Q20" s="1"/>
      <c r="R20" s="1"/>
      <c r="S20" s="1"/>
      <c r="T20" s="1"/>
      <c r="U20" s="1"/>
      <c r="V20" s="9"/>
      <c r="W20" s="3"/>
      <c r="X20" s="4"/>
      <c r="Y20" s="1"/>
      <c r="Z20" s="1"/>
      <c r="AA20" s="1"/>
      <c r="AB20" s="1"/>
      <c r="AC20" s="1"/>
      <c r="AD20" s="3"/>
      <c r="AE20" s="3"/>
      <c r="AF20" s="5"/>
      <c r="AG20" s="5"/>
      <c r="AH20" s="5"/>
      <c r="AI20" s="5"/>
      <c r="AJ20" s="6"/>
      <c r="AK20" s="6"/>
      <c r="AL20" s="12"/>
      <c r="AM20" s="12"/>
      <c r="AN20" s="12"/>
      <c r="AO20" s="12"/>
      <c r="AP20" s="12"/>
    </row>
    <row r="21" spans="1:42" ht="15" x14ac:dyDescent="0.25">
      <c r="A21" s="82" t="str">
        <f>TDCTRIBE!I30</f>
        <v>Alaska</v>
      </c>
      <c r="B21" s="82" t="str">
        <f>TDCTRIBE!B30</f>
        <v>AK</v>
      </c>
      <c r="C21" s="82" t="str">
        <f>TDCTRIBE!F30</f>
        <v>Arctic Village</v>
      </c>
      <c r="D21" s="83">
        <f>TDCTRIBE!Y30</f>
        <v>573912.50187599997</v>
      </c>
      <c r="E21" s="83">
        <f>TDCTRIBE!Z30</f>
        <v>633906.89508719998</v>
      </c>
      <c r="F21" s="83">
        <f>TDCTRIBE!AA30</f>
        <v>715983.34034640016</v>
      </c>
      <c r="G21" s="83">
        <f>TDCTRIBE!AB30</f>
        <v>775980.51116880018</v>
      </c>
      <c r="H21" s="83">
        <f>TDCTRIBE!AC30</f>
        <v>837476.24333520012</v>
      </c>
      <c r="O21" s="9"/>
      <c r="P21" s="1"/>
      <c r="Q21" s="1"/>
      <c r="R21" s="1"/>
      <c r="S21" s="1"/>
      <c r="T21" s="1"/>
      <c r="U21" s="1"/>
      <c r="V21" s="9"/>
      <c r="W21" s="3"/>
      <c r="X21" s="4"/>
      <c r="Y21" s="1"/>
      <c r="Z21" s="1"/>
      <c r="AA21" s="1"/>
      <c r="AB21" s="1"/>
      <c r="AC21" s="1"/>
      <c r="AD21" s="3"/>
      <c r="AE21" s="3"/>
      <c r="AF21" s="5"/>
      <c r="AG21" s="5"/>
      <c r="AH21" s="5"/>
      <c r="AI21" s="5"/>
      <c r="AJ21" s="6"/>
      <c r="AK21" s="6"/>
      <c r="AL21" s="12"/>
      <c r="AM21" s="12"/>
      <c r="AN21" s="12"/>
      <c r="AO21" s="12"/>
      <c r="AP21" s="12"/>
    </row>
    <row r="22" spans="1:42" ht="15" x14ac:dyDescent="0.25">
      <c r="A22" s="82" t="str">
        <f>TDCTRIBE!I31</f>
        <v>Alaska</v>
      </c>
      <c r="B22" s="82" t="str">
        <f>TDCTRIBE!B31</f>
        <v>AK</v>
      </c>
      <c r="C22" s="82" t="str">
        <f>TDCTRIBE!F31</f>
        <v>Arctic Slope Native Regional Corp.</v>
      </c>
      <c r="D22" s="83">
        <f>TDCTRIBE!Y31</f>
        <v>573912.50187599997</v>
      </c>
      <c r="E22" s="83">
        <f>TDCTRIBE!Z31</f>
        <v>633906.89508719998</v>
      </c>
      <c r="F22" s="83">
        <f>TDCTRIBE!AA31</f>
        <v>715983.34034640016</v>
      </c>
      <c r="G22" s="83">
        <f>TDCTRIBE!AB31</f>
        <v>775980.51116880018</v>
      </c>
      <c r="H22" s="83">
        <f>TDCTRIBE!AC31</f>
        <v>837476.24333520012</v>
      </c>
      <c r="O22" s="9"/>
      <c r="P22" s="1"/>
      <c r="Q22" s="1"/>
      <c r="R22" s="1"/>
      <c r="S22" s="1"/>
      <c r="T22" s="1"/>
      <c r="U22" s="1"/>
      <c r="V22" s="9"/>
      <c r="W22" s="3"/>
      <c r="X22" s="4"/>
      <c r="Y22" s="1"/>
      <c r="Z22" s="1"/>
      <c r="AA22" s="1"/>
      <c r="AB22" s="1"/>
      <c r="AC22" s="1"/>
      <c r="AD22" s="3"/>
      <c r="AE22" s="3"/>
      <c r="AF22" s="5"/>
      <c r="AG22" s="5"/>
      <c r="AH22" s="5"/>
      <c r="AI22" s="5"/>
      <c r="AJ22" s="6"/>
      <c r="AK22" s="6"/>
      <c r="AL22" s="12"/>
      <c r="AM22" s="12"/>
      <c r="AN22" s="12"/>
      <c r="AO22" s="12"/>
      <c r="AP22" s="12"/>
    </row>
    <row r="23" spans="1:42" ht="15" x14ac:dyDescent="0.25">
      <c r="A23" s="82" t="str">
        <f>TDCTRIBE!I32</f>
        <v>Alaska</v>
      </c>
      <c r="B23" s="82" t="str">
        <f>TDCTRIBE!B32</f>
        <v>AK</v>
      </c>
      <c r="C23" s="82" t="str">
        <f>TDCTRIBE!F32</f>
        <v>Atka</v>
      </c>
      <c r="D23" s="83">
        <f>TDCTRIBE!Y32</f>
        <v>537627.23286300001</v>
      </c>
      <c r="E23" s="83">
        <f>TDCTRIBE!Z32</f>
        <v>593892.8539060998</v>
      </c>
      <c r="F23" s="83">
        <f>TDCTRIBE!AA32</f>
        <v>670883.01826070005</v>
      </c>
      <c r="G23" s="83">
        <f>TDCTRIBE!AB32</f>
        <v>727154.03193440009</v>
      </c>
      <c r="H23" s="83">
        <f>TDCTRIBE!AC32</f>
        <v>784795.42359260004</v>
      </c>
      <c r="O23" s="9"/>
      <c r="P23" s="1"/>
      <c r="Q23" s="1"/>
      <c r="R23" s="1"/>
      <c r="S23" s="1"/>
      <c r="T23" s="1"/>
      <c r="U23" s="1"/>
      <c r="V23" s="9"/>
      <c r="W23" s="3"/>
      <c r="X23" s="4"/>
      <c r="Y23" s="1"/>
      <c r="Z23" s="1"/>
      <c r="AA23" s="1"/>
      <c r="AB23" s="1"/>
      <c r="AC23" s="1"/>
      <c r="AD23" s="3"/>
      <c r="AE23" s="3"/>
      <c r="AF23" s="5"/>
      <c r="AG23" s="5"/>
      <c r="AH23" s="5"/>
      <c r="AI23" s="5"/>
      <c r="AJ23" s="6"/>
      <c r="AK23" s="6"/>
      <c r="AL23" s="12"/>
      <c r="AM23" s="12"/>
      <c r="AN23" s="12"/>
      <c r="AO23" s="12"/>
      <c r="AP23" s="12"/>
    </row>
    <row r="24" spans="1:42" ht="15" x14ac:dyDescent="0.25">
      <c r="A24" s="82" t="str">
        <f>TDCTRIBE!I33</f>
        <v>Alaska</v>
      </c>
      <c r="B24" s="82" t="str">
        <f>TDCTRIBE!B33</f>
        <v>AK</v>
      </c>
      <c r="C24" s="82" t="str">
        <f>TDCTRIBE!F33</f>
        <v>Atmautluak</v>
      </c>
      <c r="D24" s="83">
        <f>TDCTRIBE!Y33</f>
        <v>537627.23286300001</v>
      </c>
      <c r="E24" s="83">
        <f>TDCTRIBE!Z33</f>
        <v>593892.8539060998</v>
      </c>
      <c r="F24" s="83">
        <f>TDCTRIBE!AA33</f>
        <v>670883.01826070005</v>
      </c>
      <c r="G24" s="83">
        <f>TDCTRIBE!AB33</f>
        <v>727154.03193440009</v>
      </c>
      <c r="H24" s="83">
        <f>TDCTRIBE!AC33</f>
        <v>784795.42359260004</v>
      </c>
      <c r="O24" s="9"/>
      <c r="P24" s="1"/>
      <c r="Q24" s="1"/>
      <c r="R24" s="1"/>
      <c r="S24" s="1"/>
      <c r="T24" s="1"/>
      <c r="U24" s="1"/>
      <c r="V24" s="9"/>
      <c r="W24" s="3"/>
      <c r="X24" s="4"/>
      <c r="Y24" s="1"/>
      <c r="Z24" s="1"/>
      <c r="AA24" s="1"/>
      <c r="AB24" s="1"/>
      <c r="AC24" s="1"/>
      <c r="AD24" s="3"/>
      <c r="AE24" s="3"/>
      <c r="AF24" s="5"/>
      <c r="AG24" s="5"/>
      <c r="AH24" s="5"/>
      <c r="AI24" s="5"/>
      <c r="AJ24" s="6"/>
      <c r="AK24" s="6"/>
      <c r="AL24" s="12"/>
      <c r="AM24" s="12"/>
      <c r="AN24" s="12"/>
      <c r="AO24" s="12"/>
      <c r="AP24" s="12"/>
    </row>
    <row r="25" spans="1:42" ht="15" x14ac:dyDescent="0.25">
      <c r="A25" s="82" t="str">
        <f>TDCTRIBE!I34</f>
        <v>Alaska</v>
      </c>
      <c r="B25" s="82" t="str">
        <f>TDCTRIBE!B34</f>
        <v>AK</v>
      </c>
      <c r="C25" s="82" t="str">
        <f>TDCTRIBE!F34</f>
        <v>Atqasuk (Atkasook)</v>
      </c>
      <c r="D25" s="83">
        <f>TDCTRIBE!Y34</f>
        <v>573912.50187599997</v>
      </c>
      <c r="E25" s="83">
        <f>TDCTRIBE!Z34</f>
        <v>633906.89508719998</v>
      </c>
      <c r="F25" s="83">
        <f>TDCTRIBE!AA34</f>
        <v>715983.34034640016</v>
      </c>
      <c r="G25" s="83">
        <f>TDCTRIBE!AB34</f>
        <v>775980.51116880018</v>
      </c>
      <c r="H25" s="83">
        <f>TDCTRIBE!AC34</f>
        <v>837476.24333520012</v>
      </c>
      <c r="O25" s="9"/>
      <c r="P25" s="1"/>
      <c r="Q25" s="1"/>
      <c r="R25" s="1"/>
      <c r="S25" s="1"/>
      <c r="T25" s="1"/>
      <c r="U25" s="1"/>
      <c r="V25" s="9"/>
      <c r="W25" s="3"/>
      <c r="X25" s="4"/>
      <c r="Y25" s="1"/>
      <c r="Z25" s="1"/>
      <c r="AA25" s="1"/>
      <c r="AB25" s="1"/>
      <c r="AC25" s="1"/>
      <c r="AD25" s="3"/>
      <c r="AE25" s="3"/>
      <c r="AF25" s="5"/>
      <c r="AG25" s="5"/>
      <c r="AH25" s="5"/>
      <c r="AI25" s="5"/>
      <c r="AJ25" s="6"/>
      <c r="AK25" s="6"/>
      <c r="AL25" s="12"/>
      <c r="AM25" s="12"/>
      <c r="AN25" s="12"/>
      <c r="AO25" s="12"/>
      <c r="AP25" s="12"/>
    </row>
    <row r="26" spans="1:42" ht="15" x14ac:dyDescent="0.25">
      <c r="A26" s="82" t="str">
        <f>TDCTRIBE!I35</f>
        <v>Alaska</v>
      </c>
      <c r="B26" s="82" t="str">
        <f>TDCTRIBE!B35</f>
        <v>AK</v>
      </c>
      <c r="C26" s="82" t="str">
        <f>TDCTRIBE!F35</f>
        <v>Barrow</v>
      </c>
      <c r="D26" s="83">
        <f>TDCTRIBE!Y35</f>
        <v>573912.50187599997</v>
      </c>
      <c r="E26" s="83">
        <f>TDCTRIBE!Z35</f>
        <v>633906.89508719998</v>
      </c>
      <c r="F26" s="83">
        <f>TDCTRIBE!AA35</f>
        <v>715983.34034640016</v>
      </c>
      <c r="G26" s="83">
        <f>TDCTRIBE!AB35</f>
        <v>775980.51116880018</v>
      </c>
      <c r="H26" s="83">
        <f>TDCTRIBE!AC35</f>
        <v>837476.24333520012</v>
      </c>
      <c r="O26" s="9"/>
      <c r="P26" s="1"/>
      <c r="Q26" s="1"/>
      <c r="R26" s="1"/>
      <c r="S26" s="1"/>
      <c r="T26" s="1"/>
      <c r="U26" s="1"/>
      <c r="V26" s="9"/>
      <c r="W26" s="3"/>
      <c r="X26" s="4"/>
      <c r="Y26" s="1"/>
      <c r="Z26" s="1"/>
      <c r="AA26" s="1"/>
      <c r="AB26" s="1"/>
      <c r="AC26" s="1"/>
      <c r="AD26" s="3"/>
      <c r="AE26" s="3"/>
      <c r="AF26" s="5"/>
      <c r="AG26" s="5"/>
      <c r="AH26" s="5"/>
      <c r="AI26" s="5"/>
      <c r="AJ26" s="6"/>
      <c r="AK26" s="6"/>
      <c r="AL26" s="12"/>
      <c r="AM26" s="12"/>
      <c r="AN26" s="12"/>
      <c r="AO26" s="12"/>
      <c r="AP26" s="12"/>
    </row>
    <row r="27" spans="1:42" ht="15" x14ac:dyDescent="0.25">
      <c r="A27" s="82" t="str">
        <f>TDCTRIBE!I36</f>
        <v>Alaska</v>
      </c>
      <c r="B27" s="82" t="str">
        <f>TDCTRIBE!B36</f>
        <v>AK</v>
      </c>
      <c r="C27" s="82" t="str">
        <f>TDCTRIBE!F36</f>
        <v>Beaver</v>
      </c>
      <c r="D27" s="83">
        <f>TDCTRIBE!Y36</f>
        <v>537627.23286300001</v>
      </c>
      <c r="E27" s="83">
        <f>TDCTRIBE!Z36</f>
        <v>593892.8539060998</v>
      </c>
      <c r="F27" s="83">
        <f>TDCTRIBE!AA36</f>
        <v>670883.01826070005</v>
      </c>
      <c r="G27" s="83">
        <f>TDCTRIBE!AB36</f>
        <v>727154.03193440009</v>
      </c>
      <c r="H27" s="83">
        <f>TDCTRIBE!AC36</f>
        <v>784795.42359260004</v>
      </c>
      <c r="O27" s="9"/>
      <c r="P27" s="1"/>
      <c r="Q27" s="1"/>
      <c r="R27" s="1"/>
      <c r="S27" s="1"/>
      <c r="T27" s="1"/>
      <c r="U27" s="1"/>
      <c r="V27" s="9"/>
      <c r="W27" s="3"/>
      <c r="X27" s="4"/>
      <c r="Y27" s="1"/>
      <c r="Z27" s="1"/>
      <c r="AA27" s="1"/>
      <c r="AB27" s="1"/>
      <c r="AC27" s="1"/>
      <c r="AD27" s="3"/>
      <c r="AE27" s="3"/>
      <c r="AF27" s="5"/>
      <c r="AG27" s="5"/>
      <c r="AH27" s="5"/>
      <c r="AI27" s="5"/>
      <c r="AJ27" s="6"/>
      <c r="AK27" s="6"/>
      <c r="AL27" s="12"/>
      <c r="AM27" s="12"/>
      <c r="AN27" s="12"/>
      <c r="AO27" s="12"/>
      <c r="AP27" s="12"/>
    </row>
    <row r="28" spans="1:42" ht="15" x14ac:dyDescent="0.25">
      <c r="A28" s="82" t="str">
        <f>TDCTRIBE!I37</f>
        <v>Alaska</v>
      </c>
      <c r="B28" s="82" t="str">
        <f>TDCTRIBE!B37</f>
        <v>AK</v>
      </c>
      <c r="C28" s="82" t="str">
        <f>TDCTRIBE!F37</f>
        <v>Belkofski</v>
      </c>
      <c r="D28" s="83">
        <f>TDCTRIBE!Y37</f>
        <v>537627.23286300001</v>
      </c>
      <c r="E28" s="83">
        <f>TDCTRIBE!Z37</f>
        <v>593892.8539060998</v>
      </c>
      <c r="F28" s="83">
        <f>TDCTRIBE!AA37</f>
        <v>670883.01826070005</v>
      </c>
      <c r="G28" s="83">
        <f>TDCTRIBE!AB37</f>
        <v>727154.03193440009</v>
      </c>
      <c r="H28" s="83">
        <f>TDCTRIBE!AC37</f>
        <v>784795.42359260004</v>
      </c>
      <c r="O28" s="9"/>
      <c r="P28" s="1"/>
      <c r="Q28" s="1"/>
      <c r="R28" s="1"/>
      <c r="S28" s="1"/>
      <c r="T28" s="1"/>
      <c r="U28" s="1"/>
      <c r="V28" s="9"/>
      <c r="W28" s="3"/>
      <c r="X28" s="4"/>
      <c r="Y28" s="1"/>
      <c r="Z28" s="1"/>
      <c r="AA28" s="1"/>
      <c r="AB28" s="1"/>
      <c r="AC28" s="1"/>
      <c r="AD28" s="3"/>
      <c r="AE28" s="3"/>
      <c r="AF28" s="5"/>
      <c r="AG28" s="5"/>
      <c r="AH28" s="5"/>
      <c r="AI28" s="5"/>
      <c r="AJ28" s="6"/>
      <c r="AK28" s="6"/>
      <c r="AL28" s="12"/>
      <c r="AM28" s="12"/>
      <c r="AN28" s="12"/>
      <c r="AO28" s="12"/>
      <c r="AP28" s="12"/>
    </row>
    <row r="29" spans="1:42" ht="15" x14ac:dyDescent="0.25">
      <c r="A29" s="82" t="str">
        <f>TDCTRIBE!I38</f>
        <v>Alaska</v>
      </c>
      <c r="B29" s="82" t="str">
        <f>TDCTRIBE!B38</f>
        <v>AK</v>
      </c>
      <c r="C29" s="82" t="str">
        <f>TDCTRIBE!F38</f>
        <v>Bering Straits Regional Corp. (BSRHA)</v>
      </c>
      <c r="D29" s="83">
        <f>TDCTRIBE!Y38</f>
        <v>537627.23286300001</v>
      </c>
      <c r="E29" s="83">
        <f>TDCTRIBE!Z38</f>
        <v>593892.8539060998</v>
      </c>
      <c r="F29" s="83">
        <f>TDCTRIBE!AA38</f>
        <v>670883.01826070005</v>
      </c>
      <c r="G29" s="83">
        <f>TDCTRIBE!AB38</f>
        <v>727154.03193440009</v>
      </c>
      <c r="H29" s="83">
        <f>TDCTRIBE!AC38</f>
        <v>784795.42359260004</v>
      </c>
      <c r="O29" s="9"/>
      <c r="P29" s="1"/>
      <c r="Q29" s="1"/>
      <c r="R29" s="1"/>
      <c r="S29" s="1"/>
      <c r="T29" s="1"/>
      <c r="U29" s="1"/>
      <c r="V29" s="9"/>
      <c r="W29" s="3"/>
      <c r="X29" s="4"/>
      <c r="Y29" s="1"/>
      <c r="Z29" s="1"/>
      <c r="AA29" s="1"/>
      <c r="AB29" s="1"/>
      <c r="AC29" s="1"/>
      <c r="AD29" s="3"/>
      <c r="AE29" s="3"/>
      <c r="AF29" s="5"/>
      <c r="AG29" s="5"/>
      <c r="AH29" s="5"/>
      <c r="AI29" s="5"/>
      <c r="AJ29" s="6"/>
      <c r="AK29" s="6"/>
      <c r="AL29" s="12"/>
      <c r="AM29" s="12"/>
      <c r="AN29" s="12"/>
      <c r="AO29" s="12"/>
      <c r="AP29" s="12"/>
    </row>
    <row r="30" spans="1:42" ht="15" x14ac:dyDescent="0.25">
      <c r="A30" s="82" t="str">
        <f>TDCTRIBE!I39</f>
        <v>Alaska</v>
      </c>
      <c r="B30" s="82" t="str">
        <f>TDCTRIBE!B39</f>
        <v>AK</v>
      </c>
      <c r="C30" s="82" t="str">
        <f>TDCTRIBE!F39</f>
        <v>Bill Moore's Slough</v>
      </c>
      <c r="D30" s="83">
        <f>TDCTRIBE!Y39</f>
        <v>537627.23286300001</v>
      </c>
      <c r="E30" s="83">
        <f>TDCTRIBE!Z39</f>
        <v>593892.8539060998</v>
      </c>
      <c r="F30" s="83">
        <f>TDCTRIBE!AA39</f>
        <v>670883.01826070005</v>
      </c>
      <c r="G30" s="83">
        <f>TDCTRIBE!AB39</f>
        <v>727154.03193440009</v>
      </c>
      <c r="H30" s="83">
        <f>TDCTRIBE!AC39</f>
        <v>784795.42359260004</v>
      </c>
      <c r="O30" s="9"/>
      <c r="P30" s="1"/>
      <c r="Q30" s="1"/>
      <c r="R30" s="1"/>
      <c r="S30" s="1"/>
      <c r="T30" s="1"/>
      <c r="U30" s="1"/>
      <c r="V30" s="9"/>
      <c r="W30" s="3"/>
      <c r="X30" s="4"/>
      <c r="Y30" s="1"/>
      <c r="Z30" s="1"/>
      <c r="AA30" s="1"/>
      <c r="AB30" s="1"/>
      <c r="AC30" s="1"/>
      <c r="AD30" s="3"/>
      <c r="AE30" s="3"/>
      <c r="AF30" s="5"/>
      <c r="AG30" s="5"/>
      <c r="AH30" s="5"/>
      <c r="AI30" s="5"/>
      <c r="AJ30" s="6"/>
      <c r="AK30" s="6"/>
      <c r="AL30" s="12"/>
      <c r="AM30" s="12"/>
      <c r="AN30" s="12"/>
      <c r="AO30" s="12"/>
      <c r="AP30" s="12"/>
    </row>
    <row r="31" spans="1:42" ht="15" x14ac:dyDescent="0.25">
      <c r="A31" s="82" t="str">
        <f>TDCTRIBE!I40</f>
        <v>Alaska</v>
      </c>
      <c r="B31" s="82" t="str">
        <f>TDCTRIBE!B40</f>
        <v>AK</v>
      </c>
      <c r="C31" s="82" t="str">
        <f>TDCTRIBE!F40</f>
        <v>Birch Creek</v>
      </c>
      <c r="D31" s="83">
        <f>TDCTRIBE!Y40</f>
        <v>537627.23286300001</v>
      </c>
      <c r="E31" s="83">
        <f>TDCTRIBE!Z40</f>
        <v>593892.8539060998</v>
      </c>
      <c r="F31" s="83">
        <f>TDCTRIBE!AA40</f>
        <v>670883.01826070005</v>
      </c>
      <c r="G31" s="83">
        <f>TDCTRIBE!AB40</f>
        <v>727154.03193440009</v>
      </c>
      <c r="H31" s="83">
        <f>TDCTRIBE!AC40</f>
        <v>784795.42359260004</v>
      </c>
      <c r="O31" s="9"/>
      <c r="P31" s="1"/>
      <c r="Q31" s="1"/>
      <c r="R31" s="1"/>
      <c r="S31" s="1"/>
      <c r="T31" s="1"/>
      <c r="U31" s="1"/>
      <c r="V31" s="9"/>
      <c r="W31" s="3"/>
      <c r="X31" s="4"/>
      <c r="Y31" s="1"/>
      <c r="Z31" s="1"/>
      <c r="AA31" s="1"/>
      <c r="AB31" s="1"/>
      <c r="AC31" s="1"/>
      <c r="AD31" s="3"/>
      <c r="AE31" s="3"/>
      <c r="AF31" s="5"/>
      <c r="AG31" s="5"/>
      <c r="AH31" s="5"/>
      <c r="AI31" s="5"/>
      <c r="AJ31" s="6"/>
      <c r="AK31" s="6"/>
      <c r="AL31" s="12"/>
      <c r="AM31" s="12"/>
      <c r="AN31" s="12"/>
      <c r="AO31" s="12"/>
      <c r="AP31" s="12"/>
    </row>
    <row r="32" spans="1:42" ht="15" x14ac:dyDescent="0.25">
      <c r="A32" s="82" t="str">
        <f>TDCTRIBE!I41</f>
        <v>Alaska</v>
      </c>
      <c r="B32" s="82" t="str">
        <f>TDCTRIBE!B41</f>
        <v>AK</v>
      </c>
      <c r="C32" s="82" t="str">
        <f>TDCTRIBE!F41</f>
        <v>Brevig Mission</v>
      </c>
      <c r="D32" s="83">
        <f>TDCTRIBE!Y41</f>
        <v>537627.23286300001</v>
      </c>
      <c r="E32" s="83">
        <f>TDCTRIBE!Z41</f>
        <v>593892.8539060998</v>
      </c>
      <c r="F32" s="83">
        <f>TDCTRIBE!AA41</f>
        <v>670883.01826070005</v>
      </c>
      <c r="G32" s="83">
        <f>TDCTRIBE!AB41</f>
        <v>727154.03193440009</v>
      </c>
      <c r="H32" s="83">
        <f>TDCTRIBE!AC41</f>
        <v>784795.42359260004</v>
      </c>
      <c r="O32" s="9"/>
      <c r="P32" s="1"/>
      <c r="Q32" s="1"/>
      <c r="R32" s="1"/>
      <c r="S32" s="1"/>
      <c r="T32" s="1"/>
      <c r="U32" s="1"/>
      <c r="V32" s="9"/>
      <c r="W32" s="3"/>
      <c r="X32" s="4"/>
      <c r="Y32" s="1"/>
      <c r="Z32" s="1"/>
      <c r="AA32" s="1"/>
      <c r="AB32" s="1"/>
      <c r="AC32" s="1"/>
      <c r="AD32" s="3"/>
      <c r="AE32" s="3"/>
      <c r="AF32" s="5"/>
      <c r="AG32" s="5"/>
      <c r="AH32" s="5"/>
      <c r="AI32" s="5"/>
      <c r="AJ32" s="6"/>
      <c r="AK32" s="6"/>
      <c r="AL32" s="12"/>
      <c r="AM32" s="12"/>
      <c r="AN32" s="12"/>
      <c r="AO32" s="12"/>
      <c r="AP32" s="12"/>
    </row>
    <row r="33" spans="1:42" ht="15" x14ac:dyDescent="0.25">
      <c r="A33" s="82" t="str">
        <f>TDCTRIBE!I42</f>
        <v>Alaska</v>
      </c>
      <c r="B33" s="82" t="str">
        <f>TDCTRIBE!B42</f>
        <v>AK</v>
      </c>
      <c r="C33" s="82" t="str">
        <f>TDCTRIBE!F42</f>
        <v>Bristol Bay Native Regional Corp.</v>
      </c>
      <c r="D33" s="83">
        <f>TDCTRIBE!Y42</f>
        <v>537627.23286300001</v>
      </c>
      <c r="E33" s="83">
        <f>TDCTRIBE!Z42</f>
        <v>593892.8539060998</v>
      </c>
      <c r="F33" s="83">
        <f>TDCTRIBE!AA42</f>
        <v>670883.01826070005</v>
      </c>
      <c r="G33" s="83">
        <f>TDCTRIBE!AB42</f>
        <v>727154.03193440009</v>
      </c>
      <c r="H33" s="83">
        <f>TDCTRIBE!AC42</f>
        <v>784795.42359260004</v>
      </c>
      <c r="O33" s="9"/>
      <c r="P33" s="1"/>
      <c r="Q33" s="1"/>
      <c r="R33" s="1"/>
      <c r="S33" s="1"/>
      <c r="T33" s="1"/>
      <c r="U33" s="1"/>
      <c r="V33" s="9"/>
      <c r="W33" s="3"/>
      <c r="X33" s="4"/>
      <c r="Y33" s="1"/>
      <c r="Z33" s="1"/>
      <c r="AA33" s="1"/>
      <c r="AB33" s="1"/>
      <c r="AC33" s="1"/>
      <c r="AD33" s="3"/>
      <c r="AE33" s="3"/>
      <c r="AF33" s="5"/>
      <c r="AG33" s="5"/>
      <c r="AH33" s="5"/>
      <c r="AI33" s="5"/>
      <c r="AJ33" s="6"/>
      <c r="AK33" s="6"/>
      <c r="AL33" s="12"/>
      <c r="AM33" s="12"/>
      <c r="AN33" s="12"/>
      <c r="AO33" s="12"/>
      <c r="AP33" s="12"/>
    </row>
    <row r="34" spans="1:42" ht="15" x14ac:dyDescent="0.25">
      <c r="A34" s="82" t="str">
        <f>TDCTRIBE!I43</f>
        <v>Alaska</v>
      </c>
      <c r="B34" s="82" t="str">
        <f>TDCTRIBE!B43</f>
        <v>AK</v>
      </c>
      <c r="C34" s="82" t="str">
        <f>TDCTRIBE!F43</f>
        <v>Buckland</v>
      </c>
      <c r="D34" s="83">
        <f>TDCTRIBE!Y43</f>
        <v>537627.23286300001</v>
      </c>
      <c r="E34" s="83">
        <f>TDCTRIBE!Z43</f>
        <v>593892.8539060998</v>
      </c>
      <c r="F34" s="83">
        <f>TDCTRIBE!AA43</f>
        <v>670883.01826070005</v>
      </c>
      <c r="G34" s="83">
        <f>TDCTRIBE!AB43</f>
        <v>727154.03193440009</v>
      </c>
      <c r="H34" s="83">
        <f>TDCTRIBE!AC43</f>
        <v>784795.42359260004</v>
      </c>
      <c r="O34" s="9"/>
      <c r="P34" s="1"/>
      <c r="Q34" s="1"/>
      <c r="R34" s="1"/>
      <c r="S34" s="1"/>
      <c r="T34" s="1"/>
      <c r="U34" s="1"/>
      <c r="V34" s="9"/>
      <c r="W34" s="3"/>
      <c r="X34" s="4"/>
      <c r="Y34" s="1"/>
      <c r="Z34" s="1"/>
      <c r="AA34" s="1"/>
      <c r="AB34" s="1"/>
      <c r="AC34" s="1"/>
      <c r="AD34" s="3"/>
      <c r="AE34" s="3"/>
      <c r="AF34" s="5"/>
      <c r="AG34" s="5"/>
      <c r="AH34" s="5"/>
      <c r="AI34" s="5"/>
      <c r="AJ34" s="6"/>
      <c r="AK34" s="6"/>
      <c r="AL34" s="12"/>
      <c r="AM34" s="12"/>
      <c r="AN34" s="12"/>
      <c r="AO34" s="12"/>
      <c r="AP34" s="12"/>
    </row>
    <row r="35" spans="1:42" ht="14.25" customHeight="1" x14ac:dyDescent="0.25">
      <c r="A35" s="82" t="str">
        <f>TDCTRIBE!I44</f>
        <v>Alaska</v>
      </c>
      <c r="B35" s="82" t="str">
        <f>TDCTRIBE!B44</f>
        <v>AK</v>
      </c>
      <c r="C35" s="82" t="str">
        <f>TDCTRIBE!F44</f>
        <v>Calista Native Regional Corporation</v>
      </c>
      <c r="D35" s="83">
        <f>TDCTRIBE!Y44</f>
        <v>537627.23286300001</v>
      </c>
      <c r="E35" s="83">
        <f>TDCTRIBE!Z44</f>
        <v>593892.8539060998</v>
      </c>
      <c r="F35" s="83">
        <f>TDCTRIBE!AA44</f>
        <v>670883.01826070005</v>
      </c>
      <c r="G35" s="83">
        <f>TDCTRIBE!AB44</f>
        <v>727154.03193440009</v>
      </c>
      <c r="H35" s="83">
        <f>TDCTRIBE!AC44</f>
        <v>784795.42359260004</v>
      </c>
      <c r="O35" s="9"/>
      <c r="P35" s="1"/>
      <c r="Q35" s="1"/>
      <c r="R35" s="1"/>
      <c r="S35" s="1"/>
      <c r="T35" s="1"/>
      <c r="U35" s="1"/>
      <c r="V35" s="9"/>
      <c r="W35" s="3"/>
      <c r="X35" s="4"/>
      <c r="Y35" s="1"/>
      <c r="Z35" s="1"/>
      <c r="AA35" s="1"/>
      <c r="AB35" s="1"/>
      <c r="AC35" s="1"/>
      <c r="AD35" s="3"/>
      <c r="AE35" s="3"/>
      <c r="AF35" s="5"/>
      <c r="AG35" s="5"/>
      <c r="AH35" s="5"/>
      <c r="AI35" s="5"/>
      <c r="AJ35" s="6"/>
      <c r="AK35" s="6"/>
      <c r="AL35" s="12"/>
      <c r="AM35" s="12"/>
      <c r="AN35" s="12"/>
      <c r="AO35" s="12"/>
      <c r="AP35" s="12"/>
    </row>
    <row r="36" spans="1:42" ht="15" x14ac:dyDescent="0.25">
      <c r="A36" s="82" t="str">
        <f>TDCTRIBE!I45</f>
        <v>Alaska</v>
      </c>
      <c r="B36" s="82" t="str">
        <f>TDCTRIBE!B45</f>
        <v>AK</v>
      </c>
      <c r="C36" s="82" t="str">
        <f>TDCTRIBE!F45</f>
        <v>Cantwell</v>
      </c>
      <c r="D36" s="83">
        <f>TDCTRIBE!Y45</f>
        <v>465666.31849500001</v>
      </c>
      <c r="E36" s="83">
        <f>TDCTRIBE!Z45</f>
        <v>514428.62433899997</v>
      </c>
      <c r="F36" s="83">
        <f>TDCTRIBE!AA45</f>
        <v>581158.19019300013</v>
      </c>
      <c r="G36" s="83">
        <f>TDCTRIBE!AB45</f>
        <v>629926.37213100016</v>
      </c>
      <c r="H36" s="83">
        <f>TDCTRIBE!AC45</f>
        <v>679867.06659900001</v>
      </c>
      <c r="O36" s="9"/>
      <c r="P36" s="1"/>
      <c r="Q36" s="1"/>
      <c r="R36" s="1"/>
      <c r="S36" s="1"/>
      <c r="T36" s="1"/>
      <c r="U36" s="1"/>
      <c r="V36" s="9"/>
      <c r="W36" s="3"/>
      <c r="X36" s="4"/>
      <c r="Y36" s="1"/>
      <c r="Z36" s="1"/>
      <c r="AA36" s="1"/>
      <c r="AB36" s="1"/>
      <c r="AC36" s="1"/>
      <c r="AD36" s="3"/>
      <c r="AE36" s="3"/>
      <c r="AF36" s="5"/>
      <c r="AG36" s="5"/>
      <c r="AH36" s="5"/>
      <c r="AI36" s="5"/>
      <c r="AJ36" s="6"/>
      <c r="AK36" s="6"/>
      <c r="AL36" s="12"/>
      <c r="AM36" s="12"/>
      <c r="AN36" s="12"/>
      <c r="AO36" s="12"/>
      <c r="AP36" s="12"/>
    </row>
    <row r="37" spans="1:42" ht="15" x14ac:dyDescent="0.25">
      <c r="A37" s="82" t="str">
        <f>TDCTRIBE!I46</f>
        <v>Alaska</v>
      </c>
      <c r="B37" s="82" t="str">
        <f>TDCTRIBE!B46</f>
        <v>AK</v>
      </c>
      <c r="C37" s="82" t="str">
        <f>TDCTRIBE!F46</f>
        <v>Chalkyitsik</v>
      </c>
      <c r="D37" s="83">
        <f>TDCTRIBE!Y46</f>
        <v>537627.23286300001</v>
      </c>
      <c r="E37" s="83">
        <f>TDCTRIBE!Z46</f>
        <v>593892.8539060998</v>
      </c>
      <c r="F37" s="83">
        <f>TDCTRIBE!AA46</f>
        <v>670883.01826070005</v>
      </c>
      <c r="G37" s="83">
        <f>TDCTRIBE!AB46</f>
        <v>727154.03193440009</v>
      </c>
      <c r="H37" s="83">
        <f>TDCTRIBE!AC46</f>
        <v>784795.42359260004</v>
      </c>
      <c r="O37" s="9"/>
      <c r="P37" s="1"/>
      <c r="Q37" s="1"/>
      <c r="R37" s="1"/>
      <c r="S37" s="1"/>
      <c r="T37" s="1"/>
      <c r="U37" s="1"/>
      <c r="V37" s="9"/>
      <c r="W37" s="3"/>
      <c r="X37" s="4"/>
      <c r="Y37" s="1"/>
      <c r="Z37" s="1"/>
      <c r="AA37" s="1"/>
      <c r="AB37" s="1"/>
      <c r="AC37" s="1"/>
      <c r="AD37" s="3"/>
      <c r="AE37" s="3"/>
      <c r="AF37" s="5"/>
      <c r="AG37" s="5"/>
      <c r="AH37" s="5"/>
      <c r="AI37" s="5"/>
      <c r="AJ37" s="6"/>
      <c r="AK37" s="6"/>
      <c r="AL37" s="12"/>
      <c r="AM37" s="12"/>
      <c r="AN37" s="12"/>
      <c r="AO37" s="12"/>
      <c r="AP37" s="12"/>
    </row>
    <row r="38" spans="1:42" ht="15" x14ac:dyDescent="0.25">
      <c r="A38" s="82" t="str">
        <f>TDCTRIBE!I47</f>
        <v>Alaska</v>
      </c>
      <c r="B38" s="82" t="str">
        <f>TDCTRIBE!B47</f>
        <v>AK</v>
      </c>
      <c r="C38" s="82" t="str">
        <f>TDCTRIBE!F47</f>
        <v>Chanega</v>
      </c>
      <c r="D38" s="83">
        <f>TDCTRIBE!Y47</f>
        <v>465666.31849500001</v>
      </c>
      <c r="E38" s="83">
        <f>TDCTRIBE!Z47</f>
        <v>514428.62433899997</v>
      </c>
      <c r="F38" s="83">
        <f>TDCTRIBE!AA47</f>
        <v>581158.19019300013</v>
      </c>
      <c r="G38" s="83">
        <f>TDCTRIBE!AB47</f>
        <v>629926.37213100016</v>
      </c>
      <c r="H38" s="83">
        <f>TDCTRIBE!AC47</f>
        <v>679867.06659900001</v>
      </c>
      <c r="O38" s="9"/>
      <c r="P38" s="1"/>
      <c r="Q38" s="1"/>
      <c r="R38" s="1"/>
      <c r="S38" s="1"/>
      <c r="T38" s="1"/>
      <c r="U38" s="1"/>
      <c r="V38" s="9"/>
      <c r="W38" s="3"/>
      <c r="X38" s="4"/>
      <c r="Y38" s="1"/>
      <c r="Z38" s="1"/>
      <c r="AA38" s="1"/>
      <c r="AB38" s="1"/>
      <c r="AC38" s="1"/>
      <c r="AD38" s="3"/>
      <c r="AE38" s="3"/>
      <c r="AF38" s="5"/>
      <c r="AG38" s="5"/>
      <c r="AH38" s="5"/>
      <c r="AI38" s="5"/>
      <c r="AJ38" s="6"/>
      <c r="AK38" s="6"/>
      <c r="AL38" s="12"/>
      <c r="AM38" s="12"/>
      <c r="AN38" s="12"/>
      <c r="AO38" s="12"/>
      <c r="AP38" s="12"/>
    </row>
    <row r="39" spans="1:42" ht="15" x14ac:dyDescent="0.25">
      <c r="A39" s="82" t="str">
        <f>TDCTRIBE!I48</f>
        <v>Alaska</v>
      </c>
      <c r="B39" s="82" t="str">
        <f>TDCTRIBE!B48</f>
        <v>AK</v>
      </c>
      <c r="C39" s="82" t="str">
        <f>TDCTRIBE!F48</f>
        <v>Chefornak</v>
      </c>
      <c r="D39" s="83">
        <f>TDCTRIBE!Y48</f>
        <v>537627.23286300001</v>
      </c>
      <c r="E39" s="83">
        <f>TDCTRIBE!Z48</f>
        <v>593892.8539060998</v>
      </c>
      <c r="F39" s="83">
        <f>TDCTRIBE!AA48</f>
        <v>670883.01826070005</v>
      </c>
      <c r="G39" s="83">
        <f>TDCTRIBE!AB48</f>
        <v>727154.03193440009</v>
      </c>
      <c r="H39" s="83">
        <f>TDCTRIBE!AC48</f>
        <v>784795.42359260004</v>
      </c>
      <c r="O39" s="9"/>
      <c r="P39" s="1"/>
      <c r="Q39" s="1"/>
      <c r="R39" s="1"/>
      <c r="S39" s="1"/>
      <c r="T39" s="1"/>
      <c r="U39" s="1"/>
      <c r="V39" s="9"/>
      <c r="W39" s="3"/>
      <c r="X39" s="4"/>
      <c r="Y39" s="1"/>
      <c r="Z39" s="1"/>
      <c r="AA39" s="1"/>
      <c r="AB39" s="1"/>
      <c r="AC39" s="1"/>
      <c r="AD39" s="3"/>
      <c r="AE39" s="3"/>
      <c r="AF39" s="5"/>
      <c r="AG39" s="5"/>
      <c r="AH39" s="5"/>
      <c r="AI39" s="5"/>
      <c r="AJ39" s="6"/>
      <c r="AK39" s="6"/>
      <c r="AL39" s="12"/>
      <c r="AM39" s="12"/>
      <c r="AN39" s="12"/>
      <c r="AO39" s="12"/>
      <c r="AP39" s="12"/>
    </row>
    <row r="40" spans="1:42" ht="15" x14ac:dyDescent="0.25">
      <c r="A40" s="82" t="str">
        <f>TDCTRIBE!I49</f>
        <v>Alaska</v>
      </c>
      <c r="B40" s="82" t="str">
        <f>TDCTRIBE!B49</f>
        <v>AK</v>
      </c>
      <c r="C40" s="82" t="str">
        <f>TDCTRIBE!F49</f>
        <v>Chevak</v>
      </c>
      <c r="D40" s="83">
        <f>TDCTRIBE!Y49</f>
        <v>537627.23286300001</v>
      </c>
      <c r="E40" s="83">
        <f>TDCTRIBE!Z49</f>
        <v>593892.8539060998</v>
      </c>
      <c r="F40" s="83">
        <f>TDCTRIBE!AA49</f>
        <v>670883.01826070005</v>
      </c>
      <c r="G40" s="83">
        <f>TDCTRIBE!AB49</f>
        <v>727154.03193440009</v>
      </c>
      <c r="H40" s="83">
        <f>TDCTRIBE!AC49</f>
        <v>784795.42359260004</v>
      </c>
      <c r="O40" s="9"/>
      <c r="P40" s="1"/>
      <c r="Q40" s="1"/>
      <c r="R40" s="1"/>
      <c r="S40" s="1"/>
      <c r="T40" s="1"/>
      <c r="U40" s="1"/>
      <c r="V40" s="9"/>
      <c r="W40" s="3"/>
      <c r="X40" s="4"/>
      <c r="Y40" s="1"/>
      <c r="Z40" s="1"/>
      <c r="AA40" s="1"/>
      <c r="AB40" s="1"/>
      <c r="AC40" s="1"/>
      <c r="AD40" s="3"/>
      <c r="AE40" s="3"/>
      <c r="AF40" s="5"/>
      <c r="AG40" s="5"/>
      <c r="AH40" s="5"/>
      <c r="AI40" s="5"/>
      <c r="AJ40" s="6"/>
      <c r="AK40" s="6"/>
      <c r="AL40" s="12"/>
      <c r="AM40" s="12"/>
      <c r="AN40" s="12"/>
      <c r="AO40" s="12"/>
      <c r="AP40" s="12"/>
    </row>
    <row r="41" spans="1:42" ht="15" x14ac:dyDescent="0.25">
      <c r="A41" s="82" t="str">
        <f>TDCTRIBE!I50</f>
        <v>Alaska</v>
      </c>
      <c r="B41" s="82" t="str">
        <f>TDCTRIBE!B50</f>
        <v>AK</v>
      </c>
      <c r="C41" s="82" t="str">
        <f>TDCTRIBE!F50</f>
        <v>Chickaloon</v>
      </c>
      <c r="D41" s="83">
        <f>TDCTRIBE!Y50</f>
        <v>465666.31849500001</v>
      </c>
      <c r="E41" s="83">
        <f>TDCTRIBE!Z50</f>
        <v>514428.62433899997</v>
      </c>
      <c r="F41" s="83">
        <f>TDCTRIBE!AA50</f>
        <v>581158.19019300013</v>
      </c>
      <c r="G41" s="83">
        <f>TDCTRIBE!AB50</f>
        <v>629926.37213100016</v>
      </c>
      <c r="H41" s="83">
        <f>TDCTRIBE!AC50</f>
        <v>679867.06659900001</v>
      </c>
      <c r="O41" s="9"/>
      <c r="P41" s="1"/>
      <c r="Q41" s="1"/>
      <c r="R41" s="1"/>
      <c r="S41" s="1"/>
      <c r="T41" s="1"/>
      <c r="U41" s="1"/>
      <c r="V41" s="9"/>
      <c r="W41" s="3"/>
      <c r="X41" s="4"/>
      <c r="Y41" s="1"/>
      <c r="Z41" s="1"/>
      <c r="AA41" s="1"/>
      <c r="AB41" s="1"/>
      <c r="AC41" s="1"/>
      <c r="AD41" s="3"/>
      <c r="AE41" s="3"/>
      <c r="AF41" s="5"/>
      <c r="AG41" s="5"/>
      <c r="AH41" s="5"/>
      <c r="AI41" s="5"/>
      <c r="AJ41" s="6"/>
      <c r="AK41" s="6"/>
      <c r="AL41" s="12"/>
      <c r="AM41" s="12"/>
      <c r="AN41" s="12"/>
      <c r="AO41" s="12"/>
      <c r="AP41" s="12"/>
    </row>
    <row r="42" spans="1:42" ht="15" x14ac:dyDescent="0.25">
      <c r="A42" s="82" t="str">
        <f>TDCTRIBE!I51</f>
        <v>Alaska</v>
      </c>
      <c r="B42" s="82" t="str">
        <f>TDCTRIBE!B51</f>
        <v>AK</v>
      </c>
      <c r="C42" s="82" t="str">
        <f>TDCTRIBE!F51</f>
        <v>Chignik</v>
      </c>
      <c r="D42" s="83">
        <f>TDCTRIBE!Y51</f>
        <v>537627.23286300001</v>
      </c>
      <c r="E42" s="83">
        <f>TDCTRIBE!Z51</f>
        <v>593892.8539060998</v>
      </c>
      <c r="F42" s="83">
        <f>TDCTRIBE!AA51</f>
        <v>670883.01826070005</v>
      </c>
      <c r="G42" s="83">
        <f>TDCTRIBE!AB51</f>
        <v>727154.03193440009</v>
      </c>
      <c r="H42" s="83">
        <f>TDCTRIBE!AC51</f>
        <v>784795.42359260004</v>
      </c>
      <c r="O42" s="9"/>
      <c r="P42" s="1"/>
      <c r="Q42" s="1"/>
      <c r="R42" s="1"/>
      <c r="S42" s="1"/>
      <c r="T42" s="1"/>
      <c r="U42" s="1"/>
      <c r="V42" s="9"/>
      <c r="W42" s="3"/>
      <c r="X42" s="4"/>
      <c r="Y42" s="1"/>
      <c r="Z42" s="1"/>
      <c r="AA42" s="1"/>
      <c r="AB42" s="1"/>
      <c r="AC42" s="1"/>
      <c r="AD42" s="3"/>
      <c r="AE42" s="3"/>
      <c r="AF42" s="5"/>
      <c r="AG42" s="5"/>
      <c r="AH42" s="5"/>
      <c r="AI42" s="5"/>
      <c r="AJ42" s="6"/>
      <c r="AK42" s="6"/>
      <c r="AL42" s="12"/>
      <c r="AM42" s="12"/>
      <c r="AN42" s="12"/>
      <c r="AO42" s="12"/>
      <c r="AP42" s="12"/>
    </row>
    <row r="43" spans="1:42" ht="15" x14ac:dyDescent="0.25">
      <c r="A43" s="82" t="str">
        <f>TDCTRIBE!I52</f>
        <v>Alaska</v>
      </c>
      <c r="B43" s="82" t="str">
        <f>TDCTRIBE!B52</f>
        <v>AK</v>
      </c>
      <c r="C43" s="82" t="str">
        <f>TDCTRIBE!F52</f>
        <v>Chignik Lagoon</v>
      </c>
      <c r="D43" s="83">
        <f>TDCTRIBE!Y52</f>
        <v>537627.23286300001</v>
      </c>
      <c r="E43" s="83">
        <f>TDCTRIBE!Z52</f>
        <v>593892.8539060998</v>
      </c>
      <c r="F43" s="83">
        <f>TDCTRIBE!AA52</f>
        <v>670883.01826070005</v>
      </c>
      <c r="G43" s="83">
        <f>TDCTRIBE!AB52</f>
        <v>727154.03193440009</v>
      </c>
      <c r="H43" s="83">
        <f>TDCTRIBE!AC52</f>
        <v>784795.42359260004</v>
      </c>
      <c r="O43" s="9"/>
      <c r="P43" s="1"/>
      <c r="Q43" s="1"/>
      <c r="R43" s="1"/>
      <c r="S43" s="1"/>
      <c r="T43" s="1"/>
      <c r="U43" s="1"/>
      <c r="V43" s="9"/>
      <c r="W43" s="3"/>
      <c r="X43" s="4"/>
      <c r="Y43" s="1"/>
      <c r="Z43" s="1"/>
      <c r="AA43" s="1"/>
      <c r="AB43" s="1"/>
      <c r="AC43" s="1"/>
      <c r="AD43" s="3"/>
      <c r="AE43" s="3"/>
      <c r="AF43" s="5"/>
      <c r="AG43" s="5"/>
      <c r="AH43" s="5"/>
      <c r="AI43" s="5"/>
      <c r="AJ43" s="6"/>
      <c r="AK43" s="6"/>
      <c r="AL43" s="12"/>
      <c r="AM43" s="12"/>
      <c r="AN43" s="12"/>
      <c r="AO43" s="12"/>
      <c r="AP43" s="12"/>
    </row>
    <row r="44" spans="1:42" ht="15" x14ac:dyDescent="0.25">
      <c r="A44" s="82" t="str">
        <f>TDCTRIBE!I53</f>
        <v>Alaska</v>
      </c>
      <c r="B44" s="82" t="str">
        <f>TDCTRIBE!B53</f>
        <v>AK</v>
      </c>
      <c r="C44" s="82" t="str">
        <f>TDCTRIBE!F53</f>
        <v>Chignik Lake</v>
      </c>
      <c r="D44" s="83">
        <f>TDCTRIBE!Y53</f>
        <v>537627.23286300001</v>
      </c>
      <c r="E44" s="83">
        <f>TDCTRIBE!Z53</f>
        <v>593892.8539060998</v>
      </c>
      <c r="F44" s="83">
        <f>TDCTRIBE!AA53</f>
        <v>670883.01826070005</v>
      </c>
      <c r="G44" s="83">
        <f>TDCTRIBE!AB53</f>
        <v>727154.03193440009</v>
      </c>
      <c r="H44" s="83">
        <f>TDCTRIBE!AC53</f>
        <v>784795.42359260004</v>
      </c>
      <c r="O44" s="9"/>
      <c r="P44" s="1"/>
      <c r="Q44" s="1"/>
      <c r="R44" s="1"/>
      <c r="S44" s="1"/>
      <c r="T44" s="1"/>
      <c r="U44" s="1"/>
      <c r="V44" s="9"/>
      <c r="W44" s="3"/>
      <c r="X44" s="4"/>
      <c r="Y44" s="1"/>
      <c r="Z44" s="1"/>
      <c r="AA44" s="1"/>
      <c r="AB44" s="1"/>
      <c r="AC44" s="1"/>
      <c r="AD44" s="3"/>
      <c r="AE44" s="3"/>
      <c r="AF44" s="5"/>
      <c r="AG44" s="5"/>
      <c r="AH44" s="5"/>
      <c r="AI44" s="5"/>
      <c r="AJ44" s="6"/>
      <c r="AK44" s="6"/>
      <c r="AL44" s="12"/>
      <c r="AM44" s="12"/>
      <c r="AN44" s="12"/>
      <c r="AO44" s="12"/>
      <c r="AP44" s="12"/>
    </row>
    <row r="45" spans="1:42" ht="15" x14ac:dyDescent="0.25">
      <c r="A45" s="82" t="str">
        <f>TDCTRIBE!I54</f>
        <v>Alaska</v>
      </c>
      <c r="B45" s="82" t="str">
        <f>TDCTRIBE!B54</f>
        <v>AK</v>
      </c>
      <c r="C45" s="82" t="str">
        <f>TDCTRIBE!F54</f>
        <v>Chilkat</v>
      </c>
      <c r="D45" s="83">
        <f>TDCTRIBE!Y54</f>
        <v>465666.31849500001</v>
      </c>
      <c r="E45" s="83">
        <f>TDCTRIBE!Z54</f>
        <v>514428.62433899997</v>
      </c>
      <c r="F45" s="83">
        <f>TDCTRIBE!AA54</f>
        <v>581158.19019300013</v>
      </c>
      <c r="G45" s="83">
        <f>TDCTRIBE!AB54</f>
        <v>629926.37213100016</v>
      </c>
      <c r="H45" s="83">
        <f>TDCTRIBE!AC54</f>
        <v>679867.06659900001</v>
      </c>
      <c r="O45" s="9"/>
      <c r="P45" s="1"/>
      <c r="Q45" s="1"/>
      <c r="R45" s="1"/>
      <c r="S45" s="1"/>
      <c r="T45" s="1"/>
      <c r="U45" s="1"/>
      <c r="V45" s="9"/>
      <c r="W45" s="3"/>
      <c r="X45" s="4"/>
      <c r="Y45" s="1"/>
      <c r="Z45" s="1"/>
      <c r="AA45" s="1"/>
      <c r="AB45" s="1"/>
      <c r="AC45" s="1"/>
      <c r="AD45" s="3"/>
      <c r="AE45" s="3"/>
      <c r="AF45" s="5"/>
      <c r="AG45" s="5"/>
      <c r="AH45" s="5"/>
      <c r="AI45" s="5"/>
      <c r="AJ45" s="6"/>
      <c r="AK45" s="6"/>
      <c r="AL45" s="12"/>
      <c r="AM45" s="12"/>
      <c r="AN45" s="12"/>
      <c r="AO45" s="12"/>
      <c r="AP45" s="12"/>
    </row>
    <row r="46" spans="1:42" ht="15" x14ac:dyDescent="0.25">
      <c r="A46" s="82" t="str">
        <f>TDCTRIBE!I55</f>
        <v>Alaska</v>
      </c>
      <c r="B46" s="82" t="str">
        <f>TDCTRIBE!B55</f>
        <v>AK</v>
      </c>
      <c r="C46" s="82" t="str">
        <f>TDCTRIBE!F55</f>
        <v>Chilkoot</v>
      </c>
      <c r="D46" s="83">
        <f>TDCTRIBE!Y55</f>
        <v>465666.31849500001</v>
      </c>
      <c r="E46" s="83">
        <f>TDCTRIBE!Z55</f>
        <v>514428.62433899997</v>
      </c>
      <c r="F46" s="83">
        <f>TDCTRIBE!AA55</f>
        <v>581158.19019300013</v>
      </c>
      <c r="G46" s="83">
        <f>TDCTRIBE!AB55</f>
        <v>629926.37213100016</v>
      </c>
      <c r="H46" s="83">
        <f>TDCTRIBE!AC55</f>
        <v>679867.06659900001</v>
      </c>
      <c r="O46" s="9"/>
      <c r="P46" s="1"/>
      <c r="Q46" s="1"/>
      <c r="R46" s="1"/>
      <c r="S46" s="1"/>
      <c r="T46" s="1"/>
      <c r="U46" s="1"/>
      <c r="V46" s="9"/>
      <c r="W46" s="3"/>
      <c r="X46" s="4"/>
      <c r="Y46" s="1"/>
      <c r="Z46" s="1"/>
      <c r="AA46" s="1"/>
      <c r="AB46" s="1"/>
      <c r="AC46" s="1"/>
      <c r="AD46" s="3"/>
      <c r="AE46" s="3"/>
      <c r="AF46" s="5"/>
      <c r="AG46" s="5"/>
      <c r="AH46" s="5"/>
      <c r="AI46" s="5"/>
      <c r="AJ46" s="6"/>
      <c r="AK46" s="6"/>
      <c r="AL46" s="12"/>
      <c r="AM46" s="12"/>
      <c r="AN46" s="12"/>
      <c r="AO46" s="12"/>
      <c r="AP46" s="12"/>
    </row>
    <row r="47" spans="1:42" ht="15" x14ac:dyDescent="0.25">
      <c r="A47" s="82" t="str">
        <f>TDCTRIBE!I56</f>
        <v>Alaska</v>
      </c>
      <c r="B47" s="82" t="str">
        <f>TDCTRIBE!B56</f>
        <v>AK</v>
      </c>
      <c r="C47" s="82" t="str">
        <f>TDCTRIBE!F56</f>
        <v>Chistochina</v>
      </c>
      <c r="D47" s="83">
        <f>TDCTRIBE!Y56</f>
        <v>537627.23286300001</v>
      </c>
      <c r="E47" s="83">
        <f>TDCTRIBE!Z56</f>
        <v>593892.8539060998</v>
      </c>
      <c r="F47" s="83">
        <f>TDCTRIBE!AA56</f>
        <v>670883.01826070005</v>
      </c>
      <c r="G47" s="83">
        <f>TDCTRIBE!AB56</f>
        <v>727154.03193440009</v>
      </c>
      <c r="H47" s="83">
        <f>TDCTRIBE!AC56</f>
        <v>784795.42359260004</v>
      </c>
      <c r="O47" s="9"/>
      <c r="P47" s="1"/>
      <c r="Q47" s="1"/>
      <c r="R47" s="1"/>
      <c r="S47" s="1"/>
      <c r="T47" s="1"/>
      <c r="U47" s="1"/>
      <c r="V47" s="9"/>
      <c r="W47" s="3"/>
      <c r="X47" s="4"/>
      <c r="Y47" s="1"/>
      <c r="Z47" s="1"/>
      <c r="AA47" s="1"/>
      <c r="AB47" s="1"/>
      <c r="AC47" s="1"/>
      <c r="AD47" s="3"/>
      <c r="AE47" s="3"/>
      <c r="AF47" s="5"/>
      <c r="AG47" s="5"/>
      <c r="AH47" s="5"/>
      <c r="AI47" s="5"/>
      <c r="AJ47" s="6"/>
      <c r="AK47" s="6"/>
      <c r="AL47" s="12"/>
      <c r="AM47" s="12"/>
      <c r="AN47" s="12"/>
      <c r="AO47" s="12"/>
      <c r="AP47" s="12"/>
    </row>
    <row r="48" spans="1:42" ht="15" x14ac:dyDescent="0.25">
      <c r="A48" s="82" t="str">
        <f>TDCTRIBE!I57</f>
        <v>Alaska</v>
      </c>
      <c r="B48" s="82" t="str">
        <f>TDCTRIBE!B57</f>
        <v>AK</v>
      </c>
      <c r="C48" s="82" t="str">
        <f>TDCTRIBE!F57</f>
        <v>Chitina</v>
      </c>
      <c r="D48" s="83">
        <f>TDCTRIBE!Y57</f>
        <v>537627.23286300001</v>
      </c>
      <c r="E48" s="83">
        <f>TDCTRIBE!Z57</f>
        <v>593892.8539060998</v>
      </c>
      <c r="F48" s="83">
        <f>TDCTRIBE!AA57</f>
        <v>670883.01826070005</v>
      </c>
      <c r="G48" s="83">
        <f>TDCTRIBE!AB57</f>
        <v>727154.03193440009</v>
      </c>
      <c r="H48" s="83">
        <f>TDCTRIBE!AC57</f>
        <v>784795.42359260004</v>
      </c>
      <c r="O48" s="9"/>
      <c r="P48" s="1"/>
      <c r="Q48" s="1"/>
      <c r="R48" s="1"/>
      <c r="S48" s="1"/>
      <c r="T48" s="1"/>
      <c r="U48" s="1"/>
      <c r="V48" s="9"/>
      <c r="W48" s="3"/>
      <c r="X48" s="4"/>
      <c r="Y48" s="1"/>
      <c r="Z48" s="1"/>
      <c r="AA48" s="1"/>
      <c r="AB48" s="1"/>
      <c r="AC48" s="1"/>
      <c r="AD48" s="3"/>
      <c r="AE48" s="3"/>
      <c r="AF48" s="5"/>
      <c r="AG48" s="5"/>
      <c r="AH48" s="5"/>
      <c r="AI48" s="5"/>
      <c r="AJ48" s="6"/>
      <c r="AK48" s="6"/>
      <c r="AL48" s="12"/>
      <c r="AM48" s="12"/>
      <c r="AN48" s="12"/>
      <c r="AO48" s="12"/>
      <c r="AP48" s="12"/>
    </row>
    <row r="49" spans="1:42" ht="15" x14ac:dyDescent="0.25">
      <c r="A49" s="82" t="str">
        <f>TDCTRIBE!I58</f>
        <v>Alaska</v>
      </c>
      <c r="B49" s="82" t="str">
        <f>TDCTRIBE!B58</f>
        <v>AK</v>
      </c>
      <c r="C49" s="82" t="str">
        <f>TDCTRIBE!F58</f>
        <v>Chuathbaluk</v>
      </c>
      <c r="D49" s="83">
        <f>TDCTRIBE!Y58</f>
        <v>537627.23286300001</v>
      </c>
      <c r="E49" s="83">
        <f>TDCTRIBE!Z58</f>
        <v>593892.8539060998</v>
      </c>
      <c r="F49" s="83">
        <f>TDCTRIBE!AA58</f>
        <v>670883.01826070005</v>
      </c>
      <c r="G49" s="83">
        <f>TDCTRIBE!AB58</f>
        <v>727154.03193440009</v>
      </c>
      <c r="H49" s="83">
        <f>TDCTRIBE!AC58</f>
        <v>784795.42359260004</v>
      </c>
      <c r="O49" s="9"/>
      <c r="P49" s="1"/>
      <c r="Q49" s="1"/>
      <c r="R49" s="1"/>
      <c r="S49" s="1"/>
      <c r="T49" s="1"/>
      <c r="U49" s="1"/>
      <c r="V49" s="9"/>
      <c r="W49" s="3"/>
      <c r="X49" s="4"/>
      <c r="Y49" s="1"/>
      <c r="Z49" s="1"/>
      <c r="AA49" s="1"/>
      <c r="AB49" s="1"/>
      <c r="AC49" s="1"/>
      <c r="AD49" s="3"/>
      <c r="AE49" s="3"/>
      <c r="AF49" s="5"/>
      <c r="AG49" s="5"/>
      <c r="AH49" s="5"/>
      <c r="AI49" s="5"/>
      <c r="AJ49" s="6"/>
      <c r="AK49" s="6"/>
      <c r="AL49" s="12"/>
      <c r="AM49" s="12"/>
      <c r="AN49" s="12"/>
      <c r="AO49" s="12"/>
      <c r="AP49" s="12"/>
    </row>
    <row r="50" spans="1:42" ht="15" x14ac:dyDescent="0.25">
      <c r="A50" s="82" t="str">
        <f>TDCTRIBE!I59</f>
        <v>Alaska</v>
      </c>
      <c r="B50" s="82" t="str">
        <f>TDCTRIBE!B59</f>
        <v>AK</v>
      </c>
      <c r="C50" s="82" t="str">
        <f>TDCTRIBE!F59</f>
        <v>Chugach Native Regional Corporation</v>
      </c>
      <c r="D50" s="83">
        <f>TDCTRIBE!Y59</f>
        <v>465666.31849500001</v>
      </c>
      <c r="E50" s="83">
        <f>TDCTRIBE!Z59</f>
        <v>514428.62433899997</v>
      </c>
      <c r="F50" s="83">
        <f>TDCTRIBE!AA59</f>
        <v>581158.19019300013</v>
      </c>
      <c r="G50" s="83">
        <f>TDCTRIBE!AB59</f>
        <v>629926.37213100016</v>
      </c>
      <c r="H50" s="83">
        <f>TDCTRIBE!AC59</f>
        <v>679867.06659900001</v>
      </c>
      <c r="O50" s="9"/>
      <c r="P50" s="1"/>
      <c r="Q50" s="1"/>
      <c r="R50" s="1"/>
      <c r="S50" s="1"/>
      <c r="T50" s="1"/>
      <c r="U50" s="1"/>
      <c r="V50" s="9"/>
      <c r="W50" s="3"/>
      <c r="X50" s="4"/>
      <c r="Y50" s="1"/>
      <c r="Z50" s="1"/>
      <c r="AA50" s="1"/>
      <c r="AB50" s="1"/>
      <c r="AC50" s="1"/>
      <c r="AD50" s="3"/>
      <c r="AE50" s="3"/>
      <c r="AF50" s="5"/>
      <c r="AG50" s="5"/>
      <c r="AH50" s="5"/>
      <c r="AI50" s="5"/>
      <c r="AJ50" s="6"/>
      <c r="AK50" s="6"/>
      <c r="AL50" s="12"/>
      <c r="AM50" s="12"/>
      <c r="AN50" s="12"/>
      <c r="AO50" s="12"/>
      <c r="AP50" s="12"/>
    </row>
    <row r="51" spans="1:42" ht="15" x14ac:dyDescent="0.25">
      <c r="A51" s="82" t="str">
        <f>TDCTRIBE!I60</f>
        <v>Alaska</v>
      </c>
      <c r="B51" s="82" t="str">
        <f>TDCTRIBE!B60</f>
        <v>AK</v>
      </c>
      <c r="C51" s="82" t="str">
        <f>TDCTRIBE!F60</f>
        <v>Chuloonawick</v>
      </c>
      <c r="D51" s="83">
        <f>TDCTRIBE!Y60</f>
        <v>537627.23286300001</v>
      </c>
      <c r="E51" s="83">
        <f>TDCTRIBE!Z60</f>
        <v>593892.8539060998</v>
      </c>
      <c r="F51" s="83">
        <f>TDCTRIBE!AA60</f>
        <v>670883.01826070005</v>
      </c>
      <c r="G51" s="83">
        <f>TDCTRIBE!AB60</f>
        <v>727154.03193440009</v>
      </c>
      <c r="H51" s="83">
        <f>TDCTRIBE!AC60</f>
        <v>784795.42359260004</v>
      </c>
      <c r="O51" s="9"/>
      <c r="P51" s="1"/>
      <c r="Q51" s="1"/>
      <c r="R51" s="1"/>
      <c r="S51" s="1"/>
      <c r="T51" s="1"/>
      <c r="U51" s="1"/>
      <c r="V51" s="9"/>
      <c r="W51" s="3"/>
      <c r="X51" s="4"/>
      <c r="Y51" s="1"/>
      <c r="Z51" s="1"/>
      <c r="AA51" s="1"/>
      <c r="AB51" s="1"/>
      <c r="AC51" s="1"/>
      <c r="AD51" s="3"/>
      <c r="AE51" s="3"/>
      <c r="AF51" s="5"/>
      <c r="AG51" s="5"/>
      <c r="AH51" s="5"/>
      <c r="AI51" s="5"/>
      <c r="AJ51" s="6"/>
      <c r="AK51" s="6"/>
      <c r="AL51" s="12"/>
      <c r="AM51" s="12"/>
      <c r="AN51" s="12"/>
      <c r="AO51" s="12"/>
      <c r="AP51" s="12"/>
    </row>
    <row r="52" spans="1:42" ht="15" x14ac:dyDescent="0.25">
      <c r="A52" s="82" t="str">
        <f>TDCTRIBE!I61</f>
        <v>Alaska</v>
      </c>
      <c r="B52" s="82" t="str">
        <f>TDCTRIBE!B61</f>
        <v>AK</v>
      </c>
      <c r="C52" s="82" t="str">
        <f>TDCTRIBE!F61</f>
        <v>Circle</v>
      </c>
      <c r="D52" s="83">
        <f>TDCTRIBE!Y61</f>
        <v>537627.23286300001</v>
      </c>
      <c r="E52" s="83">
        <f>TDCTRIBE!Z61</f>
        <v>593892.8539060998</v>
      </c>
      <c r="F52" s="83">
        <f>TDCTRIBE!AA61</f>
        <v>670883.01826070005</v>
      </c>
      <c r="G52" s="83">
        <f>TDCTRIBE!AB61</f>
        <v>727154.03193440009</v>
      </c>
      <c r="H52" s="83">
        <f>TDCTRIBE!AC61</f>
        <v>784795.42359260004</v>
      </c>
      <c r="O52" s="9"/>
      <c r="P52" s="1"/>
      <c r="Q52" s="1"/>
      <c r="R52" s="1"/>
      <c r="S52" s="1"/>
      <c r="T52" s="1"/>
      <c r="U52" s="1"/>
      <c r="V52" s="9"/>
      <c r="W52" s="3"/>
      <c r="X52" s="4"/>
      <c r="Y52" s="1"/>
      <c r="Z52" s="1"/>
      <c r="AA52" s="1"/>
      <c r="AB52" s="1"/>
      <c r="AC52" s="1"/>
      <c r="AD52" s="3"/>
      <c r="AE52" s="3"/>
      <c r="AF52" s="5"/>
      <c r="AG52" s="5"/>
      <c r="AH52" s="5"/>
      <c r="AI52" s="5"/>
      <c r="AJ52" s="6"/>
      <c r="AK52" s="6"/>
      <c r="AL52" s="12"/>
      <c r="AM52" s="12"/>
      <c r="AN52" s="12"/>
      <c r="AO52" s="12"/>
      <c r="AP52" s="12"/>
    </row>
    <row r="53" spans="1:42" ht="15" x14ac:dyDescent="0.25">
      <c r="A53" s="82" t="str">
        <f>TDCTRIBE!I62</f>
        <v>Alaska</v>
      </c>
      <c r="B53" s="82" t="str">
        <f>TDCTRIBE!B62</f>
        <v>AK</v>
      </c>
      <c r="C53" s="82" t="str">
        <f>TDCTRIBE!F62</f>
        <v>Clark's Point</v>
      </c>
      <c r="D53" s="83">
        <f>TDCTRIBE!Y62</f>
        <v>537627.23286300001</v>
      </c>
      <c r="E53" s="83">
        <f>TDCTRIBE!Z62</f>
        <v>593892.8539060998</v>
      </c>
      <c r="F53" s="83">
        <f>TDCTRIBE!AA62</f>
        <v>670883.01826070005</v>
      </c>
      <c r="G53" s="83">
        <f>TDCTRIBE!AB62</f>
        <v>727154.03193440009</v>
      </c>
      <c r="H53" s="83">
        <f>TDCTRIBE!AC62</f>
        <v>784795.42359260004</v>
      </c>
      <c r="O53" s="9"/>
      <c r="P53" s="1"/>
      <c r="Q53" s="1"/>
      <c r="R53" s="1"/>
      <c r="S53" s="1"/>
      <c r="T53" s="1"/>
      <c r="U53" s="1"/>
      <c r="V53" s="9"/>
      <c r="W53" s="3"/>
      <c r="X53" s="4"/>
      <c r="Y53" s="1"/>
      <c r="Z53" s="1"/>
      <c r="AA53" s="1"/>
      <c r="AB53" s="1"/>
      <c r="AC53" s="1"/>
      <c r="AD53" s="3"/>
      <c r="AE53" s="3"/>
      <c r="AF53" s="5"/>
      <c r="AG53" s="5"/>
      <c r="AH53" s="5"/>
      <c r="AI53" s="5"/>
      <c r="AJ53" s="6"/>
      <c r="AK53" s="6"/>
      <c r="AL53" s="12"/>
      <c r="AM53" s="12"/>
      <c r="AN53" s="12"/>
      <c r="AO53" s="12"/>
      <c r="AP53" s="12"/>
    </row>
    <row r="54" spans="1:42" ht="15" x14ac:dyDescent="0.25">
      <c r="A54" s="82" t="str">
        <f>TDCTRIBE!I63</f>
        <v>Alaska</v>
      </c>
      <c r="B54" s="82" t="str">
        <f>TDCTRIBE!B63</f>
        <v>AK</v>
      </c>
      <c r="C54" s="82" t="str">
        <f>TDCTRIBE!F63</f>
        <v>Cook Inlet Native Regional Corporation</v>
      </c>
      <c r="D54" s="83">
        <f>TDCTRIBE!Y63</f>
        <v>465666.31849500001</v>
      </c>
      <c r="E54" s="83">
        <f>TDCTRIBE!Z63</f>
        <v>514428.62433899997</v>
      </c>
      <c r="F54" s="83">
        <f>TDCTRIBE!AA63</f>
        <v>581158.19019300013</v>
      </c>
      <c r="G54" s="83">
        <f>TDCTRIBE!AB63</f>
        <v>629926.37213100016</v>
      </c>
      <c r="H54" s="83">
        <f>TDCTRIBE!AC63</f>
        <v>679867.06659900001</v>
      </c>
      <c r="O54" s="9"/>
      <c r="P54" s="1"/>
      <c r="Q54" s="1"/>
      <c r="R54" s="1"/>
      <c r="S54" s="1"/>
      <c r="T54" s="1"/>
      <c r="U54" s="1"/>
      <c r="V54" s="9"/>
      <c r="W54" s="3"/>
      <c r="X54" s="4"/>
      <c r="Y54" s="1"/>
      <c r="Z54" s="1"/>
      <c r="AA54" s="1"/>
      <c r="AB54" s="1"/>
      <c r="AC54" s="1"/>
      <c r="AD54" s="3"/>
      <c r="AE54" s="3"/>
      <c r="AF54" s="5"/>
      <c r="AG54" s="5"/>
      <c r="AH54" s="5"/>
      <c r="AI54" s="5"/>
      <c r="AJ54" s="6"/>
      <c r="AK54" s="6"/>
      <c r="AL54" s="12"/>
      <c r="AM54" s="12"/>
      <c r="AN54" s="12"/>
      <c r="AO54" s="12"/>
      <c r="AP54" s="12"/>
    </row>
    <row r="55" spans="1:42" ht="15" x14ac:dyDescent="0.25">
      <c r="A55" s="82" t="str">
        <f>TDCTRIBE!I64</f>
        <v>Alaska</v>
      </c>
      <c r="B55" s="82" t="str">
        <f>TDCTRIBE!B64</f>
        <v>AK</v>
      </c>
      <c r="C55" s="82" t="str">
        <f>TDCTRIBE!F64</f>
        <v>Council</v>
      </c>
      <c r="D55" s="83">
        <f>TDCTRIBE!Y64</f>
        <v>537627.23286300001</v>
      </c>
      <c r="E55" s="83">
        <f>TDCTRIBE!Z64</f>
        <v>593892.8539060998</v>
      </c>
      <c r="F55" s="83">
        <f>TDCTRIBE!AA64</f>
        <v>670883.01826070005</v>
      </c>
      <c r="G55" s="83">
        <f>TDCTRIBE!AB64</f>
        <v>727154.03193440009</v>
      </c>
      <c r="H55" s="83">
        <f>TDCTRIBE!AC64</f>
        <v>784795.42359260004</v>
      </c>
      <c r="O55" s="9"/>
      <c r="P55" s="1"/>
      <c r="Q55" s="1"/>
      <c r="R55" s="1"/>
      <c r="S55" s="1"/>
      <c r="T55" s="1"/>
      <c r="U55" s="1"/>
      <c r="V55" s="9"/>
      <c r="W55" s="3"/>
      <c r="X55" s="4"/>
      <c r="Y55" s="1"/>
      <c r="Z55" s="1"/>
      <c r="AA55" s="1"/>
      <c r="AB55" s="1"/>
      <c r="AC55" s="1"/>
      <c r="AD55" s="3"/>
      <c r="AE55" s="3"/>
      <c r="AF55" s="5"/>
      <c r="AG55" s="5"/>
      <c r="AH55" s="5"/>
      <c r="AI55" s="5"/>
      <c r="AJ55" s="6"/>
      <c r="AK55" s="6"/>
      <c r="AL55" s="12"/>
      <c r="AM55" s="12"/>
      <c r="AN55" s="12"/>
      <c r="AO55" s="12"/>
      <c r="AP55" s="12"/>
    </row>
    <row r="56" spans="1:42" ht="15" x14ac:dyDescent="0.25">
      <c r="A56" s="82" t="str">
        <f>TDCTRIBE!I65</f>
        <v>Alaska</v>
      </c>
      <c r="B56" s="82" t="str">
        <f>TDCTRIBE!B65</f>
        <v>AK</v>
      </c>
      <c r="C56" s="82" t="str">
        <f>TDCTRIBE!F65</f>
        <v>Craig</v>
      </c>
      <c r="D56" s="83">
        <f>TDCTRIBE!Y65</f>
        <v>465666.31849500001</v>
      </c>
      <c r="E56" s="83">
        <f>TDCTRIBE!Z65</f>
        <v>514428.62433899997</v>
      </c>
      <c r="F56" s="83">
        <f>TDCTRIBE!AA65</f>
        <v>581158.19019300013</v>
      </c>
      <c r="G56" s="83">
        <f>TDCTRIBE!AB65</f>
        <v>629926.37213100016</v>
      </c>
      <c r="H56" s="83">
        <f>TDCTRIBE!AC65</f>
        <v>679867.06659900001</v>
      </c>
      <c r="O56" s="9"/>
      <c r="P56" s="1"/>
      <c r="Q56" s="1"/>
      <c r="R56" s="1"/>
      <c r="S56" s="1"/>
      <c r="T56" s="1"/>
      <c r="U56" s="1"/>
      <c r="V56" s="9"/>
      <c r="W56" s="3"/>
      <c r="X56" s="4"/>
      <c r="Y56" s="1"/>
      <c r="Z56" s="1"/>
      <c r="AA56" s="1"/>
      <c r="AB56" s="1"/>
      <c r="AC56" s="1"/>
      <c r="AD56" s="3"/>
      <c r="AE56" s="3"/>
      <c r="AF56" s="5"/>
      <c r="AG56" s="5"/>
      <c r="AH56" s="5"/>
      <c r="AI56" s="5"/>
      <c r="AJ56" s="6"/>
      <c r="AK56" s="6"/>
      <c r="AL56" s="12"/>
      <c r="AM56" s="12"/>
      <c r="AN56" s="12"/>
      <c r="AO56" s="12"/>
      <c r="AP56" s="12"/>
    </row>
    <row r="57" spans="1:42" ht="15" x14ac:dyDescent="0.25">
      <c r="A57" s="82" t="str">
        <f>TDCTRIBE!I66</f>
        <v>Alaska</v>
      </c>
      <c r="B57" s="82" t="str">
        <f>TDCTRIBE!B66</f>
        <v>AK</v>
      </c>
      <c r="C57" s="82" t="str">
        <f>TDCTRIBE!F66</f>
        <v>Crooked Creek</v>
      </c>
      <c r="D57" s="83">
        <f>TDCTRIBE!Y66</f>
        <v>537627.23286300001</v>
      </c>
      <c r="E57" s="83">
        <f>TDCTRIBE!Z66</f>
        <v>593892.8539060998</v>
      </c>
      <c r="F57" s="83">
        <f>TDCTRIBE!AA66</f>
        <v>670883.01826070005</v>
      </c>
      <c r="G57" s="83">
        <f>TDCTRIBE!AB66</f>
        <v>727154.03193440009</v>
      </c>
      <c r="H57" s="83">
        <f>TDCTRIBE!AC66</f>
        <v>784795.42359260004</v>
      </c>
      <c r="O57" s="9"/>
      <c r="P57" s="1"/>
      <c r="Q57" s="1"/>
      <c r="R57" s="1"/>
      <c r="S57" s="1"/>
      <c r="T57" s="1"/>
      <c r="U57" s="1"/>
      <c r="V57" s="9"/>
      <c r="W57" s="3"/>
      <c r="X57" s="4"/>
      <c r="Y57" s="1"/>
      <c r="Z57" s="1"/>
      <c r="AA57" s="1"/>
      <c r="AB57" s="1"/>
      <c r="AC57" s="1"/>
      <c r="AD57" s="3"/>
      <c r="AE57" s="3"/>
      <c r="AF57" s="5"/>
      <c r="AG57" s="5"/>
      <c r="AH57" s="5"/>
      <c r="AI57" s="5"/>
      <c r="AJ57" s="6"/>
      <c r="AK57" s="6"/>
      <c r="AL57" s="12"/>
      <c r="AM57" s="12"/>
      <c r="AN57" s="12"/>
      <c r="AO57" s="12"/>
      <c r="AP57" s="12"/>
    </row>
    <row r="58" spans="1:42" ht="15" x14ac:dyDescent="0.25">
      <c r="A58" s="82" t="str">
        <f>TDCTRIBE!I67</f>
        <v>Alaska</v>
      </c>
      <c r="B58" s="82" t="str">
        <f>TDCTRIBE!B67</f>
        <v>AK</v>
      </c>
      <c r="C58" s="82" t="str">
        <f>TDCTRIBE!F67</f>
        <v>Curyung (aka Dillingham)</v>
      </c>
      <c r="D58" s="83">
        <f>TDCTRIBE!Y67</f>
        <v>537627.23286300001</v>
      </c>
      <c r="E58" s="83">
        <f>TDCTRIBE!Z67</f>
        <v>593892.8539060998</v>
      </c>
      <c r="F58" s="83">
        <f>TDCTRIBE!AA67</f>
        <v>670883.01826070005</v>
      </c>
      <c r="G58" s="83">
        <f>TDCTRIBE!AB67</f>
        <v>727154.03193440009</v>
      </c>
      <c r="H58" s="83">
        <f>TDCTRIBE!AC67</f>
        <v>784795.42359260004</v>
      </c>
      <c r="O58" s="9"/>
      <c r="P58" s="1"/>
      <c r="Q58" s="1"/>
      <c r="R58" s="1"/>
      <c r="S58" s="1"/>
      <c r="T58" s="1"/>
      <c r="U58" s="1"/>
      <c r="V58" s="9"/>
      <c r="W58" s="3"/>
      <c r="X58" s="4"/>
      <c r="Y58" s="1"/>
      <c r="Z58" s="1"/>
      <c r="AA58" s="1"/>
      <c r="AB58" s="1"/>
      <c r="AC58" s="1"/>
      <c r="AD58" s="3"/>
      <c r="AE58" s="3"/>
      <c r="AF58" s="5"/>
      <c r="AG58" s="5"/>
      <c r="AH58" s="5"/>
      <c r="AI58" s="5"/>
      <c r="AJ58" s="6"/>
      <c r="AK58" s="6"/>
      <c r="AL58" s="12"/>
      <c r="AM58" s="12"/>
      <c r="AN58" s="12"/>
      <c r="AO58" s="12"/>
      <c r="AP58" s="12"/>
    </row>
    <row r="59" spans="1:42" ht="15" x14ac:dyDescent="0.25">
      <c r="A59" s="82" t="str">
        <f>TDCTRIBE!I68</f>
        <v>Alaska</v>
      </c>
      <c r="B59" s="82" t="str">
        <f>TDCTRIBE!B68</f>
        <v>AK</v>
      </c>
      <c r="C59" s="82" t="str">
        <f>TDCTRIBE!F68</f>
        <v>Deering</v>
      </c>
      <c r="D59" s="83">
        <f>TDCTRIBE!Y68</f>
        <v>537627.23286300001</v>
      </c>
      <c r="E59" s="83">
        <f>TDCTRIBE!Z68</f>
        <v>593892.8539060998</v>
      </c>
      <c r="F59" s="83">
        <f>TDCTRIBE!AA68</f>
        <v>670883.01826070005</v>
      </c>
      <c r="G59" s="83">
        <f>TDCTRIBE!AB68</f>
        <v>727154.03193440009</v>
      </c>
      <c r="H59" s="83">
        <f>TDCTRIBE!AC68</f>
        <v>784795.42359260004</v>
      </c>
      <c r="O59" s="9"/>
      <c r="P59" s="1"/>
      <c r="Q59" s="1"/>
      <c r="R59" s="1"/>
      <c r="S59" s="1"/>
      <c r="T59" s="1"/>
      <c r="U59" s="1"/>
      <c r="V59" s="9"/>
      <c r="W59" s="3"/>
      <c r="X59" s="4"/>
      <c r="Y59" s="1"/>
      <c r="Z59" s="1"/>
      <c r="AA59" s="1"/>
      <c r="AB59" s="1"/>
      <c r="AC59" s="1"/>
      <c r="AD59" s="3"/>
      <c r="AE59" s="3"/>
      <c r="AF59" s="5"/>
      <c r="AG59" s="5"/>
      <c r="AH59" s="5"/>
      <c r="AI59" s="5"/>
      <c r="AJ59" s="6"/>
      <c r="AK59" s="6"/>
      <c r="AL59" s="12"/>
      <c r="AM59" s="12"/>
      <c r="AN59" s="12"/>
      <c r="AO59" s="12"/>
      <c r="AP59" s="12"/>
    </row>
    <row r="60" spans="1:42" ht="15" x14ac:dyDescent="0.25">
      <c r="A60" s="82" t="str">
        <f>TDCTRIBE!I69</f>
        <v>Alaska</v>
      </c>
      <c r="B60" s="82" t="str">
        <f>TDCTRIBE!B69</f>
        <v>AK</v>
      </c>
      <c r="C60" s="82" t="str">
        <f>TDCTRIBE!F69</f>
        <v>Dot Lake</v>
      </c>
      <c r="D60" s="83">
        <f>TDCTRIBE!Y69</f>
        <v>537627.23286300001</v>
      </c>
      <c r="E60" s="83">
        <f>TDCTRIBE!Z69</f>
        <v>593892.8539060998</v>
      </c>
      <c r="F60" s="83">
        <f>TDCTRIBE!AA69</f>
        <v>670883.01826070005</v>
      </c>
      <c r="G60" s="83">
        <f>TDCTRIBE!AB69</f>
        <v>727154.03193440009</v>
      </c>
      <c r="H60" s="83">
        <f>TDCTRIBE!AC69</f>
        <v>784795.42359260004</v>
      </c>
      <c r="O60" s="9"/>
      <c r="P60" s="1"/>
      <c r="Q60" s="1"/>
      <c r="R60" s="1"/>
      <c r="S60" s="1"/>
      <c r="T60" s="1"/>
      <c r="U60" s="1"/>
      <c r="V60" s="9"/>
      <c r="W60" s="3"/>
      <c r="X60" s="4"/>
      <c r="Y60" s="1"/>
      <c r="Z60" s="1"/>
      <c r="AA60" s="1"/>
      <c r="AB60" s="1"/>
      <c r="AC60" s="1"/>
      <c r="AD60" s="3"/>
      <c r="AE60" s="3"/>
      <c r="AF60" s="5"/>
      <c r="AG60" s="5"/>
      <c r="AH60" s="5"/>
      <c r="AI60" s="5"/>
      <c r="AJ60" s="6"/>
      <c r="AK60" s="6"/>
      <c r="AL60" s="12"/>
      <c r="AM60" s="12"/>
      <c r="AN60" s="12"/>
      <c r="AO60" s="12"/>
      <c r="AP60" s="12"/>
    </row>
    <row r="61" spans="1:42" ht="15" x14ac:dyDescent="0.25">
      <c r="A61" s="82" t="str">
        <f>TDCTRIBE!I70</f>
        <v>Alaska</v>
      </c>
      <c r="B61" s="82" t="str">
        <f>TDCTRIBE!B70</f>
        <v>AK</v>
      </c>
      <c r="C61" s="82" t="str">
        <f>TDCTRIBE!F70</f>
        <v>Douglas</v>
      </c>
      <c r="D61" s="83">
        <f>TDCTRIBE!Y70</f>
        <v>465666.31849500001</v>
      </c>
      <c r="E61" s="83">
        <f>TDCTRIBE!Z70</f>
        <v>514428.62433899997</v>
      </c>
      <c r="F61" s="83">
        <f>TDCTRIBE!AA70</f>
        <v>581158.19019300013</v>
      </c>
      <c r="G61" s="83">
        <f>TDCTRIBE!AB70</f>
        <v>629926.37213100016</v>
      </c>
      <c r="H61" s="83">
        <f>TDCTRIBE!AC70</f>
        <v>679867.06659900001</v>
      </c>
      <c r="O61" s="9"/>
      <c r="P61" s="1"/>
      <c r="Q61" s="1"/>
      <c r="R61" s="1"/>
      <c r="S61" s="1"/>
      <c r="T61" s="1"/>
      <c r="U61" s="1"/>
      <c r="V61" s="9"/>
      <c r="W61" s="3"/>
      <c r="X61" s="4"/>
      <c r="Y61" s="1"/>
      <c r="Z61" s="1"/>
      <c r="AA61" s="1"/>
      <c r="AB61" s="1"/>
      <c r="AC61" s="1"/>
      <c r="AD61" s="3"/>
      <c r="AE61" s="3"/>
      <c r="AF61" s="5"/>
      <c r="AG61" s="5"/>
      <c r="AH61" s="5"/>
      <c r="AI61" s="5"/>
      <c r="AJ61" s="6"/>
      <c r="AK61" s="6"/>
      <c r="AL61" s="12"/>
      <c r="AM61" s="12"/>
      <c r="AN61" s="12"/>
      <c r="AO61" s="12"/>
      <c r="AP61" s="12"/>
    </row>
    <row r="62" spans="1:42" ht="15" x14ac:dyDescent="0.25">
      <c r="A62" s="82" t="str">
        <f>TDCTRIBE!I71</f>
        <v>Alaska</v>
      </c>
      <c r="B62" s="82" t="str">
        <f>TDCTRIBE!B71</f>
        <v>AK</v>
      </c>
      <c r="C62" s="82" t="str">
        <f>TDCTRIBE!F71</f>
        <v>Doyon Native Regional Corporation</v>
      </c>
      <c r="D62" s="83">
        <f>TDCTRIBE!Y71</f>
        <v>537627.23286300001</v>
      </c>
      <c r="E62" s="83">
        <f>TDCTRIBE!Z71</f>
        <v>593892.8539060998</v>
      </c>
      <c r="F62" s="83">
        <f>TDCTRIBE!AA71</f>
        <v>670883.01826070005</v>
      </c>
      <c r="G62" s="83">
        <f>TDCTRIBE!AB71</f>
        <v>727154.03193440009</v>
      </c>
      <c r="H62" s="83">
        <f>TDCTRIBE!AC71</f>
        <v>784795.42359260004</v>
      </c>
      <c r="O62" s="9"/>
      <c r="P62" s="1"/>
      <c r="Q62" s="1"/>
      <c r="R62" s="1"/>
      <c r="S62" s="1"/>
      <c r="T62" s="1"/>
      <c r="U62" s="1"/>
      <c r="V62" s="9"/>
      <c r="W62" s="3"/>
      <c r="X62" s="4"/>
      <c r="Y62" s="1"/>
      <c r="Z62" s="1"/>
      <c r="AA62" s="1"/>
      <c r="AB62" s="1"/>
      <c r="AC62" s="1"/>
      <c r="AD62" s="3"/>
      <c r="AE62" s="3"/>
      <c r="AF62" s="5"/>
      <c r="AG62" s="5"/>
      <c r="AH62" s="5"/>
      <c r="AI62" s="5"/>
      <c r="AJ62" s="6"/>
      <c r="AK62" s="6"/>
      <c r="AL62" s="12"/>
      <c r="AM62" s="12"/>
      <c r="AN62" s="12"/>
      <c r="AO62" s="12"/>
      <c r="AP62" s="12"/>
    </row>
    <row r="63" spans="1:42" ht="15" x14ac:dyDescent="0.25">
      <c r="A63" s="82" t="str">
        <f>TDCTRIBE!I72</f>
        <v>Alaska</v>
      </c>
      <c r="B63" s="82" t="str">
        <f>TDCTRIBE!B72</f>
        <v>AK</v>
      </c>
      <c r="C63" s="82" t="str">
        <f>TDCTRIBE!F72</f>
        <v>Eagle</v>
      </c>
      <c r="D63" s="83">
        <f>TDCTRIBE!Y72</f>
        <v>537627.23286300001</v>
      </c>
      <c r="E63" s="83">
        <f>TDCTRIBE!Z72</f>
        <v>593892.8539060998</v>
      </c>
      <c r="F63" s="83">
        <f>TDCTRIBE!AA72</f>
        <v>670883.01826070005</v>
      </c>
      <c r="G63" s="83">
        <f>TDCTRIBE!AB72</f>
        <v>727154.03193440009</v>
      </c>
      <c r="H63" s="83">
        <f>TDCTRIBE!AC72</f>
        <v>784795.42359260004</v>
      </c>
      <c r="O63" s="9"/>
      <c r="P63" s="1"/>
      <c r="Q63" s="1"/>
      <c r="R63" s="1"/>
      <c r="S63" s="1"/>
      <c r="T63" s="1"/>
      <c r="U63" s="1"/>
      <c r="V63" s="9"/>
      <c r="W63" s="3"/>
      <c r="X63" s="4"/>
      <c r="Y63" s="1"/>
      <c r="Z63" s="1"/>
      <c r="AA63" s="1"/>
      <c r="AB63" s="1"/>
      <c r="AC63" s="1"/>
      <c r="AD63" s="3"/>
      <c r="AE63" s="3"/>
      <c r="AF63" s="5"/>
      <c r="AG63" s="5"/>
      <c r="AH63" s="5"/>
      <c r="AI63" s="5"/>
      <c r="AJ63" s="6"/>
      <c r="AK63" s="6"/>
      <c r="AL63" s="12"/>
      <c r="AM63" s="12"/>
      <c r="AN63" s="12"/>
      <c r="AO63" s="12"/>
      <c r="AP63" s="12"/>
    </row>
    <row r="64" spans="1:42" ht="15" x14ac:dyDescent="0.25">
      <c r="A64" s="82" t="str">
        <f>TDCTRIBE!I73</f>
        <v>Alaska</v>
      </c>
      <c r="B64" s="82" t="str">
        <f>TDCTRIBE!B73</f>
        <v>AK</v>
      </c>
      <c r="C64" s="82" t="str">
        <f>TDCTRIBE!F73</f>
        <v>Eek</v>
      </c>
      <c r="D64" s="83">
        <f>TDCTRIBE!Y73</f>
        <v>537627.23286300001</v>
      </c>
      <c r="E64" s="83">
        <f>TDCTRIBE!Z73</f>
        <v>593892.8539060998</v>
      </c>
      <c r="F64" s="83">
        <f>TDCTRIBE!AA73</f>
        <v>670883.01826070005</v>
      </c>
      <c r="G64" s="83">
        <f>TDCTRIBE!AB73</f>
        <v>727154.03193440009</v>
      </c>
      <c r="H64" s="83">
        <f>TDCTRIBE!AC73</f>
        <v>784795.42359260004</v>
      </c>
      <c r="O64" s="9"/>
      <c r="P64" s="1"/>
      <c r="Q64" s="1"/>
      <c r="R64" s="1"/>
      <c r="S64" s="1"/>
      <c r="T64" s="1"/>
      <c r="U64" s="1"/>
      <c r="V64" s="9"/>
      <c r="W64" s="3"/>
      <c r="X64" s="4"/>
      <c r="Y64" s="1"/>
      <c r="Z64" s="1"/>
      <c r="AA64" s="1"/>
      <c r="AB64" s="1"/>
      <c r="AC64" s="1"/>
      <c r="AD64" s="3"/>
      <c r="AE64" s="3"/>
      <c r="AF64" s="5"/>
      <c r="AG64" s="5"/>
      <c r="AH64" s="5"/>
      <c r="AI64" s="5"/>
      <c r="AJ64" s="6"/>
      <c r="AK64" s="6"/>
      <c r="AL64" s="12"/>
      <c r="AM64" s="12"/>
      <c r="AN64" s="12"/>
      <c r="AO64" s="12"/>
      <c r="AP64" s="12"/>
    </row>
    <row r="65" spans="1:42" ht="15" x14ac:dyDescent="0.25">
      <c r="A65" s="82" t="str">
        <f>TDCTRIBE!I74</f>
        <v>Alaska</v>
      </c>
      <c r="B65" s="82" t="str">
        <f>TDCTRIBE!B74</f>
        <v>AK</v>
      </c>
      <c r="C65" s="82" t="str">
        <f>TDCTRIBE!F74</f>
        <v>Egegik</v>
      </c>
      <c r="D65" s="83">
        <f>TDCTRIBE!Y74</f>
        <v>537627.23286300001</v>
      </c>
      <c r="E65" s="83">
        <f>TDCTRIBE!Z74</f>
        <v>593892.8539060998</v>
      </c>
      <c r="F65" s="83">
        <f>TDCTRIBE!AA74</f>
        <v>670883.01826070005</v>
      </c>
      <c r="G65" s="83">
        <f>TDCTRIBE!AB74</f>
        <v>727154.03193440009</v>
      </c>
      <c r="H65" s="83">
        <f>TDCTRIBE!AC74</f>
        <v>784795.42359260004</v>
      </c>
      <c r="O65" s="9"/>
      <c r="P65" s="1"/>
      <c r="Q65" s="1"/>
      <c r="R65" s="1"/>
      <c r="S65" s="1"/>
      <c r="T65" s="1"/>
      <c r="U65" s="1"/>
      <c r="V65" s="9"/>
      <c r="W65" s="3"/>
      <c r="X65" s="4"/>
      <c r="Y65" s="1"/>
      <c r="Z65" s="1"/>
      <c r="AA65" s="1"/>
      <c r="AB65" s="1"/>
      <c r="AC65" s="1"/>
      <c r="AD65" s="3"/>
      <c r="AE65" s="3"/>
      <c r="AF65" s="5"/>
      <c r="AG65" s="5"/>
      <c r="AH65" s="5"/>
      <c r="AI65" s="5"/>
      <c r="AJ65" s="6"/>
      <c r="AK65" s="6"/>
      <c r="AL65" s="12"/>
      <c r="AM65" s="12"/>
      <c r="AN65" s="12"/>
      <c r="AO65" s="12"/>
      <c r="AP65" s="12"/>
    </row>
    <row r="66" spans="1:42" ht="15" x14ac:dyDescent="0.25">
      <c r="A66" s="82" t="str">
        <f>TDCTRIBE!I75</f>
        <v>Alaska</v>
      </c>
      <c r="B66" s="82" t="str">
        <f>TDCTRIBE!B75</f>
        <v>AK</v>
      </c>
      <c r="C66" s="82" t="str">
        <f>TDCTRIBE!F75</f>
        <v>Eklutna</v>
      </c>
      <c r="D66" s="83">
        <f>TDCTRIBE!Y75</f>
        <v>465666.31849500001</v>
      </c>
      <c r="E66" s="83">
        <f>TDCTRIBE!Z75</f>
        <v>514428.62433899997</v>
      </c>
      <c r="F66" s="83">
        <f>TDCTRIBE!AA75</f>
        <v>581158.19019300013</v>
      </c>
      <c r="G66" s="83">
        <f>TDCTRIBE!AB75</f>
        <v>629926.37213100016</v>
      </c>
      <c r="H66" s="83">
        <f>TDCTRIBE!AC75</f>
        <v>679867.06659900001</v>
      </c>
      <c r="O66" s="9"/>
      <c r="P66" s="1"/>
      <c r="Q66" s="1"/>
      <c r="R66" s="1"/>
      <c r="S66" s="1"/>
      <c r="T66" s="1"/>
      <c r="U66" s="1"/>
      <c r="V66" s="9"/>
      <c r="W66" s="3"/>
      <c r="X66" s="4"/>
      <c r="Y66" s="1"/>
      <c r="Z66" s="1"/>
      <c r="AA66" s="1"/>
      <c r="AB66" s="1"/>
      <c r="AC66" s="1"/>
      <c r="AD66" s="3"/>
      <c r="AE66" s="3"/>
      <c r="AF66" s="5"/>
      <c r="AG66" s="5"/>
      <c r="AH66" s="5"/>
      <c r="AI66" s="5"/>
      <c r="AJ66" s="6"/>
      <c r="AK66" s="6"/>
      <c r="AL66" s="12"/>
      <c r="AM66" s="12"/>
      <c r="AN66" s="12"/>
      <c r="AO66" s="12"/>
      <c r="AP66" s="12"/>
    </row>
    <row r="67" spans="1:42" ht="15" x14ac:dyDescent="0.25">
      <c r="A67" s="82" t="str">
        <f>TDCTRIBE!I76</f>
        <v>Alaska</v>
      </c>
      <c r="B67" s="82" t="str">
        <f>TDCTRIBE!B76</f>
        <v>AK</v>
      </c>
      <c r="C67" s="82" t="str">
        <f>TDCTRIBE!F76</f>
        <v>Ekuk</v>
      </c>
      <c r="D67" s="83">
        <f>TDCTRIBE!Y76</f>
        <v>537627.23286300001</v>
      </c>
      <c r="E67" s="83">
        <f>TDCTRIBE!Z76</f>
        <v>593892.8539060998</v>
      </c>
      <c r="F67" s="83">
        <f>TDCTRIBE!AA76</f>
        <v>670883.01826070005</v>
      </c>
      <c r="G67" s="83">
        <f>TDCTRIBE!AB76</f>
        <v>727154.03193440009</v>
      </c>
      <c r="H67" s="83">
        <f>TDCTRIBE!AC76</f>
        <v>784795.42359260004</v>
      </c>
      <c r="O67" s="9"/>
      <c r="P67" s="1"/>
      <c r="Q67" s="1"/>
      <c r="R67" s="1"/>
      <c r="S67" s="1"/>
      <c r="T67" s="1"/>
      <c r="U67" s="1"/>
      <c r="V67" s="9"/>
      <c r="W67" s="3"/>
      <c r="X67" s="4"/>
      <c r="Y67" s="1"/>
      <c r="Z67" s="1"/>
      <c r="AA67" s="1"/>
      <c r="AB67" s="1"/>
      <c r="AC67" s="1"/>
      <c r="AD67" s="3"/>
      <c r="AE67" s="3"/>
      <c r="AF67" s="5"/>
      <c r="AG67" s="5"/>
      <c r="AH67" s="5"/>
      <c r="AI67" s="5"/>
      <c r="AJ67" s="6"/>
      <c r="AK67" s="6"/>
      <c r="AL67" s="12"/>
      <c r="AM67" s="12"/>
      <c r="AN67" s="12"/>
      <c r="AO67" s="12"/>
      <c r="AP67" s="12"/>
    </row>
    <row r="68" spans="1:42" ht="15" x14ac:dyDescent="0.25">
      <c r="A68" s="82" t="str">
        <f>TDCTRIBE!I77</f>
        <v>Alaska</v>
      </c>
      <c r="B68" s="82" t="str">
        <f>TDCTRIBE!B77</f>
        <v>AK</v>
      </c>
      <c r="C68" s="82" t="str">
        <f>TDCTRIBE!F77</f>
        <v>Ekwok</v>
      </c>
      <c r="D68" s="83">
        <f>TDCTRIBE!Y77</f>
        <v>537627.23286300001</v>
      </c>
      <c r="E68" s="83">
        <f>TDCTRIBE!Z77</f>
        <v>593892.8539060998</v>
      </c>
      <c r="F68" s="83">
        <f>TDCTRIBE!AA77</f>
        <v>670883.01826070005</v>
      </c>
      <c r="G68" s="83">
        <f>TDCTRIBE!AB77</f>
        <v>727154.03193440009</v>
      </c>
      <c r="H68" s="83">
        <f>TDCTRIBE!AC77</f>
        <v>784795.42359260004</v>
      </c>
      <c r="O68" s="9"/>
      <c r="P68" s="1"/>
      <c r="Q68" s="1"/>
      <c r="R68" s="1"/>
      <c r="S68" s="1"/>
      <c r="T68" s="1"/>
      <c r="U68" s="1"/>
      <c r="V68" s="9"/>
      <c r="W68" s="3"/>
      <c r="X68" s="4"/>
      <c r="Y68" s="1"/>
      <c r="Z68" s="1"/>
      <c r="AA68" s="1"/>
      <c r="AB68" s="1"/>
      <c r="AC68" s="1"/>
      <c r="AD68" s="3"/>
      <c r="AE68" s="3"/>
      <c r="AF68" s="5"/>
      <c r="AG68" s="5"/>
      <c r="AH68" s="5"/>
      <c r="AI68" s="5"/>
      <c r="AJ68" s="6"/>
      <c r="AK68" s="6"/>
      <c r="AL68" s="12"/>
      <c r="AM68" s="12"/>
      <c r="AN68" s="12"/>
      <c r="AO68" s="12"/>
      <c r="AP68" s="12"/>
    </row>
    <row r="69" spans="1:42" ht="15" x14ac:dyDescent="0.25">
      <c r="A69" s="82" t="str">
        <f>TDCTRIBE!I78</f>
        <v>Alaska</v>
      </c>
      <c r="B69" s="82" t="str">
        <f>TDCTRIBE!B78</f>
        <v>AK</v>
      </c>
      <c r="C69" s="82" t="str">
        <f>TDCTRIBE!F78</f>
        <v>Elim</v>
      </c>
      <c r="D69" s="83">
        <f>TDCTRIBE!Y78</f>
        <v>537627.23286300001</v>
      </c>
      <c r="E69" s="83">
        <f>TDCTRIBE!Z78</f>
        <v>593892.8539060998</v>
      </c>
      <c r="F69" s="83">
        <f>TDCTRIBE!AA78</f>
        <v>670883.01826070005</v>
      </c>
      <c r="G69" s="83">
        <f>TDCTRIBE!AB78</f>
        <v>727154.03193440009</v>
      </c>
      <c r="H69" s="83">
        <f>TDCTRIBE!AC78</f>
        <v>784795.42359260004</v>
      </c>
      <c r="O69" s="9"/>
      <c r="P69" s="1"/>
      <c r="Q69" s="1"/>
      <c r="R69" s="1"/>
      <c r="S69" s="1"/>
      <c r="T69" s="1"/>
      <c r="U69" s="1"/>
      <c r="V69" s="9"/>
      <c r="W69" s="3"/>
      <c r="X69" s="4"/>
      <c r="Y69" s="1"/>
      <c r="Z69" s="1"/>
      <c r="AA69" s="1"/>
      <c r="AB69" s="1"/>
      <c r="AC69" s="1"/>
      <c r="AD69" s="3"/>
      <c r="AE69" s="3"/>
      <c r="AF69" s="5"/>
      <c r="AG69" s="5"/>
      <c r="AH69" s="5"/>
      <c r="AI69" s="5"/>
      <c r="AJ69" s="6"/>
      <c r="AK69" s="6"/>
      <c r="AL69" s="12"/>
      <c r="AM69" s="12"/>
      <c r="AN69" s="12"/>
      <c r="AO69" s="12"/>
      <c r="AP69" s="12"/>
    </row>
    <row r="70" spans="1:42" ht="15" x14ac:dyDescent="0.25">
      <c r="A70" s="82" t="str">
        <f>TDCTRIBE!I79</f>
        <v>Alaska</v>
      </c>
      <c r="B70" s="82" t="str">
        <f>TDCTRIBE!B79</f>
        <v>AK</v>
      </c>
      <c r="C70" s="82" t="str">
        <f>TDCTRIBE!F79</f>
        <v>Emmonak</v>
      </c>
      <c r="D70" s="83">
        <f>TDCTRIBE!Y79</f>
        <v>537627.23286300001</v>
      </c>
      <c r="E70" s="83">
        <f>TDCTRIBE!Z79</f>
        <v>593892.8539060998</v>
      </c>
      <c r="F70" s="83">
        <f>TDCTRIBE!AA79</f>
        <v>670883.01826070005</v>
      </c>
      <c r="G70" s="83">
        <f>TDCTRIBE!AB79</f>
        <v>727154.03193440009</v>
      </c>
      <c r="H70" s="83">
        <f>TDCTRIBE!AC79</f>
        <v>784795.42359260004</v>
      </c>
      <c r="O70" s="9"/>
      <c r="P70" s="1"/>
      <c r="Q70" s="1"/>
      <c r="R70" s="1"/>
      <c r="S70" s="1"/>
      <c r="T70" s="1"/>
      <c r="U70" s="1"/>
      <c r="V70" s="9"/>
      <c r="W70" s="3"/>
      <c r="X70" s="4"/>
      <c r="Y70" s="1"/>
      <c r="Z70" s="1"/>
      <c r="AA70" s="1"/>
      <c r="AB70" s="1"/>
      <c r="AC70" s="1"/>
      <c r="AD70" s="3"/>
      <c r="AE70" s="3"/>
      <c r="AF70" s="5"/>
      <c r="AG70" s="5"/>
      <c r="AH70" s="5"/>
      <c r="AI70" s="5"/>
      <c r="AJ70" s="6"/>
      <c r="AK70" s="6"/>
      <c r="AL70" s="12"/>
      <c r="AM70" s="12"/>
      <c r="AN70" s="12"/>
      <c r="AO70" s="12"/>
      <c r="AP70" s="12"/>
    </row>
    <row r="71" spans="1:42" ht="15" x14ac:dyDescent="0.25">
      <c r="A71" s="82" t="str">
        <f>TDCTRIBE!I80</f>
        <v>Alaska</v>
      </c>
      <c r="B71" s="82" t="str">
        <f>TDCTRIBE!B80</f>
        <v>AK</v>
      </c>
      <c r="C71" s="82" t="str">
        <f>TDCTRIBE!F80</f>
        <v>Evansville (Bettles Field)</v>
      </c>
      <c r="D71" s="83">
        <f>TDCTRIBE!Y80</f>
        <v>537627.23286300001</v>
      </c>
      <c r="E71" s="83">
        <f>TDCTRIBE!Z80</f>
        <v>593892.8539060998</v>
      </c>
      <c r="F71" s="83">
        <f>TDCTRIBE!AA80</f>
        <v>670883.01826070005</v>
      </c>
      <c r="G71" s="83">
        <f>TDCTRIBE!AB80</f>
        <v>727154.03193440009</v>
      </c>
      <c r="H71" s="83">
        <f>TDCTRIBE!AC80</f>
        <v>784795.42359260004</v>
      </c>
      <c r="O71" s="9"/>
      <c r="P71" s="1"/>
      <c r="Q71" s="1"/>
      <c r="R71" s="1"/>
      <c r="S71" s="1"/>
      <c r="T71" s="1"/>
      <c r="U71" s="1"/>
      <c r="V71" s="9"/>
      <c r="W71" s="3"/>
      <c r="X71" s="4"/>
      <c r="Y71" s="1"/>
      <c r="Z71" s="1"/>
      <c r="AA71" s="1"/>
      <c r="AB71" s="1"/>
      <c r="AC71" s="1"/>
      <c r="AD71" s="3"/>
      <c r="AE71" s="3"/>
      <c r="AF71" s="5"/>
      <c r="AG71" s="5"/>
      <c r="AH71" s="5"/>
      <c r="AI71" s="5"/>
      <c r="AJ71" s="6"/>
      <c r="AK71" s="6"/>
      <c r="AL71" s="12"/>
      <c r="AM71" s="12"/>
      <c r="AN71" s="12"/>
      <c r="AO71" s="12"/>
      <c r="AP71" s="12"/>
    </row>
    <row r="72" spans="1:42" ht="15" x14ac:dyDescent="0.25">
      <c r="A72" s="82" t="str">
        <f>TDCTRIBE!I81</f>
        <v>Alaska</v>
      </c>
      <c r="B72" s="82" t="str">
        <f>TDCTRIBE!B81</f>
        <v>AK</v>
      </c>
      <c r="C72" s="82" t="str">
        <f>TDCTRIBE!F81</f>
        <v>Eyak</v>
      </c>
      <c r="D72" s="83">
        <f>TDCTRIBE!Y81</f>
        <v>465666.31849500001</v>
      </c>
      <c r="E72" s="83">
        <f>TDCTRIBE!Z81</f>
        <v>514428.62433899997</v>
      </c>
      <c r="F72" s="83">
        <f>TDCTRIBE!AA81</f>
        <v>581158.19019300013</v>
      </c>
      <c r="G72" s="83">
        <f>TDCTRIBE!AB81</f>
        <v>629926.37213100016</v>
      </c>
      <c r="H72" s="83">
        <f>TDCTRIBE!AC81</f>
        <v>679867.06659900001</v>
      </c>
      <c r="O72" s="9"/>
      <c r="P72" s="1"/>
      <c r="Q72" s="1"/>
      <c r="R72" s="1"/>
      <c r="S72" s="1"/>
      <c r="T72" s="1"/>
      <c r="U72" s="1"/>
      <c r="V72" s="9"/>
      <c r="W72" s="3"/>
      <c r="X72" s="4"/>
      <c r="Y72" s="1"/>
      <c r="Z72" s="1"/>
      <c r="AA72" s="1"/>
      <c r="AB72" s="1"/>
      <c r="AC72" s="1"/>
      <c r="AD72" s="3"/>
      <c r="AE72" s="3"/>
      <c r="AF72" s="5"/>
      <c r="AG72" s="5"/>
      <c r="AH72" s="5"/>
      <c r="AI72" s="5"/>
      <c r="AJ72" s="6"/>
      <c r="AK72" s="6"/>
      <c r="AL72" s="12"/>
      <c r="AM72" s="12"/>
      <c r="AN72" s="12"/>
      <c r="AO72" s="12"/>
      <c r="AP72" s="12"/>
    </row>
    <row r="73" spans="1:42" ht="15" x14ac:dyDescent="0.25">
      <c r="A73" s="82" t="str">
        <f>TDCTRIBE!I82</f>
        <v>Alaska</v>
      </c>
      <c r="B73" s="82" t="str">
        <f>TDCTRIBE!B82</f>
        <v>AK</v>
      </c>
      <c r="C73" s="82" t="str">
        <f>TDCTRIBE!F82</f>
        <v>False Pass</v>
      </c>
      <c r="D73" s="83">
        <f>TDCTRIBE!Y82</f>
        <v>537627.23286300001</v>
      </c>
      <c r="E73" s="83">
        <f>TDCTRIBE!Z82</f>
        <v>593892.8539060998</v>
      </c>
      <c r="F73" s="83">
        <f>TDCTRIBE!AA82</f>
        <v>670883.01826070005</v>
      </c>
      <c r="G73" s="83">
        <f>TDCTRIBE!AB82</f>
        <v>727154.03193440009</v>
      </c>
      <c r="H73" s="83">
        <f>TDCTRIBE!AC82</f>
        <v>784795.42359260004</v>
      </c>
      <c r="O73" s="9"/>
      <c r="P73" s="1"/>
      <c r="Q73" s="1"/>
      <c r="R73" s="1"/>
      <c r="S73" s="1"/>
      <c r="T73" s="1"/>
      <c r="U73" s="1"/>
      <c r="V73" s="9"/>
      <c r="W73" s="3"/>
      <c r="X73" s="4"/>
      <c r="Y73" s="1"/>
      <c r="Z73" s="1"/>
      <c r="AA73" s="1"/>
      <c r="AB73" s="1"/>
      <c r="AC73" s="1"/>
      <c r="AD73" s="3"/>
      <c r="AE73" s="3"/>
      <c r="AF73" s="5"/>
      <c r="AG73" s="5"/>
      <c r="AH73" s="5"/>
      <c r="AI73" s="5"/>
      <c r="AJ73" s="6"/>
      <c r="AK73" s="6"/>
      <c r="AL73" s="12"/>
      <c r="AM73" s="12"/>
      <c r="AN73" s="12"/>
      <c r="AO73" s="12"/>
      <c r="AP73" s="12"/>
    </row>
    <row r="74" spans="1:42" ht="15" x14ac:dyDescent="0.25">
      <c r="A74" s="82" t="str">
        <f>TDCTRIBE!I83</f>
        <v>Alaska</v>
      </c>
      <c r="B74" s="82" t="str">
        <f>TDCTRIBE!B83</f>
        <v>AK</v>
      </c>
      <c r="C74" s="82" t="str">
        <f>TDCTRIBE!F83</f>
        <v>Fort Yukon</v>
      </c>
      <c r="D74" s="83">
        <f>TDCTRIBE!Y83</f>
        <v>537627.23286300001</v>
      </c>
      <c r="E74" s="83">
        <f>TDCTRIBE!Z83</f>
        <v>593892.8539060998</v>
      </c>
      <c r="F74" s="83">
        <f>TDCTRIBE!AA83</f>
        <v>670883.01826070005</v>
      </c>
      <c r="G74" s="83">
        <f>TDCTRIBE!AB83</f>
        <v>727154.03193440009</v>
      </c>
      <c r="H74" s="83">
        <f>TDCTRIBE!AC83</f>
        <v>784795.42359260004</v>
      </c>
      <c r="O74" s="9"/>
      <c r="P74" s="1"/>
      <c r="Q74" s="1"/>
      <c r="R74" s="1"/>
      <c r="S74" s="1"/>
      <c r="T74" s="1"/>
      <c r="U74" s="1"/>
      <c r="V74" s="9"/>
      <c r="W74" s="3"/>
      <c r="X74" s="4"/>
      <c r="Y74" s="1"/>
      <c r="Z74" s="1"/>
      <c r="AA74" s="1"/>
      <c r="AB74" s="1"/>
      <c r="AC74" s="1"/>
      <c r="AD74" s="3"/>
      <c r="AE74" s="3"/>
      <c r="AF74" s="5"/>
      <c r="AG74" s="5"/>
      <c r="AH74" s="5"/>
      <c r="AI74" s="5"/>
      <c r="AJ74" s="6"/>
      <c r="AK74" s="6"/>
      <c r="AL74" s="12"/>
      <c r="AM74" s="12"/>
      <c r="AN74" s="12"/>
      <c r="AO74" s="12"/>
      <c r="AP74" s="12"/>
    </row>
    <row r="75" spans="1:42" ht="15" x14ac:dyDescent="0.25">
      <c r="A75" s="82" t="str">
        <f>TDCTRIBE!I84</f>
        <v>Alaska</v>
      </c>
      <c r="B75" s="82" t="str">
        <f>TDCTRIBE!B84</f>
        <v>AK</v>
      </c>
      <c r="C75" s="82" t="str">
        <f>TDCTRIBE!F84</f>
        <v>Gakona</v>
      </c>
      <c r="D75" s="83">
        <f>TDCTRIBE!Y84</f>
        <v>465666.31849500001</v>
      </c>
      <c r="E75" s="83">
        <f>TDCTRIBE!Z84</f>
        <v>514428.62433899997</v>
      </c>
      <c r="F75" s="83">
        <f>TDCTRIBE!AA84</f>
        <v>581158.19019300013</v>
      </c>
      <c r="G75" s="83">
        <f>TDCTRIBE!AB84</f>
        <v>629926.37213100016</v>
      </c>
      <c r="H75" s="83">
        <f>TDCTRIBE!AC84</f>
        <v>679867.06659900001</v>
      </c>
      <c r="O75" s="9"/>
      <c r="P75" s="1"/>
      <c r="Q75" s="1"/>
      <c r="R75" s="1"/>
      <c r="S75" s="1"/>
      <c r="T75" s="1"/>
      <c r="U75" s="1"/>
      <c r="V75" s="9"/>
      <c r="W75" s="3"/>
      <c r="X75" s="4"/>
      <c r="Y75" s="1"/>
      <c r="Z75" s="1"/>
      <c r="AA75" s="1"/>
      <c r="AB75" s="1"/>
      <c r="AC75" s="1"/>
      <c r="AD75" s="3"/>
      <c r="AE75" s="3"/>
      <c r="AF75" s="5"/>
      <c r="AG75" s="5"/>
      <c r="AH75" s="5"/>
      <c r="AI75" s="5"/>
      <c r="AJ75" s="6"/>
      <c r="AK75" s="6"/>
      <c r="AL75" s="12"/>
      <c r="AM75" s="12"/>
      <c r="AN75" s="12"/>
      <c r="AO75" s="12"/>
      <c r="AP75" s="12"/>
    </row>
    <row r="76" spans="1:42" ht="15" x14ac:dyDescent="0.25">
      <c r="A76" s="82" t="str">
        <f>TDCTRIBE!I85</f>
        <v>Alaska</v>
      </c>
      <c r="B76" s="82" t="str">
        <f>TDCTRIBE!B85</f>
        <v>AK</v>
      </c>
      <c r="C76" s="82" t="str">
        <f>TDCTRIBE!F85</f>
        <v>Galena</v>
      </c>
      <c r="D76" s="83">
        <f>TDCTRIBE!Y85</f>
        <v>537627.23286300001</v>
      </c>
      <c r="E76" s="83">
        <f>TDCTRIBE!Z85</f>
        <v>593892.8539060998</v>
      </c>
      <c r="F76" s="83">
        <f>TDCTRIBE!AA85</f>
        <v>670883.01826070005</v>
      </c>
      <c r="G76" s="83">
        <f>TDCTRIBE!AB85</f>
        <v>727154.03193440009</v>
      </c>
      <c r="H76" s="83">
        <f>TDCTRIBE!AC85</f>
        <v>784795.42359260004</v>
      </c>
      <c r="O76" s="9"/>
      <c r="P76" s="1"/>
      <c r="Q76" s="1"/>
      <c r="R76" s="1"/>
      <c r="S76" s="1"/>
      <c r="T76" s="1"/>
      <c r="U76" s="1"/>
      <c r="V76" s="9"/>
      <c r="W76" s="3"/>
      <c r="X76" s="4"/>
      <c r="Y76" s="1"/>
      <c r="Z76" s="1"/>
      <c r="AA76" s="1"/>
      <c r="AB76" s="1"/>
      <c r="AC76" s="1"/>
      <c r="AD76" s="3"/>
      <c r="AE76" s="3"/>
      <c r="AF76" s="5"/>
      <c r="AG76" s="5"/>
      <c r="AH76" s="5"/>
      <c r="AI76" s="5"/>
      <c r="AJ76" s="6"/>
      <c r="AK76" s="6"/>
      <c r="AL76" s="12"/>
      <c r="AM76" s="12"/>
      <c r="AN76" s="12"/>
      <c r="AO76" s="12"/>
      <c r="AP76" s="12"/>
    </row>
    <row r="77" spans="1:42" ht="15" x14ac:dyDescent="0.25">
      <c r="A77" s="82" t="str">
        <f>TDCTRIBE!I86</f>
        <v>Alaska</v>
      </c>
      <c r="B77" s="82" t="str">
        <f>TDCTRIBE!B86</f>
        <v>AK</v>
      </c>
      <c r="C77" s="82" t="str">
        <f>TDCTRIBE!F86</f>
        <v>Gambell</v>
      </c>
      <c r="D77" s="83">
        <f>TDCTRIBE!Y86</f>
        <v>573912.50187599997</v>
      </c>
      <c r="E77" s="83">
        <f>TDCTRIBE!Z86</f>
        <v>633906.89508719998</v>
      </c>
      <c r="F77" s="83">
        <f>TDCTRIBE!AA86</f>
        <v>715983.34034640016</v>
      </c>
      <c r="G77" s="83">
        <f>TDCTRIBE!AB86</f>
        <v>775980.51116880018</v>
      </c>
      <c r="H77" s="83">
        <f>TDCTRIBE!AC86</f>
        <v>837476.24333520012</v>
      </c>
      <c r="O77" s="9"/>
      <c r="P77" s="1"/>
      <c r="Q77" s="1"/>
      <c r="R77" s="1"/>
      <c r="S77" s="1"/>
      <c r="T77" s="1"/>
      <c r="U77" s="1"/>
      <c r="V77" s="9"/>
      <c r="W77" s="3"/>
      <c r="X77" s="4"/>
      <c r="Y77" s="1"/>
      <c r="Z77" s="1"/>
      <c r="AA77" s="1"/>
      <c r="AB77" s="1"/>
      <c r="AC77" s="1"/>
      <c r="AD77" s="3"/>
      <c r="AE77" s="3"/>
      <c r="AF77" s="5"/>
      <c r="AG77" s="5"/>
      <c r="AH77" s="5"/>
      <c r="AI77" s="5"/>
      <c r="AJ77" s="6"/>
      <c r="AK77" s="6"/>
      <c r="AL77" s="12"/>
      <c r="AM77" s="12"/>
      <c r="AN77" s="12"/>
      <c r="AO77" s="12"/>
      <c r="AP77" s="12"/>
    </row>
    <row r="78" spans="1:42" ht="15" x14ac:dyDescent="0.25">
      <c r="A78" s="82" t="str">
        <f>TDCTRIBE!I87</f>
        <v>Alaska</v>
      </c>
      <c r="B78" s="82" t="str">
        <f>TDCTRIBE!B87</f>
        <v>AK</v>
      </c>
      <c r="C78" s="82" t="str">
        <f>TDCTRIBE!F87</f>
        <v>Georgetown</v>
      </c>
      <c r="D78" s="83">
        <f>TDCTRIBE!Y87</f>
        <v>537627.23286300001</v>
      </c>
      <c r="E78" s="83">
        <f>TDCTRIBE!Z87</f>
        <v>593892.8539060998</v>
      </c>
      <c r="F78" s="83">
        <f>TDCTRIBE!AA87</f>
        <v>670883.01826070005</v>
      </c>
      <c r="G78" s="83">
        <f>TDCTRIBE!AB87</f>
        <v>727154.03193440009</v>
      </c>
      <c r="H78" s="83">
        <f>TDCTRIBE!AC87</f>
        <v>784795.42359260004</v>
      </c>
      <c r="O78" s="9"/>
      <c r="P78" s="1"/>
      <c r="Q78" s="1"/>
      <c r="R78" s="1"/>
      <c r="S78" s="1"/>
      <c r="T78" s="1"/>
      <c r="U78" s="1"/>
      <c r="V78" s="9"/>
      <c r="W78" s="3"/>
      <c r="X78" s="4"/>
      <c r="Y78" s="1"/>
      <c r="Z78" s="1"/>
      <c r="AA78" s="1"/>
      <c r="AB78" s="1"/>
      <c r="AC78" s="1"/>
      <c r="AD78" s="3"/>
      <c r="AE78" s="3"/>
      <c r="AF78" s="5"/>
      <c r="AG78" s="5"/>
      <c r="AH78" s="5"/>
      <c r="AI78" s="5"/>
      <c r="AJ78" s="6"/>
      <c r="AK78" s="6"/>
      <c r="AL78" s="12"/>
      <c r="AM78" s="12"/>
      <c r="AN78" s="12"/>
      <c r="AO78" s="12"/>
      <c r="AP78" s="12"/>
    </row>
    <row r="79" spans="1:42" ht="15" x14ac:dyDescent="0.25">
      <c r="A79" s="82" t="str">
        <f>TDCTRIBE!I88</f>
        <v>Alaska</v>
      </c>
      <c r="B79" s="82" t="str">
        <f>TDCTRIBE!B88</f>
        <v>AK</v>
      </c>
      <c r="C79" s="82" t="str">
        <f>TDCTRIBE!F88</f>
        <v>Golovin (Chinik)</v>
      </c>
      <c r="D79" s="83">
        <f>TDCTRIBE!Y88</f>
        <v>537627.23286300001</v>
      </c>
      <c r="E79" s="83">
        <f>TDCTRIBE!Z88</f>
        <v>593892.8539060998</v>
      </c>
      <c r="F79" s="83">
        <f>TDCTRIBE!AA88</f>
        <v>670883.01826070005</v>
      </c>
      <c r="G79" s="83">
        <f>TDCTRIBE!AB88</f>
        <v>727154.03193440009</v>
      </c>
      <c r="H79" s="83">
        <f>TDCTRIBE!AC88</f>
        <v>784795.42359260004</v>
      </c>
      <c r="O79" s="9"/>
      <c r="P79" s="1"/>
      <c r="Q79" s="1"/>
      <c r="R79" s="1"/>
      <c r="S79" s="1"/>
      <c r="T79" s="1"/>
      <c r="U79" s="1"/>
      <c r="V79" s="9"/>
      <c r="W79" s="3"/>
      <c r="X79" s="4"/>
      <c r="Y79" s="1"/>
      <c r="Z79" s="1"/>
      <c r="AA79" s="1"/>
      <c r="AB79" s="1"/>
      <c r="AC79" s="1"/>
      <c r="AD79" s="3"/>
      <c r="AE79" s="3"/>
      <c r="AF79" s="5"/>
      <c r="AG79" s="5"/>
      <c r="AH79" s="5"/>
      <c r="AI79" s="5"/>
      <c r="AJ79" s="6"/>
      <c r="AK79" s="6"/>
      <c r="AL79" s="12"/>
      <c r="AM79" s="12"/>
      <c r="AN79" s="12"/>
      <c r="AO79" s="12"/>
      <c r="AP79" s="12"/>
    </row>
    <row r="80" spans="1:42" ht="15" x14ac:dyDescent="0.25">
      <c r="A80" s="82" t="str">
        <f>TDCTRIBE!I89</f>
        <v>Alaska</v>
      </c>
      <c r="B80" s="82" t="str">
        <f>TDCTRIBE!B89</f>
        <v>AK</v>
      </c>
      <c r="C80" s="82" t="str">
        <f>TDCTRIBE!F89</f>
        <v>Goodnews Bay</v>
      </c>
      <c r="D80" s="83">
        <f>TDCTRIBE!Y89</f>
        <v>537627.23286300001</v>
      </c>
      <c r="E80" s="83">
        <f>TDCTRIBE!Z89</f>
        <v>593892.8539060998</v>
      </c>
      <c r="F80" s="83">
        <f>TDCTRIBE!AA89</f>
        <v>670883.01826070005</v>
      </c>
      <c r="G80" s="83">
        <f>TDCTRIBE!AB89</f>
        <v>727154.03193440009</v>
      </c>
      <c r="H80" s="83">
        <f>TDCTRIBE!AC89</f>
        <v>784795.42359260004</v>
      </c>
      <c r="O80" s="9"/>
      <c r="P80" s="1"/>
      <c r="Q80" s="1"/>
      <c r="R80" s="1"/>
      <c r="S80" s="1"/>
      <c r="T80" s="1"/>
      <c r="U80" s="1"/>
      <c r="V80" s="9"/>
      <c r="W80" s="3"/>
      <c r="X80" s="4"/>
      <c r="Y80" s="1"/>
      <c r="Z80" s="1"/>
      <c r="AA80" s="1"/>
      <c r="AB80" s="1"/>
      <c r="AC80" s="1"/>
      <c r="AD80" s="3"/>
      <c r="AE80" s="3"/>
      <c r="AF80" s="5"/>
      <c r="AG80" s="5"/>
      <c r="AH80" s="5"/>
      <c r="AI80" s="5"/>
      <c r="AJ80" s="6"/>
      <c r="AK80" s="6"/>
      <c r="AL80" s="12"/>
      <c r="AM80" s="12"/>
      <c r="AN80" s="12"/>
      <c r="AO80" s="12"/>
      <c r="AP80" s="12"/>
    </row>
    <row r="81" spans="1:42" ht="15" x14ac:dyDescent="0.25">
      <c r="A81" s="82" t="str">
        <f>TDCTRIBE!I90</f>
        <v>Alaska</v>
      </c>
      <c r="B81" s="82" t="str">
        <f>TDCTRIBE!B90</f>
        <v>AK</v>
      </c>
      <c r="C81" s="82" t="str">
        <f>TDCTRIBE!F90</f>
        <v>Grayling</v>
      </c>
      <c r="D81" s="83">
        <f>TDCTRIBE!Y90</f>
        <v>537627.23286300001</v>
      </c>
      <c r="E81" s="83">
        <f>TDCTRIBE!Z90</f>
        <v>593892.8539060998</v>
      </c>
      <c r="F81" s="83">
        <f>TDCTRIBE!AA90</f>
        <v>670883.01826070005</v>
      </c>
      <c r="G81" s="83">
        <f>TDCTRIBE!AB90</f>
        <v>727154.03193440009</v>
      </c>
      <c r="H81" s="83">
        <f>TDCTRIBE!AC90</f>
        <v>784795.42359260004</v>
      </c>
      <c r="O81" s="9"/>
      <c r="P81" s="1"/>
      <c r="Q81" s="1"/>
      <c r="R81" s="1"/>
      <c r="S81" s="1"/>
      <c r="T81" s="1"/>
      <c r="U81" s="1"/>
      <c r="V81" s="9"/>
      <c r="W81" s="3"/>
      <c r="X81" s="4"/>
      <c r="Y81" s="1"/>
      <c r="Z81" s="1"/>
      <c r="AA81" s="1"/>
      <c r="AB81" s="1"/>
      <c r="AC81" s="1"/>
      <c r="AD81" s="3"/>
      <c r="AE81" s="3"/>
      <c r="AF81" s="5"/>
      <c r="AG81" s="5"/>
      <c r="AH81" s="5"/>
      <c r="AI81" s="5"/>
      <c r="AJ81" s="6"/>
      <c r="AK81" s="6"/>
      <c r="AL81" s="12"/>
      <c r="AM81" s="12"/>
      <c r="AN81" s="12"/>
      <c r="AO81" s="12"/>
      <c r="AP81" s="12"/>
    </row>
    <row r="82" spans="1:42" ht="15" x14ac:dyDescent="0.25">
      <c r="A82" s="82" t="str">
        <f>TDCTRIBE!I91</f>
        <v>Alaska</v>
      </c>
      <c r="B82" s="82" t="str">
        <f>TDCTRIBE!B91</f>
        <v>AK</v>
      </c>
      <c r="C82" s="82" t="str">
        <f>TDCTRIBE!F91</f>
        <v>Gulkana</v>
      </c>
      <c r="D82" s="83">
        <f>TDCTRIBE!Y91</f>
        <v>465666.31849500001</v>
      </c>
      <c r="E82" s="83">
        <f>TDCTRIBE!Z91</f>
        <v>514428.62433899997</v>
      </c>
      <c r="F82" s="83">
        <f>TDCTRIBE!AA91</f>
        <v>581158.19019300013</v>
      </c>
      <c r="G82" s="83">
        <f>TDCTRIBE!AB91</f>
        <v>629926.37213100016</v>
      </c>
      <c r="H82" s="83">
        <f>TDCTRIBE!AC91</f>
        <v>679867.06659900001</v>
      </c>
      <c r="O82" s="9"/>
      <c r="P82" s="1"/>
      <c r="Q82" s="1"/>
      <c r="R82" s="1"/>
      <c r="S82" s="1"/>
      <c r="T82" s="1"/>
      <c r="U82" s="1"/>
      <c r="V82" s="9"/>
      <c r="W82" s="3"/>
      <c r="X82" s="4"/>
      <c r="Y82" s="1"/>
      <c r="Z82" s="1"/>
      <c r="AA82" s="1"/>
      <c r="AB82" s="1"/>
      <c r="AC82" s="1"/>
      <c r="AD82" s="3"/>
      <c r="AE82" s="3"/>
      <c r="AF82" s="5"/>
      <c r="AG82" s="5"/>
      <c r="AH82" s="5"/>
      <c r="AI82" s="5"/>
      <c r="AJ82" s="6"/>
      <c r="AK82" s="6"/>
      <c r="AL82" s="12"/>
      <c r="AM82" s="12"/>
      <c r="AN82" s="12"/>
      <c r="AO82" s="12"/>
      <c r="AP82" s="12"/>
    </row>
    <row r="83" spans="1:42" ht="15" x14ac:dyDescent="0.25">
      <c r="A83" s="82" t="str">
        <f>TDCTRIBE!I92</f>
        <v>Alaska</v>
      </c>
      <c r="B83" s="82" t="str">
        <f>TDCTRIBE!B92</f>
        <v>AK</v>
      </c>
      <c r="C83" s="82" t="str">
        <f>TDCTRIBE!F92</f>
        <v>Hamilton</v>
      </c>
      <c r="D83" s="83">
        <f>TDCTRIBE!Y92</f>
        <v>537627.23286300001</v>
      </c>
      <c r="E83" s="83">
        <f>TDCTRIBE!Z92</f>
        <v>593892.8539060998</v>
      </c>
      <c r="F83" s="83">
        <f>TDCTRIBE!AA92</f>
        <v>670883.01826070005</v>
      </c>
      <c r="G83" s="83">
        <f>TDCTRIBE!AB92</f>
        <v>727154.03193440009</v>
      </c>
      <c r="H83" s="83">
        <f>TDCTRIBE!AC92</f>
        <v>784795.42359260004</v>
      </c>
      <c r="O83" s="9"/>
      <c r="P83" s="1"/>
      <c r="Q83" s="1"/>
      <c r="R83" s="1"/>
      <c r="S83" s="1"/>
      <c r="T83" s="1"/>
      <c r="U83" s="1"/>
      <c r="V83" s="9"/>
      <c r="W83" s="3"/>
      <c r="X83" s="4"/>
      <c r="Y83" s="1"/>
      <c r="Z83" s="1"/>
      <c r="AA83" s="1"/>
      <c r="AB83" s="1"/>
      <c r="AC83" s="1"/>
      <c r="AD83" s="3"/>
      <c r="AE83" s="3"/>
      <c r="AF83" s="5"/>
      <c r="AG83" s="5"/>
      <c r="AH83" s="5"/>
      <c r="AI83" s="5"/>
      <c r="AJ83" s="6"/>
      <c r="AK83" s="6"/>
      <c r="AL83" s="12"/>
      <c r="AM83" s="12"/>
      <c r="AN83" s="12"/>
      <c r="AO83" s="12"/>
      <c r="AP83" s="12"/>
    </row>
    <row r="84" spans="1:42" ht="15" x14ac:dyDescent="0.25">
      <c r="A84" s="82" t="str">
        <f>TDCTRIBE!I93</f>
        <v>Alaska</v>
      </c>
      <c r="B84" s="82" t="str">
        <f>TDCTRIBE!B93</f>
        <v>AK</v>
      </c>
      <c r="C84" s="82" t="str">
        <f>TDCTRIBE!F93</f>
        <v>Healy Lake</v>
      </c>
      <c r="D84" s="83">
        <f>TDCTRIBE!Y93</f>
        <v>537627.23286300001</v>
      </c>
      <c r="E84" s="83">
        <f>TDCTRIBE!Z93</f>
        <v>593892.8539060998</v>
      </c>
      <c r="F84" s="83">
        <f>TDCTRIBE!AA93</f>
        <v>670883.01826070005</v>
      </c>
      <c r="G84" s="83">
        <f>TDCTRIBE!AB93</f>
        <v>727154.03193440009</v>
      </c>
      <c r="H84" s="83">
        <f>TDCTRIBE!AC93</f>
        <v>784795.42359260004</v>
      </c>
      <c r="O84" s="9"/>
      <c r="P84" s="1"/>
      <c r="Q84" s="1"/>
      <c r="R84" s="1"/>
      <c r="S84" s="1"/>
      <c r="T84" s="1"/>
      <c r="U84" s="1"/>
      <c r="V84" s="9"/>
      <c r="W84" s="3"/>
      <c r="X84" s="4"/>
      <c r="Y84" s="1"/>
      <c r="Z84" s="1"/>
      <c r="AA84" s="1"/>
      <c r="AB84" s="1"/>
      <c r="AC84" s="1"/>
      <c r="AD84" s="3"/>
      <c r="AE84" s="3"/>
      <c r="AF84" s="5"/>
      <c r="AG84" s="5"/>
      <c r="AH84" s="5"/>
      <c r="AI84" s="5"/>
      <c r="AJ84" s="6"/>
      <c r="AK84" s="6"/>
      <c r="AL84" s="12"/>
      <c r="AM84" s="12"/>
      <c r="AN84" s="12"/>
      <c r="AO84" s="12"/>
      <c r="AP84" s="12"/>
    </row>
    <row r="85" spans="1:42" ht="15" x14ac:dyDescent="0.25">
      <c r="A85" s="82" t="str">
        <f>TDCTRIBE!I94</f>
        <v>Alaska</v>
      </c>
      <c r="B85" s="82" t="str">
        <f>TDCTRIBE!B94</f>
        <v>AK</v>
      </c>
      <c r="C85" s="82" t="str">
        <f>TDCTRIBE!F94</f>
        <v>Holy Cross</v>
      </c>
      <c r="D85" s="83">
        <f>TDCTRIBE!Y94</f>
        <v>537627.23286300001</v>
      </c>
      <c r="E85" s="83">
        <f>TDCTRIBE!Z94</f>
        <v>593892.8539060998</v>
      </c>
      <c r="F85" s="83">
        <f>TDCTRIBE!AA94</f>
        <v>670883.01826070005</v>
      </c>
      <c r="G85" s="83">
        <f>TDCTRIBE!AB94</f>
        <v>727154.03193440009</v>
      </c>
      <c r="H85" s="83">
        <f>TDCTRIBE!AC94</f>
        <v>784795.42359260004</v>
      </c>
      <c r="O85" s="9"/>
      <c r="P85" s="1"/>
      <c r="Q85" s="1"/>
      <c r="R85" s="1"/>
      <c r="S85" s="1"/>
      <c r="T85" s="1"/>
      <c r="U85" s="1"/>
      <c r="V85" s="9"/>
      <c r="W85" s="3"/>
      <c r="X85" s="4"/>
      <c r="Y85" s="1"/>
      <c r="Z85" s="1"/>
      <c r="AA85" s="1"/>
      <c r="AB85" s="1"/>
      <c r="AC85" s="1"/>
      <c r="AD85" s="3"/>
      <c r="AE85" s="3"/>
      <c r="AF85" s="5"/>
      <c r="AG85" s="5"/>
      <c r="AH85" s="5"/>
      <c r="AI85" s="5"/>
      <c r="AJ85" s="6"/>
      <c r="AK85" s="6"/>
      <c r="AL85" s="12"/>
      <c r="AM85" s="12"/>
      <c r="AN85" s="12"/>
      <c r="AO85" s="12"/>
      <c r="AP85" s="12"/>
    </row>
    <row r="86" spans="1:42" ht="15" x14ac:dyDescent="0.25">
      <c r="A86" s="82" t="str">
        <f>TDCTRIBE!I95</f>
        <v>Alaska</v>
      </c>
      <c r="B86" s="82" t="str">
        <f>TDCTRIBE!B95</f>
        <v>AK</v>
      </c>
      <c r="C86" s="82" t="str">
        <f>TDCTRIBE!F95</f>
        <v>Hoonah</v>
      </c>
      <c r="D86" s="83">
        <f>TDCTRIBE!Y95</f>
        <v>465666.31849500001</v>
      </c>
      <c r="E86" s="83">
        <f>TDCTRIBE!Z95</f>
        <v>514428.62433899997</v>
      </c>
      <c r="F86" s="83">
        <f>TDCTRIBE!AA95</f>
        <v>581158.19019300013</v>
      </c>
      <c r="G86" s="83">
        <f>TDCTRIBE!AB95</f>
        <v>629926.37213100016</v>
      </c>
      <c r="H86" s="83">
        <f>TDCTRIBE!AC95</f>
        <v>679867.06659900001</v>
      </c>
      <c r="O86" s="9"/>
      <c r="P86" s="1"/>
      <c r="Q86" s="1"/>
      <c r="R86" s="1"/>
      <c r="S86" s="1"/>
      <c r="T86" s="1"/>
      <c r="U86" s="1"/>
      <c r="V86" s="9"/>
      <c r="W86" s="3"/>
      <c r="X86" s="4"/>
      <c r="Y86" s="1"/>
      <c r="Z86" s="1"/>
      <c r="AA86" s="1"/>
      <c r="AB86" s="1"/>
      <c r="AC86" s="1"/>
      <c r="AD86" s="3"/>
      <c r="AE86" s="3"/>
      <c r="AF86" s="5"/>
      <c r="AG86" s="5"/>
      <c r="AH86" s="5"/>
      <c r="AI86" s="5"/>
      <c r="AJ86" s="6"/>
      <c r="AK86" s="6"/>
      <c r="AL86" s="12"/>
      <c r="AM86" s="12"/>
      <c r="AN86" s="12"/>
      <c r="AO86" s="12"/>
      <c r="AP86" s="12"/>
    </row>
    <row r="87" spans="1:42" ht="15" x14ac:dyDescent="0.25">
      <c r="A87" s="82" t="str">
        <f>TDCTRIBE!I96</f>
        <v>Alaska</v>
      </c>
      <c r="B87" s="82" t="str">
        <f>TDCTRIBE!B96</f>
        <v>AK</v>
      </c>
      <c r="C87" s="82" t="str">
        <f>TDCTRIBE!F96</f>
        <v>Hooper Bay</v>
      </c>
      <c r="D87" s="83">
        <f>TDCTRIBE!Y96</f>
        <v>537627.23286300001</v>
      </c>
      <c r="E87" s="83">
        <f>TDCTRIBE!Z96</f>
        <v>593892.8539060998</v>
      </c>
      <c r="F87" s="83">
        <f>TDCTRIBE!AA96</f>
        <v>670883.01826070005</v>
      </c>
      <c r="G87" s="83">
        <f>TDCTRIBE!AB96</f>
        <v>727154.03193440009</v>
      </c>
      <c r="H87" s="83">
        <f>TDCTRIBE!AC96</f>
        <v>784795.42359260004</v>
      </c>
      <c r="O87" s="9"/>
      <c r="P87" s="1"/>
      <c r="Q87" s="1"/>
      <c r="R87" s="1"/>
      <c r="S87" s="1"/>
      <c r="T87" s="1"/>
      <c r="U87" s="1"/>
      <c r="V87" s="9"/>
      <c r="W87" s="3"/>
      <c r="X87" s="4"/>
      <c r="Y87" s="1"/>
      <c r="Z87" s="1"/>
      <c r="AA87" s="1"/>
      <c r="AB87" s="1"/>
      <c r="AC87" s="1"/>
      <c r="AD87" s="3"/>
      <c r="AE87" s="3"/>
      <c r="AF87" s="5"/>
      <c r="AG87" s="5"/>
      <c r="AH87" s="5"/>
      <c r="AI87" s="5"/>
      <c r="AJ87" s="6"/>
      <c r="AK87" s="6"/>
      <c r="AL87" s="12"/>
      <c r="AM87" s="12"/>
      <c r="AN87" s="12"/>
      <c r="AO87" s="12"/>
      <c r="AP87" s="12"/>
    </row>
    <row r="88" spans="1:42" ht="15" x14ac:dyDescent="0.25">
      <c r="A88" s="82" t="str">
        <f>TDCTRIBE!I97</f>
        <v>Alaska</v>
      </c>
      <c r="B88" s="82" t="str">
        <f>TDCTRIBE!B97</f>
        <v>AK</v>
      </c>
      <c r="C88" s="82" t="str">
        <f>TDCTRIBE!F97</f>
        <v>Hughes</v>
      </c>
      <c r="D88" s="83">
        <f>TDCTRIBE!Y97</f>
        <v>573912.50187599997</v>
      </c>
      <c r="E88" s="83">
        <f>TDCTRIBE!Z97</f>
        <v>633906.89508719998</v>
      </c>
      <c r="F88" s="83">
        <f>TDCTRIBE!AA97</f>
        <v>715983.34034640016</v>
      </c>
      <c r="G88" s="83">
        <f>TDCTRIBE!AB97</f>
        <v>775980.51116880018</v>
      </c>
      <c r="H88" s="83">
        <f>TDCTRIBE!AC97</f>
        <v>837476.24333520012</v>
      </c>
      <c r="O88" s="9"/>
      <c r="P88" s="1"/>
      <c r="Q88" s="1"/>
      <c r="R88" s="1"/>
      <c r="S88" s="1"/>
      <c r="T88" s="1"/>
      <c r="U88" s="1"/>
      <c r="V88" s="9"/>
      <c r="W88" s="3"/>
      <c r="X88" s="4"/>
      <c r="Y88" s="1"/>
      <c r="Z88" s="1"/>
      <c r="AA88" s="1"/>
      <c r="AB88" s="1"/>
      <c r="AC88" s="1"/>
      <c r="AD88" s="3"/>
      <c r="AE88" s="3"/>
      <c r="AF88" s="5"/>
      <c r="AG88" s="5"/>
      <c r="AH88" s="5"/>
      <c r="AI88" s="5"/>
      <c r="AJ88" s="6"/>
      <c r="AK88" s="6"/>
      <c r="AL88" s="12"/>
      <c r="AM88" s="12"/>
      <c r="AN88" s="12"/>
      <c r="AO88" s="12"/>
      <c r="AP88" s="12"/>
    </row>
    <row r="89" spans="1:42" ht="15" x14ac:dyDescent="0.25">
      <c r="A89" s="82" t="str">
        <f>TDCTRIBE!I98</f>
        <v>Alaska</v>
      </c>
      <c r="B89" s="82" t="str">
        <f>TDCTRIBE!B98</f>
        <v>AK</v>
      </c>
      <c r="C89" s="82" t="str">
        <f>TDCTRIBE!F98</f>
        <v>Huslia</v>
      </c>
      <c r="D89" s="83">
        <f>TDCTRIBE!Y98</f>
        <v>573912.50187599997</v>
      </c>
      <c r="E89" s="83">
        <f>TDCTRIBE!Z98</f>
        <v>633906.89508719998</v>
      </c>
      <c r="F89" s="83">
        <f>TDCTRIBE!AA98</f>
        <v>715983.34034640016</v>
      </c>
      <c r="G89" s="83">
        <f>TDCTRIBE!AB98</f>
        <v>775980.51116880018</v>
      </c>
      <c r="H89" s="83">
        <f>TDCTRIBE!AC98</f>
        <v>837476.24333520012</v>
      </c>
      <c r="O89" s="9"/>
      <c r="P89" s="1"/>
      <c r="Q89" s="1"/>
      <c r="R89" s="1"/>
      <c r="S89" s="1"/>
      <c r="T89" s="1"/>
      <c r="U89" s="1"/>
      <c r="V89" s="9"/>
      <c r="W89" s="3"/>
      <c r="X89" s="4"/>
      <c r="Y89" s="1"/>
      <c r="Z89" s="1"/>
      <c r="AA89" s="1"/>
      <c r="AB89" s="1"/>
      <c r="AC89" s="1"/>
      <c r="AD89" s="3"/>
      <c r="AE89" s="3"/>
      <c r="AF89" s="5"/>
      <c r="AG89" s="5"/>
      <c r="AH89" s="5"/>
      <c r="AI89" s="5"/>
      <c r="AJ89" s="6"/>
      <c r="AK89" s="6"/>
      <c r="AL89" s="12"/>
      <c r="AM89" s="12"/>
      <c r="AN89" s="12"/>
      <c r="AO89" s="12"/>
      <c r="AP89" s="12"/>
    </row>
    <row r="90" spans="1:42" ht="15" x14ac:dyDescent="0.25">
      <c r="A90" s="82" t="str">
        <f>TDCTRIBE!I99</f>
        <v>Alaska</v>
      </c>
      <c r="B90" s="82" t="str">
        <f>TDCTRIBE!B99</f>
        <v>AK</v>
      </c>
      <c r="C90" s="82" t="str">
        <f>TDCTRIBE!F99</f>
        <v>Hydaburg</v>
      </c>
      <c r="D90" s="83">
        <f>TDCTRIBE!Y99</f>
        <v>465666.31849500001</v>
      </c>
      <c r="E90" s="83">
        <f>TDCTRIBE!Z99</f>
        <v>514428.62433899997</v>
      </c>
      <c r="F90" s="83">
        <f>TDCTRIBE!AA99</f>
        <v>581158.19019300013</v>
      </c>
      <c r="G90" s="83">
        <f>TDCTRIBE!AB99</f>
        <v>629926.37213100016</v>
      </c>
      <c r="H90" s="83">
        <f>TDCTRIBE!AC99</f>
        <v>679867.06659900001</v>
      </c>
      <c r="O90" s="9"/>
      <c r="P90" s="1"/>
      <c r="Q90" s="1"/>
      <c r="R90" s="1"/>
      <c r="S90" s="1"/>
      <c r="T90" s="1"/>
      <c r="U90" s="1"/>
      <c r="V90" s="9"/>
      <c r="W90" s="3"/>
      <c r="X90" s="4"/>
      <c r="Y90" s="1"/>
      <c r="Z90" s="1"/>
      <c r="AA90" s="1"/>
      <c r="AB90" s="1"/>
      <c r="AC90" s="1"/>
      <c r="AD90" s="3"/>
      <c r="AE90" s="3"/>
      <c r="AF90" s="5"/>
      <c r="AG90" s="5"/>
      <c r="AH90" s="5"/>
      <c r="AI90" s="5"/>
      <c r="AJ90" s="6"/>
      <c r="AK90" s="6"/>
      <c r="AL90" s="12"/>
      <c r="AM90" s="12"/>
      <c r="AN90" s="12"/>
      <c r="AO90" s="12"/>
      <c r="AP90" s="12"/>
    </row>
    <row r="91" spans="1:42" ht="15" x14ac:dyDescent="0.25">
      <c r="A91" s="82" t="str">
        <f>TDCTRIBE!I100</f>
        <v>Alaska</v>
      </c>
      <c r="B91" s="82" t="str">
        <f>TDCTRIBE!B100</f>
        <v>AK</v>
      </c>
      <c r="C91" s="82" t="str">
        <f>TDCTRIBE!F100</f>
        <v>Igiugig</v>
      </c>
      <c r="D91" s="83">
        <f>TDCTRIBE!Y100</f>
        <v>537627.23286300001</v>
      </c>
      <c r="E91" s="83">
        <f>TDCTRIBE!Z100</f>
        <v>593892.8539060998</v>
      </c>
      <c r="F91" s="83">
        <f>TDCTRIBE!AA100</f>
        <v>670883.01826070005</v>
      </c>
      <c r="G91" s="83">
        <f>TDCTRIBE!AB100</f>
        <v>727154.03193440009</v>
      </c>
      <c r="H91" s="83">
        <f>TDCTRIBE!AC100</f>
        <v>784795.42359260004</v>
      </c>
      <c r="O91" s="9"/>
      <c r="P91" s="1"/>
      <c r="Q91" s="1"/>
      <c r="R91" s="1"/>
      <c r="S91" s="1"/>
      <c r="T91" s="1"/>
      <c r="U91" s="1"/>
      <c r="V91" s="9"/>
      <c r="W91" s="3"/>
      <c r="X91" s="4"/>
      <c r="Y91" s="1"/>
      <c r="Z91" s="1"/>
      <c r="AA91" s="1"/>
      <c r="AB91" s="1"/>
      <c r="AC91" s="1"/>
      <c r="AD91" s="3"/>
      <c r="AE91" s="3"/>
      <c r="AF91" s="5"/>
      <c r="AG91" s="5"/>
      <c r="AH91" s="5"/>
      <c r="AI91" s="5"/>
      <c r="AJ91" s="6"/>
      <c r="AK91" s="6"/>
      <c r="AL91" s="12"/>
      <c r="AM91" s="12"/>
      <c r="AN91" s="12"/>
      <c r="AO91" s="12"/>
      <c r="AP91" s="12"/>
    </row>
    <row r="92" spans="1:42" ht="15" x14ac:dyDescent="0.25">
      <c r="A92" s="82" t="str">
        <f>TDCTRIBE!I101</f>
        <v>Alaska</v>
      </c>
      <c r="B92" s="82" t="str">
        <f>TDCTRIBE!B101</f>
        <v>AK</v>
      </c>
      <c r="C92" s="82" t="str">
        <f>TDCTRIBE!F101</f>
        <v>Iliamna</v>
      </c>
      <c r="D92" s="83">
        <f>TDCTRIBE!Y101</f>
        <v>537627.23286300001</v>
      </c>
      <c r="E92" s="83">
        <f>TDCTRIBE!Z101</f>
        <v>593892.8539060998</v>
      </c>
      <c r="F92" s="83">
        <f>TDCTRIBE!AA101</f>
        <v>670883.01826070005</v>
      </c>
      <c r="G92" s="83">
        <f>TDCTRIBE!AB101</f>
        <v>727154.03193440009</v>
      </c>
      <c r="H92" s="83">
        <f>TDCTRIBE!AC101</f>
        <v>784795.42359260004</v>
      </c>
      <c r="O92" s="9"/>
      <c r="P92" s="1"/>
      <c r="Q92" s="1"/>
      <c r="R92" s="1"/>
      <c r="S92" s="1"/>
      <c r="T92" s="1"/>
      <c r="U92" s="1"/>
      <c r="V92" s="9"/>
      <c r="W92" s="3"/>
      <c r="X92" s="4"/>
      <c r="Y92" s="1"/>
      <c r="Z92" s="1"/>
      <c r="AA92" s="1"/>
      <c r="AB92" s="1"/>
      <c r="AC92" s="1"/>
      <c r="AD92" s="3"/>
      <c r="AE92" s="3"/>
      <c r="AF92" s="5"/>
      <c r="AG92" s="5"/>
      <c r="AH92" s="5"/>
      <c r="AI92" s="5"/>
      <c r="AJ92" s="6"/>
      <c r="AK92" s="6"/>
      <c r="AL92" s="12"/>
      <c r="AM92" s="12"/>
      <c r="AN92" s="12"/>
      <c r="AO92" s="12"/>
      <c r="AP92" s="12"/>
    </row>
    <row r="93" spans="1:42" ht="15" x14ac:dyDescent="0.25">
      <c r="A93" s="82" t="str">
        <f>TDCTRIBE!I102</f>
        <v>Alaska</v>
      </c>
      <c r="B93" s="82" t="str">
        <f>TDCTRIBE!B102</f>
        <v>AK</v>
      </c>
      <c r="C93" s="82" t="str">
        <f>TDCTRIBE!F102</f>
        <v>Inalik (Diomede)</v>
      </c>
      <c r="D93" s="83">
        <f>TDCTRIBE!Y102</f>
        <v>573912.50187599997</v>
      </c>
      <c r="E93" s="83">
        <f>TDCTRIBE!Z102</f>
        <v>633906.89508719998</v>
      </c>
      <c r="F93" s="83">
        <f>TDCTRIBE!AA102</f>
        <v>715983.34034640016</v>
      </c>
      <c r="G93" s="83">
        <f>TDCTRIBE!AB102</f>
        <v>775980.51116880018</v>
      </c>
      <c r="H93" s="83">
        <f>TDCTRIBE!AC102</f>
        <v>837476.24333520012</v>
      </c>
      <c r="O93" s="9"/>
      <c r="P93" s="1"/>
      <c r="Q93" s="1"/>
      <c r="R93" s="1"/>
      <c r="S93" s="1"/>
      <c r="T93" s="1"/>
      <c r="U93" s="1"/>
      <c r="V93" s="9"/>
      <c r="W93" s="3"/>
      <c r="X93" s="4"/>
      <c r="Y93" s="1"/>
      <c r="Z93" s="1"/>
      <c r="AA93" s="1"/>
      <c r="AB93" s="1"/>
      <c r="AC93" s="1"/>
      <c r="AD93" s="3"/>
      <c r="AE93" s="3"/>
      <c r="AF93" s="5"/>
      <c r="AG93" s="5"/>
      <c r="AH93" s="5"/>
      <c r="AI93" s="5"/>
      <c r="AJ93" s="6"/>
      <c r="AK93" s="6"/>
      <c r="AL93" s="12"/>
      <c r="AM93" s="12"/>
      <c r="AN93" s="12"/>
      <c r="AO93" s="12"/>
      <c r="AP93" s="12"/>
    </row>
    <row r="94" spans="1:42" ht="15" x14ac:dyDescent="0.25">
      <c r="A94" s="82" t="str">
        <f>TDCTRIBE!I103</f>
        <v>Alaska</v>
      </c>
      <c r="B94" s="82" t="str">
        <f>TDCTRIBE!B103</f>
        <v>AK</v>
      </c>
      <c r="C94" s="82" t="str">
        <f>TDCTRIBE!F103</f>
        <v>Inupiat Community</v>
      </c>
      <c r="D94" s="83">
        <f>TDCTRIBE!Y103</f>
        <v>573912.50187599997</v>
      </c>
      <c r="E94" s="83">
        <f>TDCTRIBE!Z103</f>
        <v>633906.89508719998</v>
      </c>
      <c r="F94" s="83">
        <f>TDCTRIBE!AA103</f>
        <v>715983.34034640016</v>
      </c>
      <c r="G94" s="83">
        <f>TDCTRIBE!AB103</f>
        <v>775980.51116880018</v>
      </c>
      <c r="H94" s="83">
        <f>TDCTRIBE!AC103</f>
        <v>837476.24333520012</v>
      </c>
      <c r="O94" s="9"/>
      <c r="P94" s="1"/>
      <c r="Q94" s="1"/>
      <c r="R94" s="1"/>
      <c r="S94" s="1"/>
      <c r="T94" s="1"/>
      <c r="U94" s="1"/>
      <c r="V94" s="9"/>
      <c r="W94" s="3"/>
      <c r="X94" s="4"/>
      <c r="Y94" s="1"/>
      <c r="Z94" s="1"/>
      <c r="AA94" s="1"/>
      <c r="AB94" s="1"/>
      <c r="AC94" s="1"/>
      <c r="AD94" s="3"/>
      <c r="AE94" s="3"/>
      <c r="AF94" s="5"/>
      <c r="AG94" s="5"/>
      <c r="AH94" s="5"/>
      <c r="AI94" s="5"/>
      <c r="AJ94" s="6"/>
      <c r="AK94" s="6"/>
      <c r="AL94" s="12"/>
      <c r="AM94" s="12"/>
      <c r="AN94" s="12"/>
      <c r="AO94" s="12"/>
      <c r="AP94" s="12"/>
    </row>
    <row r="95" spans="1:42" ht="15" x14ac:dyDescent="0.25">
      <c r="A95" s="82" t="str">
        <f>TDCTRIBE!I104</f>
        <v>Alaska</v>
      </c>
      <c r="B95" s="82" t="str">
        <f>TDCTRIBE!B104</f>
        <v>AK</v>
      </c>
      <c r="C95" s="82" t="str">
        <f>TDCTRIBE!F104</f>
        <v>Ivanoff Bay</v>
      </c>
      <c r="D95" s="83">
        <f>TDCTRIBE!Y104</f>
        <v>537627.23286300001</v>
      </c>
      <c r="E95" s="83">
        <f>TDCTRIBE!Z104</f>
        <v>593892.8539060998</v>
      </c>
      <c r="F95" s="83">
        <f>TDCTRIBE!AA104</f>
        <v>670883.01826070005</v>
      </c>
      <c r="G95" s="83">
        <f>TDCTRIBE!AB104</f>
        <v>727154.03193440009</v>
      </c>
      <c r="H95" s="83">
        <f>TDCTRIBE!AC104</f>
        <v>784795.42359260004</v>
      </c>
      <c r="O95" s="9"/>
      <c r="P95" s="1"/>
      <c r="Q95" s="1"/>
      <c r="R95" s="1"/>
      <c r="S95" s="1"/>
      <c r="T95" s="1"/>
      <c r="U95" s="1"/>
      <c r="V95" s="9"/>
      <c r="W95" s="3"/>
      <c r="X95" s="4"/>
      <c r="Y95" s="1"/>
      <c r="Z95" s="1"/>
      <c r="AA95" s="1"/>
      <c r="AB95" s="1"/>
      <c r="AC95" s="1"/>
      <c r="AD95" s="3"/>
      <c r="AE95" s="3"/>
      <c r="AF95" s="5"/>
      <c r="AG95" s="5"/>
      <c r="AH95" s="5"/>
      <c r="AI95" s="5"/>
      <c r="AJ95" s="6"/>
      <c r="AK95" s="6"/>
      <c r="AL95" s="12"/>
      <c r="AM95" s="12"/>
      <c r="AN95" s="12"/>
      <c r="AO95" s="12"/>
      <c r="AP95" s="12"/>
    </row>
    <row r="96" spans="1:42" ht="15" x14ac:dyDescent="0.25">
      <c r="A96" s="82" t="str">
        <f>TDCTRIBE!I105</f>
        <v>Alaska</v>
      </c>
      <c r="B96" s="82" t="str">
        <f>TDCTRIBE!B105</f>
        <v>AK</v>
      </c>
      <c r="C96" s="82" t="str">
        <f>TDCTRIBE!F105</f>
        <v>Kaguyak</v>
      </c>
      <c r="D96" s="83">
        <f>TDCTRIBE!Y105</f>
        <v>537627.23286300001</v>
      </c>
      <c r="E96" s="83">
        <f>TDCTRIBE!Z105</f>
        <v>593892.8539060998</v>
      </c>
      <c r="F96" s="83">
        <f>TDCTRIBE!AA105</f>
        <v>670883.01826070005</v>
      </c>
      <c r="G96" s="83">
        <f>TDCTRIBE!AB105</f>
        <v>727154.03193440009</v>
      </c>
      <c r="H96" s="83">
        <f>TDCTRIBE!AC105</f>
        <v>784795.42359260004</v>
      </c>
      <c r="O96" s="9"/>
      <c r="P96" s="1"/>
      <c r="Q96" s="1"/>
      <c r="R96" s="1"/>
      <c r="S96" s="1"/>
      <c r="T96" s="1"/>
      <c r="U96" s="1"/>
      <c r="V96" s="9"/>
      <c r="W96" s="3"/>
      <c r="X96" s="4"/>
      <c r="Y96" s="1"/>
      <c r="Z96" s="1"/>
      <c r="AA96" s="1"/>
      <c r="AB96" s="1"/>
      <c r="AC96" s="1"/>
      <c r="AD96" s="3"/>
      <c r="AE96" s="3"/>
      <c r="AF96" s="5"/>
      <c r="AG96" s="5"/>
      <c r="AH96" s="5"/>
      <c r="AI96" s="5"/>
      <c r="AJ96" s="6"/>
      <c r="AK96" s="6"/>
      <c r="AL96" s="12"/>
      <c r="AM96" s="12"/>
      <c r="AN96" s="12"/>
      <c r="AO96" s="12"/>
      <c r="AP96" s="12"/>
    </row>
    <row r="97" spans="1:42" ht="15" x14ac:dyDescent="0.25">
      <c r="A97" s="82" t="str">
        <f>TDCTRIBE!I106</f>
        <v>Alaska</v>
      </c>
      <c r="B97" s="82" t="str">
        <f>TDCTRIBE!B106</f>
        <v>AK</v>
      </c>
      <c r="C97" s="82" t="str">
        <f>TDCTRIBE!F106</f>
        <v>Kake</v>
      </c>
      <c r="D97" s="83">
        <f>TDCTRIBE!Y106</f>
        <v>465666.31849500001</v>
      </c>
      <c r="E97" s="83">
        <f>TDCTRIBE!Z106</f>
        <v>514428.62433899997</v>
      </c>
      <c r="F97" s="83">
        <f>TDCTRIBE!AA106</f>
        <v>581158.19019300013</v>
      </c>
      <c r="G97" s="83">
        <f>TDCTRIBE!AB106</f>
        <v>629926.37213100016</v>
      </c>
      <c r="H97" s="83">
        <f>TDCTRIBE!AC106</f>
        <v>679867.06659900001</v>
      </c>
      <c r="O97" s="9"/>
      <c r="P97" s="1"/>
      <c r="Q97" s="1"/>
      <c r="R97" s="1"/>
      <c r="S97" s="1"/>
      <c r="T97" s="1"/>
      <c r="U97" s="1"/>
      <c r="V97" s="9"/>
      <c r="W97" s="3"/>
      <c r="X97" s="4"/>
      <c r="Y97" s="1"/>
      <c r="Z97" s="1"/>
      <c r="AA97" s="1"/>
      <c r="AB97" s="1"/>
      <c r="AC97" s="1"/>
      <c r="AD97" s="3"/>
      <c r="AE97" s="3"/>
      <c r="AF97" s="5"/>
      <c r="AG97" s="5"/>
      <c r="AH97" s="5"/>
      <c r="AI97" s="5"/>
      <c r="AJ97" s="6"/>
      <c r="AK97" s="6"/>
      <c r="AL97" s="12"/>
      <c r="AM97" s="12"/>
      <c r="AN97" s="12"/>
      <c r="AO97" s="12"/>
      <c r="AP97" s="12"/>
    </row>
    <row r="98" spans="1:42" ht="15" x14ac:dyDescent="0.25">
      <c r="A98" s="82" t="str">
        <f>TDCTRIBE!I107</f>
        <v>Alaska</v>
      </c>
      <c r="B98" s="82" t="str">
        <f>TDCTRIBE!B107</f>
        <v>AK</v>
      </c>
      <c r="C98" s="82" t="str">
        <f>TDCTRIBE!F107</f>
        <v>Kaktovik (Barter Island)</v>
      </c>
      <c r="D98" s="83">
        <f>TDCTRIBE!Y107</f>
        <v>573912.50187599997</v>
      </c>
      <c r="E98" s="83">
        <f>TDCTRIBE!Z107</f>
        <v>633906.89508719998</v>
      </c>
      <c r="F98" s="83">
        <f>TDCTRIBE!AA107</f>
        <v>715983.34034640016</v>
      </c>
      <c r="G98" s="83">
        <f>TDCTRIBE!AB107</f>
        <v>775980.51116880018</v>
      </c>
      <c r="H98" s="83">
        <f>TDCTRIBE!AC107</f>
        <v>837476.24333520012</v>
      </c>
      <c r="O98" s="9"/>
      <c r="P98" s="1"/>
      <c r="Q98" s="1"/>
      <c r="R98" s="1"/>
      <c r="S98" s="1"/>
      <c r="T98" s="1"/>
      <c r="U98" s="1"/>
      <c r="V98" s="9"/>
      <c r="W98" s="3"/>
      <c r="X98" s="4"/>
      <c r="Y98" s="1"/>
      <c r="Z98" s="1"/>
      <c r="AA98" s="1"/>
      <c r="AB98" s="1"/>
      <c r="AC98" s="1"/>
      <c r="AD98" s="3"/>
      <c r="AE98" s="3"/>
      <c r="AF98" s="5"/>
      <c r="AG98" s="5"/>
      <c r="AH98" s="5"/>
      <c r="AI98" s="5"/>
      <c r="AJ98" s="6"/>
      <c r="AK98" s="6"/>
      <c r="AL98" s="12"/>
      <c r="AM98" s="12"/>
      <c r="AN98" s="12"/>
      <c r="AO98" s="12"/>
      <c r="AP98" s="12"/>
    </row>
    <row r="99" spans="1:42" ht="15" x14ac:dyDescent="0.25">
      <c r="A99" s="82" t="str">
        <f>TDCTRIBE!I108</f>
        <v>Alaska</v>
      </c>
      <c r="B99" s="82" t="str">
        <f>TDCTRIBE!B108</f>
        <v>AK</v>
      </c>
      <c r="C99" s="82" t="str">
        <f>TDCTRIBE!F108</f>
        <v>Kalskag</v>
      </c>
      <c r="D99" s="83">
        <f>TDCTRIBE!Y108</f>
        <v>537627.23286300001</v>
      </c>
      <c r="E99" s="83">
        <f>TDCTRIBE!Z108</f>
        <v>593892.8539060998</v>
      </c>
      <c r="F99" s="83">
        <f>TDCTRIBE!AA108</f>
        <v>670883.01826070005</v>
      </c>
      <c r="G99" s="83">
        <f>TDCTRIBE!AB108</f>
        <v>727154.03193440009</v>
      </c>
      <c r="H99" s="83">
        <f>TDCTRIBE!AC108</f>
        <v>784795.42359260004</v>
      </c>
      <c r="O99" s="9"/>
      <c r="P99" s="1"/>
      <c r="Q99" s="1"/>
      <c r="R99" s="1"/>
      <c r="S99" s="1"/>
      <c r="T99" s="1"/>
      <c r="U99" s="1"/>
      <c r="V99" s="9"/>
      <c r="W99" s="3"/>
      <c r="X99" s="4"/>
      <c r="Y99" s="1"/>
      <c r="Z99" s="1"/>
      <c r="AA99" s="1"/>
      <c r="AB99" s="1"/>
      <c r="AC99" s="1"/>
      <c r="AD99" s="3"/>
      <c r="AE99" s="3"/>
      <c r="AF99" s="5"/>
      <c r="AG99" s="5"/>
      <c r="AH99" s="5"/>
      <c r="AI99" s="5"/>
      <c r="AJ99" s="6"/>
      <c r="AK99" s="6"/>
      <c r="AL99" s="12"/>
      <c r="AM99" s="12"/>
      <c r="AN99" s="12"/>
      <c r="AO99" s="12"/>
      <c r="AP99" s="12"/>
    </row>
    <row r="100" spans="1:42" ht="15" x14ac:dyDescent="0.25">
      <c r="A100" s="82" t="str">
        <f>TDCTRIBE!I109</f>
        <v>Alaska</v>
      </c>
      <c r="B100" s="82" t="str">
        <f>TDCTRIBE!B109</f>
        <v>AK</v>
      </c>
      <c r="C100" s="82" t="str">
        <f>TDCTRIBE!F109</f>
        <v>Kaltag</v>
      </c>
      <c r="D100" s="83">
        <f>TDCTRIBE!Y109</f>
        <v>537627.23286300001</v>
      </c>
      <c r="E100" s="83">
        <f>TDCTRIBE!Z109</f>
        <v>593892.8539060998</v>
      </c>
      <c r="F100" s="83">
        <f>TDCTRIBE!AA109</f>
        <v>670883.01826070005</v>
      </c>
      <c r="G100" s="83">
        <f>TDCTRIBE!AB109</f>
        <v>727154.03193440009</v>
      </c>
      <c r="H100" s="83">
        <f>TDCTRIBE!AC109</f>
        <v>784795.42359260004</v>
      </c>
      <c r="O100" s="9"/>
      <c r="P100" s="1"/>
      <c r="Q100" s="1"/>
      <c r="R100" s="1"/>
      <c r="S100" s="1"/>
      <c r="T100" s="1"/>
      <c r="U100" s="1"/>
      <c r="V100" s="9"/>
      <c r="W100" s="3"/>
      <c r="X100" s="4"/>
      <c r="Y100" s="1"/>
      <c r="Z100" s="1"/>
      <c r="AA100" s="1"/>
      <c r="AB100" s="1"/>
      <c r="AC100" s="1"/>
      <c r="AD100" s="3"/>
      <c r="AE100" s="3"/>
      <c r="AF100" s="5"/>
      <c r="AG100" s="5"/>
      <c r="AH100" s="5"/>
      <c r="AI100" s="5"/>
      <c r="AJ100" s="6"/>
      <c r="AK100" s="6"/>
      <c r="AL100" s="12"/>
      <c r="AM100" s="12"/>
      <c r="AN100" s="12"/>
      <c r="AO100" s="12"/>
      <c r="AP100" s="12"/>
    </row>
    <row r="101" spans="1:42" ht="15" x14ac:dyDescent="0.25">
      <c r="A101" s="82" t="str">
        <f>TDCTRIBE!I110</f>
        <v>Alaska</v>
      </c>
      <c r="B101" s="82" t="str">
        <f>TDCTRIBE!B110</f>
        <v>AK</v>
      </c>
      <c r="C101" s="82" t="str">
        <f>TDCTRIBE!F110</f>
        <v>Kanatak</v>
      </c>
      <c r="D101" s="83">
        <f>TDCTRIBE!Y110</f>
        <v>537627.23286300001</v>
      </c>
      <c r="E101" s="83">
        <f>TDCTRIBE!Z110</f>
        <v>593892.8539060998</v>
      </c>
      <c r="F101" s="83">
        <f>TDCTRIBE!AA110</f>
        <v>670883.01826070005</v>
      </c>
      <c r="G101" s="83">
        <f>TDCTRIBE!AB110</f>
        <v>727154.03193440009</v>
      </c>
      <c r="H101" s="83">
        <f>TDCTRIBE!AC110</f>
        <v>784795.42359260004</v>
      </c>
      <c r="O101" s="9"/>
      <c r="P101" s="1"/>
      <c r="Q101" s="1"/>
      <c r="R101" s="1"/>
      <c r="S101" s="1"/>
      <c r="T101" s="1"/>
      <c r="U101" s="1"/>
      <c r="V101" s="9"/>
      <c r="W101" s="3"/>
      <c r="X101" s="4"/>
      <c r="Y101" s="1"/>
      <c r="Z101" s="1"/>
      <c r="AA101" s="1"/>
      <c r="AB101" s="1"/>
      <c r="AC101" s="1"/>
      <c r="AD101" s="3"/>
      <c r="AE101" s="3"/>
      <c r="AF101" s="5"/>
      <c r="AG101" s="5"/>
      <c r="AH101" s="5"/>
      <c r="AI101" s="5"/>
      <c r="AJ101" s="6"/>
      <c r="AK101" s="6"/>
      <c r="AL101" s="12"/>
      <c r="AM101" s="12"/>
      <c r="AN101" s="12"/>
      <c r="AO101" s="12"/>
      <c r="AP101" s="12"/>
    </row>
    <row r="102" spans="1:42" ht="15" x14ac:dyDescent="0.25">
      <c r="A102" s="82" t="str">
        <f>TDCTRIBE!I111</f>
        <v>Alaska</v>
      </c>
      <c r="B102" s="82" t="str">
        <f>TDCTRIBE!B111</f>
        <v>AK</v>
      </c>
      <c r="C102" s="82" t="str">
        <f>TDCTRIBE!F111</f>
        <v>Karluk</v>
      </c>
      <c r="D102" s="83">
        <f>TDCTRIBE!Y111</f>
        <v>537627.23286300001</v>
      </c>
      <c r="E102" s="83">
        <f>TDCTRIBE!Z111</f>
        <v>593892.8539060998</v>
      </c>
      <c r="F102" s="83">
        <f>TDCTRIBE!AA111</f>
        <v>670883.01826070005</v>
      </c>
      <c r="G102" s="83">
        <f>TDCTRIBE!AB111</f>
        <v>727154.03193440009</v>
      </c>
      <c r="H102" s="83">
        <f>TDCTRIBE!AC111</f>
        <v>784795.42359260004</v>
      </c>
      <c r="O102" s="9"/>
      <c r="P102" s="1"/>
      <c r="Q102" s="1"/>
      <c r="R102" s="1"/>
      <c r="S102" s="1"/>
      <c r="T102" s="1"/>
      <c r="U102" s="1"/>
      <c r="V102" s="9"/>
      <c r="W102" s="3"/>
      <c r="X102" s="4"/>
      <c r="Y102" s="1"/>
      <c r="Z102" s="1"/>
      <c r="AA102" s="1"/>
      <c r="AB102" s="1"/>
      <c r="AC102" s="1"/>
      <c r="AD102" s="3"/>
      <c r="AE102" s="3"/>
      <c r="AF102" s="5"/>
      <c r="AG102" s="5"/>
      <c r="AH102" s="5"/>
      <c r="AI102" s="5"/>
      <c r="AJ102" s="6"/>
      <c r="AK102" s="6"/>
      <c r="AL102" s="12"/>
      <c r="AM102" s="12"/>
      <c r="AN102" s="12"/>
      <c r="AO102" s="12"/>
      <c r="AP102" s="12"/>
    </row>
    <row r="103" spans="1:42" ht="15" x14ac:dyDescent="0.25">
      <c r="A103" s="82" t="str">
        <f>TDCTRIBE!I112</f>
        <v>Alaska</v>
      </c>
      <c r="B103" s="82" t="str">
        <f>TDCTRIBE!B112</f>
        <v>AK</v>
      </c>
      <c r="C103" s="82" t="str">
        <f>TDCTRIBE!F112</f>
        <v>Kasaan</v>
      </c>
      <c r="D103" s="83">
        <f>TDCTRIBE!Y112</f>
        <v>465666.31849500001</v>
      </c>
      <c r="E103" s="83">
        <f>TDCTRIBE!Z112</f>
        <v>514428.62433899997</v>
      </c>
      <c r="F103" s="83">
        <f>TDCTRIBE!AA112</f>
        <v>581158.19019300013</v>
      </c>
      <c r="G103" s="83">
        <f>TDCTRIBE!AB112</f>
        <v>629926.37213100016</v>
      </c>
      <c r="H103" s="83">
        <f>TDCTRIBE!AC112</f>
        <v>679867.06659900001</v>
      </c>
      <c r="O103" s="9"/>
      <c r="P103" s="1"/>
      <c r="Q103" s="1"/>
      <c r="R103" s="1"/>
      <c r="S103" s="1"/>
      <c r="T103" s="1"/>
      <c r="U103" s="1"/>
      <c r="V103" s="9"/>
      <c r="W103" s="3"/>
      <c r="X103" s="4"/>
      <c r="Y103" s="1"/>
      <c r="Z103" s="1"/>
      <c r="AA103" s="1"/>
      <c r="AB103" s="1"/>
      <c r="AC103" s="1"/>
      <c r="AD103" s="3"/>
      <c r="AE103" s="3"/>
      <c r="AF103" s="5"/>
      <c r="AG103" s="5"/>
      <c r="AH103" s="5"/>
      <c r="AI103" s="5"/>
      <c r="AJ103" s="6"/>
      <c r="AK103" s="6"/>
      <c r="AL103" s="12"/>
      <c r="AM103" s="12"/>
      <c r="AN103" s="12"/>
      <c r="AO103" s="12"/>
      <c r="AP103" s="12"/>
    </row>
    <row r="104" spans="1:42" ht="15" x14ac:dyDescent="0.25">
      <c r="A104" s="82" t="str">
        <f>TDCTRIBE!I113</f>
        <v>Alaska</v>
      </c>
      <c r="B104" s="82" t="str">
        <f>TDCTRIBE!B113</f>
        <v>AK</v>
      </c>
      <c r="C104" s="82" t="str">
        <f>TDCTRIBE!F113</f>
        <v>Kasigluk</v>
      </c>
      <c r="D104" s="83">
        <f>TDCTRIBE!Y113</f>
        <v>537627.23286300001</v>
      </c>
      <c r="E104" s="83">
        <f>TDCTRIBE!Z113</f>
        <v>593892.8539060998</v>
      </c>
      <c r="F104" s="83">
        <f>TDCTRIBE!AA113</f>
        <v>670883.01826070005</v>
      </c>
      <c r="G104" s="83">
        <f>TDCTRIBE!AB113</f>
        <v>727154.03193440009</v>
      </c>
      <c r="H104" s="83">
        <f>TDCTRIBE!AC113</f>
        <v>784795.42359260004</v>
      </c>
      <c r="O104" s="9"/>
      <c r="P104" s="1"/>
      <c r="Q104" s="1"/>
      <c r="R104" s="1"/>
      <c r="S104" s="1"/>
      <c r="T104" s="1"/>
      <c r="U104" s="1"/>
      <c r="V104" s="9"/>
      <c r="W104" s="3"/>
      <c r="X104" s="4"/>
      <c r="Y104" s="1"/>
      <c r="Z104" s="1"/>
      <c r="AA104" s="1"/>
      <c r="AB104" s="1"/>
      <c r="AC104" s="1"/>
      <c r="AD104" s="3"/>
      <c r="AE104" s="3"/>
      <c r="AF104" s="5"/>
      <c r="AG104" s="5"/>
      <c r="AH104" s="5"/>
      <c r="AI104" s="5"/>
      <c r="AJ104" s="6"/>
      <c r="AK104" s="6"/>
      <c r="AL104" s="12"/>
      <c r="AM104" s="12"/>
      <c r="AN104" s="12"/>
      <c r="AO104" s="12"/>
      <c r="AP104" s="12"/>
    </row>
    <row r="105" spans="1:42" ht="15" x14ac:dyDescent="0.25">
      <c r="A105" s="82" t="str">
        <f>TDCTRIBE!I114</f>
        <v>Alaska</v>
      </c>
      <c r="B105" s="82" t="str">
        <f>TDCTRIBE!B114</f>
        <v>AK</v>
      </c>
      <c r="C105" s="82" t="str">
        <f>TDCTRIBE!F114</f>
        <v>Kenaitze</v>
      </c>
      <c r="D105" s="83">
        <f>TDCTRIBE!Y114</f>
        <v>465666.31849500001</v>
      </c>
      <c r="E105" s="83">
        <f>TDCTRIBE!Z114</f>
        <v>514428.62433899997</v>
      </c>
      <c r="F105" s="83">
        <f>TDCTRIBE!AA114</f>
        <v>581158.19019300013</v>
      </c>
      <c r="G105" s="83">
        <f>TDCTRIBE!AB114</f>
        <v>629926.37213100016</v>
      </c>
      <c r="H105" s="83">
        <f>TDCTRIBE!AC114</f>
        <v>679867.06659900001</v>
      </c>
      <c r="O105" s="9"/>
      <c r="P105" s="1"/>
      <c r="Q105" s="1"/>
      <c r="R105" s="1"/>
      <c r="S105" s="1"/>
      <c r="T105" s="1"/>
      <c r="U105" s="1"/>
      <c r="V105" s="9"/>
      <c r="W105" s="3"/>
      <c r="X105" s="4"/>
      <c r="Y105" s="1"/>
      <c r="Z105" s="1"/>
      <c r="AA105" s="1"/>
      <c r="AB105" s="1"/>
      <c r="AC105" s="1"/>
      <c r="AD105" s="3"/>
      <c r="AE105" s="3"/>
      <c r="AF105" s="5"/>
      <c r="AG105" s="5"/>
      <c r="AH105" s="5"/>
      <c r="AI105" s="5"/>
      <c r="AJ105" s="6"/>
      <c r="AK105" s="6"/>
      <c r="AL105" s="12"/>
      <c r="AM105" s="12"/>
      <c r="AN105" s="12"/>
      <c r="AO105" s="12"/>
      <c r="AP105" s="12"/>
    </row>
    <row r="106" spans="1:42" ht="15" x14ac:dyDescent="0.25">
      <c r="A106" s="82" t="str">
        <f>TDCTRIBE!I115</f>
        <v>Alaska</v>
      </c>
      <c r="B106" s="82" t="str">
        <f>TDCTRIBE!B115</f>
        <v>AK</v>
      </c>
      <c r="C106" s="82" t="str">
        <f>TDCTRIBE!F115</f>
        <v>Ketchikan</v>
      </c>
      <c r="D106" s="83">
        <f>TDCTRIBE!Y115</f>
        <v>465666.31849500001</v>
      </c>
      <c r="E106" s="83">
        <f>TDCTRIBE!Z115</f>
        <v>514428.62433899997</v>
      </c>
      <c r="F106" s="83">
        <f>TDCTRIBE!AA115</f>
        <v>581158.19019300013</v>
      </c>
      <c r="G106" s="83">
        <f>TDCTRIBE!AB115</f>
        <v>629926.37213100016</v>
      </c>
      <c r="H106" s="83">
        <f>TDCTRIBE!AC115</f>
        <v>679867.06659900001</v>
      </c>
      <c r="O106" s="9"/>
      <c r="P106" s="1"/>
      <c r="Q106" s="1"/>
      <c r="R106" s="1"/>
      <c r="S106" s="1"/>
      <c r="T106" s="1"/>
      <c r="U106" s="1"/>
      <c r="V106" s="9"/>
      <c r="W106" s="3"/>
      <c r="X106" s="4"/>
      <c r="Y106" s="1"/>
      <c r="Z106" s="1"/>
      <c r="AA106" s="1"/>
      <c r="AB106" s="1"/>
      <c r="AC106" s="1"/>
      <c r="AD106" s="3"/>
      <c r="AE106" s="3"/>
      <c r="AF106" s="5"/>
      <c r="AG106" s="5"/>
      <c r="AH106" s="5"/>
      <c r="AI106" s="5"/>
      <c r="AJ106" s="6"/>
      <c r="AK106" s="6"/>
      <c r="AL106" s="12"/>
      <c r="AM106" s="12"/>
      <c r="AN106" s="12"/>
      <c r="AO106" s="12"/>
      <c r="AP106" s="12"/>
    </row>
    <row r="107" spans="1:42" ht="15" x14ac:dyDescent="0.25">
      <c r="A107" s="82" t="str">
        <f>TDCTRIBE!I116</f>
        <v>Alaska</v>
      </c>
      <c r="B107" s="82" t="str">
        <f>TDCTRIBE!B116</f>
        <v>AK</v>
      </c>
      <c r="C107" s="82" t="str">
        <f>TDCTRIBE!F116</f>
        <v>Kiana</v>
      </c>
      <c r="D107" s="83">
        <f>TDCTRIBE!Y116</f>
        <v>537627.23286300001</v>
      </c>
      <c r="E107" s="83">
        <f>TDCTRIBE!Z116</f>
        <v>593892.8539060998</v>
      </c>
      <c r="F107" s="83">
        <f>TDCTRIBE!AA116</f>
        <v>670883.01826070005</v>
      </c>
      <c r="G107" s="83">
        <f>TDCTRIBE!AB116</f>
        <v>727154.03193440009</v>
      </c>
      <c r="H107" s="83">
        <f>TDCTRIBE!AC116</f>
        <v>784795.42359260004</v>
      </c>
      <c r="O107" s="9"/>
      <c r="P107" s="1"/>
      <c r="Q107" s="1"/>
      <c r="R107" s="1"/>
      <c r="S107" s="1"/>
      <c r="T107" s="1"/>
      <c r="U107" s="1"/>
      <c r="V107" s="9"/>
      <c r="W107" s="3"/>
      <c r="X107" s="4"/>
      <c r="Y107" s="1"/>
      <c r="Z107" s="1"/>
      <c r="AA107" s="1"/>
      <c r="AB107" s="1"/>
      <c r="AC107" s="1"/>
      <c r="AD107" s="3"/>
      <c r="AE107" s="3"/>
      <c r="AF107" s="5"/>
      <c r="AG107" s="5"/>
      <c r="AH107" s="5"/>
      <c r="AI107" s="5"/>
      <c r="AJ107" s="6"/>
      <c r="AK107" s="6"/>
      <c r="AL107" s="12"/>
      <c r="AM107" s="12"/>
      <c r="AN107" s="12"/>
      <c r="AO107" s="12"/>
      <c r="AP107" s="12"/>
    </row>
    <row r="108" spans="1:42" ht="15" x14ac:dyDescent="0.25">
      <c r="A108" s="82" t="str">
        <f>TDCTRIBE!I117</f>
        <v>Alaska</v>
      </c>
      <c r="B108" s="82" t="str">
        <f>TDCTRIBE!B117</f>
        <v>AK</v>
      </c>
      <c r="C108" s="82" t="str">
        <f>TDCTRIBE!F117</f>
        <v>King Cove</v>
      </c>
      <c r="D108" s="83">
        <f>TDCTRIBE!Y117</f>
        <v>537627.23286300001</v>
      </c>
      <c r="E108" s="83">
        <f>TDCTRIBE!Z117</f>
        <v>593892.8539060998</v>
      </c>
      <c r="F108" s="83">
        <f>TDCTRIBE!AA117</f>
        <v>670883.01826070005</v>
      </c>
      <c r="G108" s="83">
        <f>TDCTRIBE!AB117</f>
        <v>727154.03193440009</v>
      </c>
      <c r="H108" s="83">
        <f>TDCTRIBE!AC117</f>
        <v>784795.42359260004</v>
      </c>
      <c r="O108" s="9"/>
      <c r="P108" s="1"/>
      <c r="Q108" s="1"/>
      <c r="R108" s="1"/>
      <c r="S108" s="1"/>
      <c r="T108" s="1"/>
      <c r="U108" s="1"/>
      <c r="V108" s="9"/>
      <c r="W108" s="3"/>
      <c r="X108" s="4"/>
      <c r="Y108" s="1"/>
      <c r="Z108" s="1"/>
      <c r="AA108" s="1"/>
      <c r="AB108" s="1"/>
      <c r="AC108" s="1"/>
      <c r="AD108" s="3"/>
      <c r="AE108" s="3"/>
      <c r="AF108" s="5"/>
      <c r="AG108" s="5"/>
      <c r="AH108" s="5"/>
      <c r="AI108" s="5"/>
      <c r="AJ108" s="6"/>
      <c r="AK108" s="6"/>
      <c r="AL108" s="12"/>
      <c r="AM108" s="12"/>
      <c r="AN108" s="12"/>
      <c r="AO108" s="12"/>
      <c r="AP108" s="12"/>
    </row>
    <row r="109" spans="1:42" ht="15" x14ac:dyDescent="0.25">
      <c r="A109" s="82" t="str">
        <f>TDCTRIBE!I118</f>
        <v>Alaska</v>
      </c>
      <c r="B109" s="82" t="str">
        <f>TDCTRIBE!B118</f>
        <v>AK</v>
      </c>
      <c r="C109" s="82" t="str">
        <f>TDCTRIBE!F118</f>
        <v>King Island</v>
      </c>
      <c r="D109" s="83">
        <f>TDCTRIBE!Y118</f>
        <v>537627.23286300001</v>
      </c>
      <c r="E109" s="83">
        <f>TDCTRIBE!Z118</f>
        <v>593892.8539060998</v>
      </c>
      <c r="F109" s="83">
        <f>TDCTRIBE!AA118</f>
        <v>670883.01826070005</v>
      </c>
      <c r="G109" s="83">
        <f>TDCTRIBE!AB118</f>
        <v>727154.03193440009</v>
      </c>
      <c r="H109" s="83">
        <f>TDCTRIBE!AC118</f>
        <v>784795.42359260004</v>
      </c>
      <c r="O109" s="9"/>
      <c r="P109" s="1"/>
      <c r="Q109" s="1"/>
      <c r="R109" s="1"/>
      <c r="S109" s="1"/>
      <c r="T109" s="1"/>
      <c r="U109" s="1"/>
      <c r="V109" s="9"/>
      <c r="W109" s="3"/>
      <c r="X109" s="4"/>
      <c r="Y109" s="1"/>
      <c r="Z109" s="1"/>
      <c r="AA109" s="1"/>
      <c r="AB109" s="1"/>
      <c r="AC109" s="1"/>
      <c r="AD109" s="3"/>
      <c r="AE109" s="3"/>
      <c r="AF109" s="5"/>
      <c r="AG109" s="5"/>
      <c r="AH109" s="5"/>
      <c r="AI109" s="5"/>
      <c r="AJ109" s="6"/>
      <c r="AK109" s="6"/>
      <c r="AL109" s="12"/>
      <c r="AM109" s="12"/>
      <c r="AN109" s="12"/>
      <c r="AO109" s="12"/>
      <c r="AP109" s="12"/>
    </row>
    <row r="110" spans="1:42" ht="15" x14ac:dyDescent="0.25">
      <c r="A110" s="82" t="str">
        <f>TDCTRIBE!I119</f>
        <v>Alaska</v>
      </c>
      <c r="B110" s="82" t="str">
        <f>TDCTRIBE!B119</f>
        <v>AK</v>
      </c>
      <c r="C110" s="82" t="str">
        <f>TDCTRIBE!F119</f>
        <v>King Salmon</v>
      </c>
      <c r="D110" s="83">
        <f>TDCTRIBE!Y119</f>
        <v>537627.23286300001</v>
      </c>
      <c r="E110" s="83">
        <f>TDCTRIBE!Z119</f>
        <v>593892.8539060998</v>
      </c>
      <c r="F110" s="83">
        <f>TDCTRIBE!AA119</f>
        <v>670883.01826070005</v>
      </c>
      <c r="G110" s="83">
        <f>TDCTRIBE!AB119</f>
        <v>727154.03193440009</v>
      </c>
      <c r="H110" s="83">
        <f>TDCTRIBE!AC119</f>
        <v>784795.42359260004</v>
      </c>
      <c r="O110" s="9"/>
      <c r="P110" s="1"/>
      <c r="Q110" s="1"/>
      <c r="R110" s="1"/>
      <c r="S110" s="1"/>
      <c r="T110" s="1"/>
      <c r="U110" s="1"/>
      <c r="V110" s="9"/>
      <c r="W110" s="3"/>
      <c r="X110" s="4"/>
      <c r="Y110" s="1"/>
      <c r="Z110" s="1"/>
      <c r="AA110" s="1"/>
      <c r="AB110" s="1"/>
      <c r="AC110" s="1"/>
      <c r="AD110" s="3"/>
      <c r="AE110" s="3"/>
      <c r="AF110" s="5"/>
      <c r="AG110" s="5"/>
      <c r="AH110" s="5"/>
      <c r="AI110" s="5"/>
      <c r="AJ110" s="6"/>
      <c r="AK110" s="6"/>
      <c r="AL110" s="12"/>
      <c r="AM110" s="12"/>
      <c r="AN110" s="12"/>
      <c r="AO110" s="12"/>
      <c r="AP110" s="12"/>
    </row>
    <row r="111" spans="1:42" ht="15" x14ac:dyDescent="0.25">
      <c r="A111" s="82" t="str">
        <f>TDCTRIBE!I120</f>
        <v>Alaska</v>
      </c>
      <c r="B111" s="82" t="str">
        <f>TDCTRIBE!B120</f>
        <v>AK</v>
      </c>
      <c r="C111" s="82" t="str">
        <f>TDCTRIBE!F120</f>
        <v>Kipnuk</v>
      </c>
      <c r="D111" s="83">
        <f>TDCTRIBE!Y120</f>
        <v>537627.23286300001</v>
      </c>
      <c r="E111" s="83">
        <f>TDCTRIBE!Z120</f>
        <v>593892.8539060998</v>
      </c>
      <c r="F111" s="83">
        <f>TDCTRIBE!AA120</f>
        <v>670883.01826070005</v>
      </c>
      <c r="G111" s="83">
        <f>TDCTRIBE!AB120</f>
        <v>727154.03193440009</v>
      </c>
      <c r="H111" s="83">
        <f>TDCTRIBE!AC120</f>
        <v>784795.42359260004</v>
      </c>
      <c r="O111" s="9"/>
      <c r="P111" s="1"/>
      <c r="Q111" s="1"/>
      <c r="R111" s="1"/>
      <c r="S111" s="1"/>
      <c r="T111" s="1"/>
      <c r="U111" s="1"/>
      <c r="V111" s="9"/>
      <c r="W111" s="3"/>
      <c r="X111" s="4"/>
      <c r="Y111" s="1"/>
      <c r="Z111" s="1"/>
      <c r="AA111" s="1"/>
      <c r="AB111" s="1"/>
      <c r="AC111" s="1"/>
      <c r="AD111" s="3"/>
      <c r="AE111" s="3"/>
      <c r="AF111" s="5"/>
      <c r="AG111" s="5"/>
      <c r="AH111" s="5"/>
      <c r="AI111" s="5"/>
      <c r="AJ111" s="6"/>
      <c r="AK111" s="6"/>
      <c r="AL111" s="12"/>
      <c r="AM111" s="12"/>
      <c r="AN111" s="12"/>
      <c r="AO111" s="12"/>
      <c r="AP111" s="12"/>
    </row>
    <row r="112" spans="1:42" ht="15" x14ac:dyDescent="0.25">
      <c r="A112" s="82" t="str">
        <f>TDCTRIBE!I121</f>
        <v>Alaska</v>
      </c>
      <c r="B112" s="82" t="str">
        <f>TDCTRIBE!B121</f>
        <v>AK</v>
      </c>
      <c r="C112" s="82" t="str">
        <f>TDCTRIBE!F121</f>
        <v>Kivalina</v>
      </c>
      <c r="D112" s="83">
        <f>TDCTRIBE!Y121</f>
        <v>537627.23286300001</v>
      </c>
      <c r="E112" s="83">
        <f>TDCTRIBE!Z121</f>
        <v>593892.8539060998</v>
      </c>
      <c r="F112" s="83">
        <f>TDCTRIBE!AA121</f>
        <v>670883.01826070005</v>
      </c>
      <c r="G112" s="83">
        <f>TDCTRIBE!AB121</f>
        <v>727154.03193440009</v>
      </c>
      <c r="H112" s="83">
        <f>TDCTRIBE!AC121</f>
        <v>784795.42359260004</v>
      </c>
      <c r="O112" s="9"/>
      <c r="P112" s="1"/>
      <c r="Q112" s="1"/>
      <c r="R112" s="1"/>
      <c r="S112" s="1"/>
      <c r="T112" s="1"/>
      <c r="U112" s="1"/>
      <c r="V112" s="9"/>
      <c r="W112" s="3"/>
      <c r="X112" s="4"/>
      <c r="Y112" s="1"/>
      <c r="Z112" s="1"/>
      <c r="AA112" s="1"/>
      <c r="AB112" s="1"/>
      <c r="AC112" s="1"/>
      <c r="AD112" s="3"/>
      <c r="AE112" s="3"/>
      <c r="AF112" s="5"/>
      <c r="AG112" s="5"/>
      <c r="AH112" s="5"/>
      <c r="AI112" s="5"/>
      <c r="AJ112" s="6"/>
      <c r="AK112" s="6"/>
      <c r="AL112" s="12"/>
      <c r="AM112" s="12"/>
      <c r="AN112" s="12"/>
      <c r="AO112" s="12"/>
      <c r="AP112" s="12"/>
    </row>
    <row r="113" spans="1:42" ht="15" x14ac:dyDescent="0.25">
      <c r="A113" s="82" t="str">
        <f>TDCTRIBE!I122</f>
        <v>Alaska</v>
      </c>
      <c r="B113" s="82" t="str">
        <f>TDCTRIBE!B122</f>
        <v>AK</v>
      </c>
      <c r="C113" s="82" t="str">
        <f>TDCTRIBE!F122</f>
        <v>Klawock</v>
      </c>
      <c r="D113" s="83">
        <f>TDCTRIBE!Y122</f>
        <v>465666.31849500001</v>
      </c>
      <c r="E113" s="83">
        <f>TDCTRIBE!Z122</f>
        <v>514428.62433899997</v>
      </c>
      <c r="F113" s="83">
        <f>TDCTRIBE!AA122</f>
        <v>581158.19019300013</v>
      </c>
      <c r="G113" s="83">
        <f>TDCTRIBE!AB122</f>
        <v>629926.37213100016</v>
      </c>
      <c r="H113" s="83">
        <f>TDCTRIBE!AC122</f>
        <v>679867.06659900001</v>
      </c>
      <c r="O113" s="9"/>
      <c r="P113" s="1"/>
      <c r="Q113" s="1"/>
      <c r="R113" s="1"/>
      <c r="S113" s="1"/>
      <c r="T113" s="1"/>
      <c r="U113" s="1"/>
      <c r="V113" s="9"/>
      <c r="W113" s="3"/>
      <c r="X113" s="4"/>
      <c r="Y113" s="1"/>
      <c r="Z113" s="1"/>
      <c r="AA113" s="1"/>
      <c r="AB113" s="1"/>
      <c r="AC113" s="1"/>
      <c r="AD113" s="3"/>
      <c r="AE113" s="3"/>
      <c r="AF113" s="5"/>
      <c r="AG113" s="5"/>
      <c r="AH113" s="5"/>
      <c r="AI113" s="5"/>
      <c r="AJ113" s="6"/>
      <c r="AK113" s="6"/>
      <c r="AL113" s="12"/>
      <c r="AM113" s="12"/>
      <c r="AN113" s="12"/>
      <c r="AO113" s="12"/>
      <c r="AP113" s="12"/>
    </row>
    <row r="114" spans="1:42" ht="15" x14ac:dyDescent="0.25">
      <c r="A114" s="82" t="str">
        <f>TDCTRIBE!I123</f>
        <v>Alaska</v>
      </c>
      <c r="B114" s="82" t="str">
        <f>TDCTRIBE!B123</f>
        <v>AK</v>
      </c>
      <c r="C114" s="82" t="str">
        <f>TDCTRIBE!F123</f>
        <v>Kluti Kaah (Copper Center)</v>
      </c>
      <c r="D114" s="83">
        <f>TDCTRIBE!Y123</f>
        <v>465666.31849500001</v>
      </c>
      <c r="E114" s="83">
        <f>TDCTRIBE!Z123</f>
        <v>514428.62433899997</v>
      </c>
      <c r="F114" s="83">
        <f>TDCTRIBE!AA123</f>
        <v>581158.19019300013</v>
      </c>
      <c r="G114" s="83">
        <f>TDCTRIBE!AB123</f>
        <v>629926.37213100016</v>
      </c>
      <c r="H114" s="83">
        <f>TDCTRIBE!AC123</f>
        <v>679867.06659900001</v>
      </c>
      <c r="O114" s="9"/>
      <c r="P114" s="1"/>
      <c r="Q114" s="1"/>
      <c r="R114" s="1"/>
      <c r="S114" s="1"/>
      <c r="T114" s="1"/>
      <c r="U114" s="1"/>
      <c r="V114" s="9"/>
      <c r="W114" s="3"/>
      <c r="X114" s="4"/>
      <c r="Y114" s="1"/>
      <c r="Z114" s="1"/>
      <c r="AA114" s="1"/>
      <c r="AB114" s="1"/>
      <c r="AC114" s="1"/>
      <c r="AD114" s="3"/>
      <c r="AE114" s="3"/>
      <c r="AF114" s="5"/>
      <c r="AG114" s="5"/>
      <c r="AH114" s="5"/>
      <c r="AI114" s="5"/>
      <c r="AJ114" s="6"/>
      <c r="AK114" s="6"/>
      <c r="AL114" s="12"/>
      <c r="AM114" s="12"/>
      <c r="AN114" s="12"/>
      <c r="AO114" s="12"/>
      <c r="AP114" s="12"/>
    </row>
    <row r="115" spans="1:42" ht="15" x14ac:dyDescent="0.25">
      <c r="A115" s="82" t="str">
        <f>TDCTRIBE!I124</f>
        <v>Alaska</v>
      </c>
      <c r="B115" s="82" t="str">
        <f>TDCTRIBE!B124</f>
        <v>AK</v>
      </c>
      <c r="C115" s="82" t="str">
        <f>TDCTRIBE!F124</f>
        <v>Knik</v>
      </c>
      <c r="D115" s="83">
        <f>TDCTRIBE!Y124</f>
        <v>465666.31849500001</v>
      </c>
      <c r="E115" s="83">
        <f>TDCTRIBE!Z124</f>
        <v>514428.62433899997</v>
      </c>
      <c r="F115" s="83">
        <f>TDCTRIBE!AA124</f>
        <v>581158.19019300013</v>
      </c>
      <c r="G115" s="83">
        <f>TDCTRIBE!AB124</f>
        <v>629926.37213100016</v>
      </c>
      <c r="H115" s="83">
        <f>TDCTRIBE!AC124</f>
        <v>679867.06659900001</v>
      </c>
      <c r="O115" s="9"/>
      <c r="P115" s="1"/>
      <c r="Q115" s="1"/>
      <c r="R115" s="1"/>
      <c r="S115" s="1"/>
      <c r="T115" s="1"/>
      <c r="U115" s="1"/>
      <c r="V115" s="9"/>
      <c r="W115" s="3"/>
      <c r="X115" s="4"/>
      <c r="Y115" s="1"/>
      <c r="Z115" s="1"/>
      <c r="AA115" s="1"/>
      <c r="AB115" s="1"/>
      <c r="AC115" s="1"/>
      <c r="AD115" s="3"/>
      <c r="AE115" s="3"/>
      <c r="AF115" s="5"/>
      <c r="AG115" s="5"/>
      <c r="AH115" s="5"/>
      <c r="AI115" s="5"/>
      <c r="AJ115" s="6"/>
      <c r="AK115" s="6"/>
      <c r="AL115" s="12"/>
      <c r="AM115" s="12"/>
      <c r="AN115" s="12"/>
      <c r="AO115" s="12"/>
      <c r="AP115" s="12"/>
    </row>
    <row r="116" spans="1:42" ht="15" x14ac:dyDescent="0.25">
      <c r="A116" s="82" t="str">
        <f>TDCTRIBE!I125</f>
        <v>Alaska</v>
      </c>
      <c r="B116" s="82" t="str">
        <f>TDCTRIBE!B125</f>
        <v>AK</v>
      </c>
      <c r="C116" s="82" t="str">
        <f>TDCTRIBE!F125</f>
        <v>Kobuk</v>
      </c>
      <c r="D116" s="83">
        <f>TDCTRIBE!Y125</f>
        <v>573912.50187599997</v>
      </c>
      <c r="E116" s="83">
        <f>TDCTRIBE!Z125</f>
        <v>633906.89508719998</v>
      </c>
      <c r="F116" s="83">
        <f>TDCTRIBE!AA125</f>
        <v>715983.34034640016</v>
      </c>
      <c r="G116" s="83">
        <f>TDCTRIBE!AB125</f>
        <v>775980.51116880018</v>
      </c>
      <c r="H116" s="83">
        <f>TDCTRIBE!AC125</f>
        <v>837476.24333520012</v>
      </c>
      <c r="O116" s="9"/>
      <c r="P116" s="1"/>
      <c r="Q116" s="1"/>
      <c r="R116" s="1"/>
      <c r="S116" s="1"/>
      <c r="T116" s="1"/>
      <c r="U116" s="1"/>
      <c r="V116" s="9"/>
      <c r="W116" s="3"/>
      <c r="X116" s="4"/>
      <c r="Y116" s="1"/>
      <c r="Z116" s="1"/>
      <c r="AA116" s="1"/>
      <c r="AB116" s="1"/>
      <c r="AC116" s="1"/>
      <c r="AD116" s="3"/>
      <c r="AE116" s="3"/>
      <c r="AF116" s="5"/>
      <c r="AG116" s="5"/>
      <c r="AH116" s="5"/>
      <c r="AI116" s="5"/>
      <c r="AJ116" s="6"/>
      <c r="AK116" s="6"/>
      <c r="AL116" s="12"/>
      <c r="AM116" s="12"/>
      <c r="AN116" s="12"/>
      <c r="AO116" s="12"/>
      <c r="AP116" s="12"/>
    </row>
    <row r="117" spans="1:42" ht="15" x14ac:dyDescent="0.25">
      <c r="A117" s="82" t="str">
        <f>TDCTRIBE!I126</f>
        <v>Alaska</v>
      </c>
      <c r="B117" s="82" t="str">
        <f>TDCTRIBE!B126</f>
        <v>AK</v>
      </c>
      <c r="C117" s="82" t="str">
        <f>TDCTRIBE!F126</f>
        <v>Kokhanok</v>
      </c>
      <c r="D117" s="83">
        <f>TDCTRIBE!Y126</f>
        <v>537627.23286300001</v>
      </c>
      <c r="E117" s="83">
        <f>TDCTRIBE!Z126</f>
        <v>593892.8539060998</v>
      </c>
      <c r="F117" s="83">
        <f>TDCTRIBE!AA126</f>
        <v>670883.01826070005</v>
      </c>
      <c r="G117" s="83">
        <f>TDCTRIBE!AB126</f>
        <v>727154.03193440009</v>
      </c>
      <c r="H117" s="83">
        <f>TDCTRIBE!AC126</f>
        <v>784795.42359260004</v>
      </c>
      <c r="O117" s="9"/>
      <c r="P117" s="1"/>
      <c r="Q117" s="1"/>
      <c r="R117" s="1"/>
      <c r="S117" s="1"/>
      <c r="T117" s="1"/>
      <c r="U117" s="1"/>
      <c r="V117" s="9"/>
      <c r="W117" s="3"/>
      <c r="X117" s="4"/>
      <c r="Y117" s="1"/>
      <c r="Z117" s="1"/>
      <c r="AA117" s="1"/>
      <c r="AB117" s="1"/>
      <c r="AC117" s="1"/>
      <c r="AD117" s="3"/>
      <c r="AE117" s="3"/>
      <c r="AF117" s="5"/>
      <c r="AG117" s="5"/>
      <c r="AH117" s="5"/>
      <c r="AI117" s="5"/>
      <c r="AJ117" s="6"/>
      <c r="AK117" s="6"/>
      <c r="AL117" s="12"/>
      <c r="AM117" s="12"/>
      <c r="AN117" s="12"/>
      <c r="AO117" s="12"/>
      <c r="AP117" s="12"/>
    </row>
    <row r="118" spans="1:42" ht="15" x14ac:dyDescent="0.25">
      <c r="A118" s="82" t="str">
        <f>TDCTRIBE!I127</f>
        <v>Alaska</v>
      </c>
      <c r="B118" s="82" t="str">
        <f>TDCTRIBE!B127</f>
        <v>AK</v>
      </c>
      <c r="C118" s="82" t="str">
        <f>TDCTRIBE!F127</f>
        <v>Koliganek</v>
      </c>
      <c r="D118" s="83">
        <f>TDCTRIBE!Y127</f>
        <v>573912.50187599997</v>
      </c>
      <c r="E118" s="83">
        <f>TDCTRIBE!Z127</f>
        <v>633906.89508719998</v>
      </c>
      <c r="F118" s="83">
        <f>TDCTRIBE!AA127</f>
        <v>715983.34034640016</v>
      </c>
      <c r="G118" s="83">
        <f>TDCTRIBE!AB127</f>
        <v>775980.51116880018</v>
      </c>
      <c r="H118" s="83">
        <f>TDCTRIBE!AC127</f>
        <v>837476.24333520012</v>
      </c>
      <c r="O118" s="9"/>
      <c r="P118" s="1"/>
      <c r="Q118" s="1"/>
      <c r="R118" s="1"/>
      <c r="S118" s="1"/>
      <c r="T118" s="1"/>
      <c r="U118" s="1"/>
      <c r="V118" s="9"/>
      <c r="W118" s="3"/>
      <c r="X118" s="4"/>
      <c r="Y118" s="1"/>
      <c r="Z118" s="1"/>
      <c r="AA118" s="1"/>
      <c r="AB118" s="1"/>
      <c r="AC118" s="1"/>
      <c r="AD118" s="3"/>
      <c r="AE118" s="3"/>
      <c r="AF118" s="5"/>
      <c r="AG118" s="5"/>
      <c r="AH118" s="5"/>
      <c r="AI118" s="5"/>
      <c r="AJ118" s="6"/>
      <c r="AK118" s="6"/>
      <c r="AL118" s="12"/>
      <c r="AM118" s="12"/>
      <c r="AN118" s="12"/>
      <c r="AO118" s="12"/>
      <c r="AP118" s="12"/>
    </row>
    <row r="119" spans="1:42" ht="15" x14ac:dyDescent="0.25">
      <c r="A119" s="82" t="str">
        <f>TDCTRIBE!I128</f>
        <v>Alaska</v>
      </c>
      <c r="B119" s="82" t="str">
        <f>TDCTRIBE!B128</f>
        <v>AK</v>
      </c>
      <c r="C119" s="82" t="str">
        <f>TDCTRIBE!F128</f>
        <v>Kongiganak</v>
      </c>
      <c r="D119" s="83">
        <f>TDCTRIBE!Y128</f>
        <v>537627.23286300001</v>
      </c>
      <c r="E119" s="83">
        <f>TDCTRIBE!Z128</f>
        <v>593892.8539060998</v>
      </c>
      <c r="F119" s="83">
        <f>TDCTRIBE!AA128</f>
        <v>670883.01826070005</v>
      </c>
      <c r="G119" s="83">
        <f>TDCTRIBE!AB128</f>
        <v>727154.03193440009</v>
      </c>
      <c r="H119" s="83">
        <f>TDCTRIBE!AC128</f>
        <v>784795.42359260004</v>
      </c>
      <c r="O119" s="9"/>
      <c r="P119" s="1"/>
      <c r="Q119" s="1"/>
      <c r="R119" s="1"/>
      <c r="S119" s="1"/>
      <c r="T119" s="1"/>
      <c r="U119" s="1"/>
      <c r="V119" s="9"/>
      <c r="W119" s="3"/>
      <c r="X119" s="4"/>
      <c r="Y119" s="1"/>
      <c r="Z119" s="1"/>
      <c r="AA119" s="1"/>
      <c r="AB119" s="1"/>
      <c r="AC119" s="1"/>
      <c r="AD119" s="3"/>
      <c r="AE119" s="3"/>
      <c r="AF119" s="5"/>
      <c r="AG119" s="5"/>
      <c r="AH119" s="5"/>
      <c r="AI119" s="5"/>
      <c r="AJ119" s="6"/>
      <c r="AK119" s="6"/>
      <c r="AL119" s="12"/>
      <c r="AM119" s="12"/>
      <c r="AN119" s="12"/>
      <c r="AO119" s="12"/>
      <c r="AP119" s="12"/>
    </row>
    <row r="120" spans="1:42" ht="15" x14ac:dyDescent="0.25">
      <c r="A120" s="82" t="str">
        <f>TDCTRIBE!I129</f>
        <v>Alaska</v>
      </c>
      <c r="B120" s="82" t="str">
        <f>TDCTRIBE!B129</f>
        <v>AK</v>
      </c>
      <c r="C120" s="82" t="str">
        <f>TDCTRIBE!F129</f>
        <v>Koniag Native Regional Corporation</v>
      </c>
      <c r="D120" s="83">
        <f>TDCTRIBE!Y129</f>
        <v>537627.23286300001</v>
      </c>
      <c r="E120" s="83">
        <f>TDCTRIBE!Z129</f>
        <v>593892.8539060998</v>
      </c>
      <c r="F120" s="83">
        <f>TDCTRIBE!AA129</f>
        <v>670883.01826070005</v>
      </c>
      <c r="G120" s="83">
        <f>TDCTRIBE!AB129</f>
        <v>727154.03193440009</v>
      </c>
      <c r="H120" s="83">
        <f>TDCTRIBE!AC129</f>
        <v>784795.42359260004</v>
      </c>
      <c r="O120" s="9"/>
      <c r="P120" s="1"/>
      <c r="Q120" s="1"/>
      <c r="R120" s="1"/>
      <c r="S120" s="1"/>
      <c r="T120" s="1"/>
      <c r="U120" s="1"/>
      <c r="V120" s="9"/>
      <c r="W120" s="3"/>
      <c r="X120" s="4"/>
      <c r="Y120" s="1"/>
      <c r="Z120" s="1"/>
      <c r="AA120" s="1"/>
      <c r="AB120" s="1"/>
      <c r="AC120" s="1"/>
      <c r="AD120" s="3"/>
      <c r="AE120" s="3"/>
      <c r="AF120" s="5"/>
      <c r="AG120" s="5"/>
      <c r="AH120" s="5"/>
      <c r="AI120" s="5"/>
      <c r="AJ120" s="6"/>
      <c r="AK120" s="6"/>
      <c r="AL120" s="12"/>
      <c r="AM120" s="12"/>
      <c r="AN120" s="12"/>
      <c r="AO120" s="12"/>
      <c r="AP120" s="12"/>
    </row>
    <row r="121" spans="1:42" ht="15" x14ac:dyDescent="0.25">
      <c r="A121" s="82" t="str">
        <f>TDCTRIBE!I130</f>
        <v>Alaska</v>
      </c>
      <c r="B121" s="82" t="str">
        <f>TDCTRIBE!B130</f>
        <v>AK</v>
      </c>
      <c r="C121" s="82" t="str">
        <f>TDCTRIBE!F130</f>
        <v>Kotlik</v>
      </c>
      <c r="D121" s="83">
        <f>TDCTRIBE!Y130</f>
        <v>537627.23286300001</v>
      </c>
      <c r="E121" s="83">
        <f>TDCTRIBE!Z130</f>
        <v>593892.8539060998</v>
      </c>
      <c r="F121" s="83">
        <f>TDCTRIBE!AA130</f>
        <v>670883.01826070005</v>
      </c>
      <c r="G121" s="83">
        <f>TDCTRIBE!AB130</f>
        <v>727154.03193440009</v>
      </c>
      <c r="H121" s="83">
        <f>TDCTRIBE!AC130</f>
        <v>784795.42359260004</v>
      </c>
      <c r="O121" s="9"/>
      <c r="P121" s="1"/>
      <c r="Q121" s="1"/>
      <c r="R121" s="1"/>
      <c r="S121" s="1"/>
      <c r="T121" s="1"/>
      <c r="U121" s="1"/>
      <c r="V121" s="9"/>
      <c r="W121" s="3"/>
      <c r="X121" s="4"/>
      <c r="Y121" s="1"/>
      <c r="Z121" s="1"/>
      <c r="AA121" s="1"/>
      <c r="AB121" s="1"/>
      <c r="AC121" s="1"/>
      <c r="AD121" s="3"/>
      <c r="AE121" s="3"/>
      <c r="AF121" s="5"/>
      <c r="AG121" s="5"/>
      <c r="AH121" s="5"/>
      <c r="AI121" s="5"/>
      <c r="AJ121" s="6"/>
      <c r="AK121" s="6"/>
      <c r="AL121" s="12"/>
      <c r="AM121" s="12"/>
      <c r="AN121" s="12"/>
      <c r="AO121" s="12"/>
      <c r="AP121" s="12"/>
    </row>
    <row r="122" spans="1:42" ht="15" x14ac:dyDescent="0.25">
      <c r="A122" s="82" t="str">
        <f>TDCTRIBE!I131</f>
        <v>Alaska</v>
      </c>
      <c r="B122" s="82" t="str">
        <f>TDCTRIBE!B131</f>
        <v>AK</v>
      </c>
      <c r="C122" s="82" t="str">
        <f>TDCTRIBE!F131</f>
        <v>Kotzebue</v>
      </c>
      <c r="D122" s="83">
        <f>TDCTRIBE!Y131</f>
        <v>537627.23286300001</v>
      </c>
      <c r="E122" s="83">
        <f>TDCTRIBE!Z131</f>
        <v>593892.8539060998</v>
      </c>
      <c r="F122" s="83">
        <f>TDCTRIBE!AA131</f>
        <v>670883.01826070005</v>
      </c>
      <c r="G122" s="83">
        <f>TDCTRIBE!AB131</f>
        <v>727154.03193440009</v>
      </c>
      <c r="H122" s="83">
        <f>TDCTRIBE!AC131</f>
        <v>784795.42359260004</v>
      </c>
      <c r="O122" s="9"/>
      <c r="P122" s="1"/>
      <c r="Q122" s="1"/>
      <c r="R122" s="1"/>
      <c r="S122" s="1"/>
      <c r="T122" s="1"/>
      <c r="U122" s="1"/>
      <c r="V122" s="9"/>
      <c r="W122" s="3"/>
      <c r="X122" s="4"/>
      <c r="Y122" s="1"/>
      <c r="Z122" s="1"/>
      <c r="AA122" s="1"/>
      <c r="AB122" s="1"/>
      <c r="AC122" s="1"/>
      <c r="AD122" s="3"/>
      <c r="AE122" s="3"/>
      <c r="AF122" s="5"/>
      <c r="AG122" s="5"/>
      <c r="AH122" s="5"/>
      <c r="AI122" s="5"/>
      <c r="AJ122" s="6"/>
      <c r="AK122" s="6"/>
      <c r="AL122" s="12"/>
      <c r="AM122" s="12"/>
      <c r="AN122" s="12"/>
      <c r="AO122" s="12"/>
      <c r="AP122" s="12"/>
    </row>
    <row r="123" spans="1:42" ht="15" x14ac:dyDescent="0.25">
      <c r="A123" s="82" t="str">
        <f>TDCTRIBE!I132</f>
        <v>Alaska</v>
      </c>
      <c r="B123" s="82" t="str">
        <f>TDCTRIBE!B132</f>
        <v>AK</v>
      </c>
      <c r="C123" s="82" t="str">
        <f>TDCTRIBE!F132</f>
        <v>Koyuk</v>
      </c>
      <c r="D123" s="83">
        <f>TDCTRIBE!Y132</f>
        <v>537627.23286300001</v>
      </c>
      <c r="E123" s="83">
        <f>TDCTRIBE!Z132</f>
        <v>593892.8539060998</v>
      </c>
      <c r="F123" s="83">
        <f>TDCTRIBE!AA132</f>
        <v>670883.01826070005</v>
      </c>
      <c r="G123" s="83">
        <f>TDCTRIBE!AB132</f>
        <v>727154.03193440009</v>
      </c>
      <c r="H123" s="83">
        <f>TDCTRIBE!AC132</f>
        <v>784795.42359260004</v>
      </c>
      <c r="O123" s="9"/>
      <c r="P123" s="1"/>
      <c r="Q123" s="1"/>
      <c r="R123" s="1"/>
      <c r="S123" s="1"/>
      <c r="T123" s="1"/>
      <c r="U123" s="1"/>
      <c r="V123" s="9"/>
      <c r="W123" s="3"/>
      <c r="X123" s="4"/>
      <c r="Y123" s="1"/>
      <c r="Z123" s="1"/>
      <c r="AA123" s="1"/>
      <c r="AB123" s="1"/>
      <c r="AC123" s="1"/>
      <c r="AD123" s="3"/>
      <c r="AE123" s="3"/>
      <c r="AF123" s="5"/>
      <c r="AG123" s="5"/>
      <c r="AH123" s="5"/>
      <c r="AI123" s="5"/>
      <c r="AJ123" s="6"/>
      <c r="AK123" s="6"/>
      <c r="AL123" s="12"/>
      <c r="AM123" s="12"/>
      <c r="AN123" s="12"/>
      <c r="AO123" s="12"/>
      <c r="AP123" s="12"/>
    </row>
    <row r="124" spans="1:42" ht="15" x14ac:dyDescent="0.25">
      <c r="A124" s="82" t="str">
        <f>TDCTRIBE!I133</f>
        <v>Alaska</v>
      </c>
      <c r="B124" s="82" t="str">
        <f>TDCTRIBE!B133</f>
        <v>AK</v>
      </c>
      <c r="C124" s="82" t="str">
        <f>TDCTRIBE!F133</f>
        <v>Koyukuk</v>
      </c>
      <c r="D124" s="83">
        <f>TDCTRIBE!Y133</f>
        <v>537627.23286300001</v>
      </c>
      <c r="E124" s="83">
        <f>TDCTRIBE!Z133</f>
        <v>593892.8539060998</v>
      </c>
      <c r="F124" s="83">
        <f>TDCTRIBE!AA133</f>
        <v>670883.01826070005</v>
      </c>
      <c r="G124" s="83">
        <f>TDCTRIBE!AB133</f>
        <v>727154.03193440009</v>
      </c>
      <c r="H124" s="83">
        <f>TDCTRIBE!AC133</f>
        <v>784795.42359260004</v>
      </c>
      <c r="O124" s="9"/>
      <c r="P124" s="1"/>
      <c r="Q124" s="1"/>
      <c r="R124" s="1"/>
      <c r="S124" s="1"/>
      <c r="T124" s="1"/>
      <c r="U124" s="1"/>
      <c r="V124" s="9"/>
      <c r="W124" s="3"/>
      <c r="X124" s="4"/>
      <c r="Y124" s="1"/>
      <c r="Z124" s="1"/>
      <c r="AA124" s="1"/>
      <c r="AB124" s="1"/>
      <c r="AC124" s="1"/>
      <c r="AD124" s="3"/>
      <c r="AE124" s="3"/>
      <c r="AF124" s="5"/>
      <c r="AG124" s="5"/>
      <c r="AH124" s="5"/>
      <c r="AI124" s="5"/>
      <c r="AJ124" s="6"/>
      <c r="AK124" s="6"/>
      <c r="AL124" s="12"/>
      <c r="AM124" s="12"/>
      <c r="AN124" s="12"/>
      <c r="AO124" s="12"/>
      <c r="AP124" s="12"/>
    </row>
    <row r="125" spans="1:42" ht="15" x14ac:dyDescent="0.25">
      <c r="A125" s="82" t="str">
        <f>TDCTRIBE!I134</f>
        <v>Alaska</v>
      </c>
      <c r="B125" s="82" t="str">
        <f>TDCTRIBE!B134</f>
        <v>AK</v>
      </c>
      <c r="C125" s="82" t="str">
        <f>TDCTRIBE!F134</f>
        <v>Kwethluk</v>
      </c>
      <c r="D125" s="83">
        <f>TDCTRIBE!Y134</f>
        <v>537627.23286300001</v>
      </c>
      <c r="E125" s="83">
        <f>TDCTRIBE!Z134</f>
        <v>593892.8539060998</v>
      </c>
      <c r="F125" s="83">
        <f>TDCTRIBE!AA134</f>
        <v>670883.01826070005</v>
      </c>
      <c r="G125" s="83">
        <f>TDCTRIBE!AB134</f>
        <v>727154.03193440009</v>
      </c>
      <c r="H125" s="83">
        <f>TDCTRIBE!AC134</f>
        <v>784795.42359260004</v>
      </c>
      <c r="O125" s="9"/>
      <c r="P125" s="1"/>
      <c r="Q125" s="1"/>
      <c r="R125" s="1"/>
      <c r="S125" s="1"/>
      <c r="T125" s="1"/>
      <c r="U125" s="1"/>
      <c r="V125" s="9"/>
      <c r="W125" s="3"/>
      <c r="X125" s="4"/>
      <c r="Y125" s="1"/>
      <c r="Z125" s="1"/>
      <c r="AA125" s="1"/>
      <c r="AB125" s="1"/>
      <c r="AC125" s="1"/>
      <c r="AD125" s="3"/>
      <c r="AE125" s="3"/>
      <c r="AF125" s="5"/>
      <c r="AG125" s="5"/>
      <c r="AH125" s="5"/>
      <c r="AI125" s="5"/>
      <c r="AJ125" s="6"/>
      <c r="AK125" s="6"/>
      <c r="AL125" s="12"/>
      <c r="AM125" s="12"/>
      <c r="AN125" s="12"/>
      <c r="AO125" s="12"/>
      <c r="AP125" s="12"/>
    </row>
    <row r="126" spans="1:42" ht="15" x14ac:dyDescent="0.25">
      <c r="A126" s="82" t="str">
        <f>TDCTRIBE!I135</f>
        <v>Alaska</v>
      </c>
      <c r="B126" s="82" t="str">
        <f>TDCTRIBE!B135</f>
        <v>AK</v>
      </c>
      <c r="C126" s="82" t="str">
        <f>TDCTRIBE!F135</f>
        <v>Kwigillingok</v>
      </c>
      <c r="D126" s="83">
        <f>TDCTRIBE!Y135</f>
        <v>537627.23286300001</v>
      </c>
      <c r="E126" s="83">
        <f>TDCTRIBE!Z135</f>
        <v>593892.8539060998</v>
      </c>
      <c r="F126" s="83">
        <f>TDCTRIBE!AA135</f>
        <v>670883.01826070005</v>
      </c>
      <c r="G126" s="83">
        <f>TDCTRIBE!AB135</f>
        <v>727154.03193440009</v>
      </c>
      <c r="H126" s="83">
        <f>TDCTRIBE!AC135</f>
        <v>784795.42359260004</v>
      </c>
      <c r="O126" s="9"/>
      <c r="P126" s="1"/>
      <c r="Q126" s="1"/>
      <c r="R126" s="1"/>
      <c r="S126" s="1"/>
      <c r="T126" s="1"/>
      <c r="U126" s="1"/>
      <c r="V126" s="9"/>
      <c r="W126" s="3"/>
      <c r="X126" s="4"/>
      <c r="Y126" s="1"/>
      <c r="Z126" s="1"/>
      <c r="AA126" s="1"/>
      <c r="AB126" s="1"/>
      <c r="AC126" s="1"/>
      <c r="AD126" s="3"/>
      <c r="AE126" s="3"/>
      <c r="AF126" s="5"/>
      <c r="AG126" s="5"/>
      <c r="AH126" s="5"/>
      <c r="AI126" s="5"/>
      <c r="AJ126" s="6"/>
      <c r="AK126" s="6"/>
      <c r="AL126" s="12"/>
      <c r="AM126" s="12"/>
      <c r="AN126" s="12"/>
      <c r="AO126" s="12"/>
      <c r="AP126" s="12"/>
    </row>
    <row r="127" spans="1:42" ht="15" x14ac:dyDescent="0.25">
      <c r="A127" s="82" t="str">
        <f>TDCTRIBE!I136</f>
        <v>Alaska</v>
      </c>
      <c r="B127" s="82" t="str">
        <f>TDCTRIBE!B136</f>
        <v>AK</v>
      </c>
      <c r="C127" s="82" t="str">
        <f>TDCTRIBE!F136</f>
        <v>Kwinhagak (Quinhagak)</v>
      </c>
      <c r="D127" s="83">
        <f>TDCTRIBE!Y136</f>
        <v>537627.23286300001</v>
      </c>
      <c r="E127" s="83">
        <f>TDCTRIBE!Z136</f>
        <v>593892.8539060998</v>
      </c>
      <c r="F127" s="83">
        <f>TDCTRIBE!AA136</f>
        <v>670883.01826070005</v>
      </c>
      <c r="G127" s="83">
        <f>TDCTRIBE!AB136</f>
        <v>727154.03193440009</v>
      </c>
      <c r="H127" s="83">
        <f>TDCTRIBE!AC136</f>
        <v>784795.42359260004</v>
      </c>
      <c r="O127" s="9"/>
      <c r="P127" s="1"/>
      <c r="Q127" s="1"/>
      <c r="R127" s="1"/>
      <c r="S127" s="1"/>
      <c r="T127" s="1"/>
      <c r="U127" s="1"/>
      <c r="V127" s="9"/>
      <c r="W127" s="3"/>
      <c r="X127" s="4"/>
      <c r="Y127" s="1"/>
      <c r="Z127" s="1"/>
      <c r="AA127" s="1"/>
      <c r="AB127" s="1"/>
      <c r="AC127" s="1"/>
      <c r="AD127" s="3"/>
      <c r="AE127" s="3"/>
      <c r="AF127" s="5"/>
      <c r="AG127" s="5"/>
      <c r="AH127" s="5"/>
      <c r="AI127" s="5"/>
      <c r="AJ127" s="6"/>
      <c r="AK127" s="6"/>
      <c r="AL127" s="12"/>
      <c r="AM127" s="12"/>
      <c r="AN127" s="12"/>
      <c r="AO127" s="12"/>
      <c r="AP127" s="12"/>
    </row>
    <row r="128" spans="1:42" ht="15" x14ac:dyDescent="0.25">
      <c r="A128" s="82" t="str">
        <f>TDCTRIBE!I137</f>
        <v>Alaska</v>
      </c>
      <c r="B128" s="82" t="str">
        <f>TDCTRIBE!B137</f>
        <v>AK</v>
      </c>
      <c r="C128" s="82" t="str">
        <f>TDCTRIBE!F137</f>
        <v>Larsen Bay</v>
      </c>
      <c r="D128" s="83">
        <f>TDCTRIBE!Y137</f>
        <v>537627.23286300001</v>
      </c>
      <c r="E128" s="83">
        <f>TDCTRIBE!Z137</f>
        <v>593892.8539060998</v>
      </c>
      <c r="F128" s="83">
        <f>TDCTRIBE!AA137</f>
        <v>670883.01826070005</v>
      </c>
      <c r="G128" s="83">
        <f>TDCTRIBE!AB137</f>
        <v>727154.03193440009</v>
      </c>
      <c r="H128" s="83">
        <f>TDCTRIBE!AC137</f>
        <v>784795.42359260004</v>
      </c>
      <c r="O128" s="9"/>
      <c r="P128" s="1"/>
      <c r="Q128" s="1"/>
      <c r="R128" s="1"/>
      <c r="S128" s="1"/>
      <c r="T128" s="1"/>
      <c r="U128" s="1"/>
      <c r="V128" s="9"/>
      <c r="W128" s="3"/>
      <c r="X128" s="4"/>
      <c r="Y128" s="1"/>
      <c r="Z128" s="1"/>
      <c r="AA128" s="1"/>
      <c r="AB128" s="1"/>
      <c r="AC128" s="1"/>
      <c r="AD128" s="3"/>
      <c r="AE128" s="3"/>
      <c r="AF128" s="5"/>
      <c r="AG128" s="5"/>
      <c r="AH128" s="5"/>
      <c r="AI128" s="5"/>
      <c r="AJ128" s="6"/>
      <c r="AK128" s="6"/>
      <c r="AL128" s="12"/>
      <c r="AM128" s="12"/>
      <c r="AN128" s="12"/>
      <c r="AO128" s="12"/>
      <c r="AP128" s="12"/>
    </row>
    <row r="129" spans="1:42" ht="15" x14ac:dyDescent="0.25">
      <c r="A129" s="82" t="str">
        <f>TDCTRIBE!I138</f>
        <v>Alaska</v>
      </c>
      <c r="B129" s="82" t="str">
        <f>TDCTRIBE!B138</f>
        <v>AK</v>
      </c>
      <c r="C129" s="82" t="str">
        <f>TDCTRIBE!F138</f>
        <v>Levelock</v>
      </c>
      <c r="D129" s="83">
        <f>TDCTRIBE!Y138</f>
        <v>537627.23286300001</v>
      </c>
      <c r="E129" s="83">
        <f>TDCTRIBE!Z138</f>
        <v>593892.8539060998</v>
      </c>
      <c r="F129" s="83">
        <f>TDCTRIBE!AA138</f>
        <v>670883.01826070005</v>
      </c>
      <c r="G129" s="83">
        <f>TDCTRIBE!AB138</f>
        <v>727154.03193440009</v>
      </c>
      <c r="H129" s="83">
        <f>TDCTRIBE!AC138</f>
        <v>784795.42359260004</v>
      </c>
      <c r="O129" s="9"/>
      <c r="P129" s="1"/>
      <c r="Q129" s="1"/>
      <c r="R129" s="1"/>
      <c r="S129" s="1"/>
      <c r="T129" s="1"/>
      <c r="U129" s="1"/>
      <c r="V129" s="9"/>
      <c r="W129" s="3"/>
      <c r="X129" s="4"/>
      <c r="Y129" s="1"/>
      <c r="Z129" s="1"/>
      <c r="AA129" s="1"/>
      <c r="AB129" s="1"/>
      <c r="AC129" s="1"/>
      <c r="AD129" s="3"/>
      <c r="AE129" s="3"/>
      <c r="AF129" s="5"/>
      <c r="AG129" s="5"/>
      <c r="AH129" s="5"/>
      <c r="AI129" s="5"/>
      <c r="AJ129" s="6"/>
      <c r="AK129" s="6"/>
      <c r="AL129" s="12"/>
      <c r="AM129" s="12"/>
      <c r="AN129" s="12"/>
      <c r="AO129" s="12"/>
      <c r="AP129" s="12"/>
    </row>
    <row r="130" spans="1:42" ht="15" x14ac:dyDescent="0.25">
      <c r="A130" s="82" t="str">
        <f>TDCTRIBE!I139</f>
        <v>Alaska</v>
      </c>
      <c r="B130" s="82" t="str">
        <f>TDCTRIBE!B139</f>
        <v>AK</v>
      </c>
      <c r="C130" s="82" t="str">
        <f>TDCTRIBE!F139</f>
        <v>Lime</v>
      </c>
      <c r="D130" s="83">
        <f>TDCTRIBE!Y139</f>
        <v>573912.50187599997</v>
      </c>
      <c r="E130" s="83">
        <f>TDCTRIBE!Z139</f>
        <v>633906.89508719998</v>
      </c>
      <c r="F130" s="83">
        <f>TDCTRIBE!AA139</f>
        <v>715983.34034640016</v>
      </c>
      <c r="G130" s="83">
        <f>TDCTRIBE!AB139</f>
        <v>775980.51116880018</v>
      </c>
      <c r="H130" s="83">
        <f>TDCTRIBE!AC139</f>
        <v>837476.24333520012</v>
      </c>
      <c r="O130" s="9"/>
      <c r="P130" s="1"/>
      <c r="Q130" s="1"/>
      <c r="R130" s="1"/>
      <c r="S130" s="1"/>
      <c r="T130" s="1"/>
      <c r="U130" s="1"/>
      <c r="V130" s="9"/>
      <c r="W130" s="3"/>
      <c r="X130" s="4"/>
      <c r="Y130" s="1"/>
      <c r="Z130" s="1"/>
      <c r="AA130" s="1"/>
      <c r="AB130" s="1"/>
      <c r="AC130" s="1"/>
      <c r="AD130" s="3"/>
      <c r="AE130" s="3"/>
      <c r="AF130" s="5"/>
      <c r="AG130" s="5"/>
      <c r="AH130" s="5"/>
      <c r="AI130" s="5"/>
      <c r="AJ130" s="6"/>
      <c r="AK130" s="6"/>
      <c r="AL130" s="12"/>
      <c r="AM130" s="12"/>
      <c r="AN130" s="12"/>
      <c r="AO130" s="12"/>
      <c r="AP130" s="12"/>
    </row>
    <row r="131" spans="1:42" ht="15" x14ac:dyDescent="0.25">
      <c r="A131" s="82" t="str">
        <f>TDCTRIBE!I140</f>
        <v>Alaska</v>
      </c>
      <c r="B131" s="82" t="str">
        <f>TDCTRIBE!B140</f>
        <v>AK</v>
      </c>
      <c r="C131" s="82" t="str">
        <f>TDCTRIBE!F140</f>
        <v>Lower.Kalskag</v>
      </c>
      <c r="D131" s="83">
        <f>TDCTRIBE!Y140</f>
        <v>537627.23286300001</v>
      </c>
      <c r="E131" s="83">
        <f>TDCTRIBE!Z140</f>
        <v>593892.8539060998</v>
      </c>
      <c r="F131" s="83">
        <f>TDCTRIBE!AA140</f>
        <v>670883.01826070005</v>
      </c>
      <c r="G131" s="83">
        <f>TDCTRIBE!AB140</f>
        <v>727154.03193440009</v>
      </c>
      <c r="H131" s="83">
        <f>TDCTRIBE!AC140</f>
        <v>784795.42359260004</v>
      </c>
      <c r="O131" s="9"/>
      <c r="P131" s="1"/>
      <c r="Q131" s="1"/>
      <c r="R131" s="1"/>
      <c r="S131" s="1"/>
      <c r="T131" s="1"/>
      <c r="U131" s="1"/>
      <c r="V131" s="9"/>
      <c r="W131" s="3"/>
      <c r="X131" s="4"/>
      <c r="Y131" s="1"/>
      <c r="Z131" s="1"/>
      <c r="AA131" s="1"/>
      <c r="AB131" s="1"/>
      <c r="AC131" s="1"/>
      <c r="AD131" s="3"/>
      <c r="AE131" s="3"/>
      <c r="AF131" s="5"/>
      <c r="AG131" s="5"/>
      <c r="AH131" s="5"/>
      <c r="AI131" s="5"/>
      <c r="AJ131" s="6"/>
      <c r="AK131" s="6"/>
      <c r="AL131" s="12"/>
      <c r="AM131" s="12"/>
      <c r="AN131" s="12"/>
      <c r="AO131" s="12"/>
      <c r="AP131" s="12"/>
    </row>
    <row r="132" spans="1:42" ht="15" x14ac:dyDescent="0.25">
      <c r="A132" s="82" t="str">
        <f>TDCTRIBE!I141</f>
        <v>Alaska</v>
      </c>
      <c r="B132" s="82" t="str">
        <f>TDCTRIBE!B141</f>
        <v>AK</v>
      </c>
      <c r="C132" s="82" t="str">
        <f>TDCTRIBE!F141</f>
        <v>Manley Hot Springs</v>
      </c>
      <c r="D132" s="83">
        <f>TDCTRIBE!Y141</f>
        <v>537627.23286300001</v>
      </c>
      <c r="E132" s="83">
        <f>TDCTRIBE!Z141</f>
        <v>593892.8539060998</v>
      </c>
      <c r="F132" s="83">
        <f>TDCTRIBE!AA141</f>
        <v>670883.01826070005</v>
      </c>
      <c r="G132" s="83">
        <f>TDCTRIBE!AB141</f>
        <v>727154.03193440009</v>
      </c>
      <c r="H132" s="83">
        <f>TDCTRIBE!AC141</f>
        <v>784795.42359260004</v>
      </c>
      <c r="O132" s="9"/>
      <c r="P132" s="1"/>
      <c r="Q132" s="1"/>
      <c r="R132" s="1"/>
      <c r="S132" s="1"/>
      <c r="T132" s="1"/>
      <c r="U132" s="1"/>
      <c r="V132" s="9"/>
      <c r="W132" s="3"/>
      <c r="X132" s="4"/>
      <c r="Y132" s="1"/>
      <c r="Z132" s="1"/>
      <c r="AA132" s="1"/>
      <c r="AB132" s="1"/>
      <c r="AC132" s="1"/>
      <c r="AD132" s="3"/>
      <c r="AE132" s="3"/>
      <c r="AF132" s="5"/>
      <c r="AG132" s="5"/>
      <c r="AH132" s="5"/>
      <c r="AI132" s="5"/>
      <c r="AJ132" s="6"/>
      <c r="AK132" s="6"/>
      <c r="AL132" s="12"/>
      <c r="AM132" s="12"/>
      <c r="AN132" s="12"/>
      <c r="AO132" s="12"/>
      <c r="AP132" s="12"/>
    </row>
    <row r="133" spans="1:42" ht="15" x14ac:dyDescent="0.25">
      <c r="A133" s="82" t="str">
        <f>TDCTRIBE!I142</f>
        <v>Alaska</v>
      </c>
      <c r="B133" s="82" t="str">
        <f>TDCTRIBE!B142</f>
        <v>AK</v>
      </c>
      <c r="C133" s="82" t="str">
        <f>TDCTRIBE!F142</f>
        <v>Manokotak</v>
      </c>
      <c r="D133" s="83">
        <f>TDCTRIBE!Y142</f>
        <v>537627.23286300001</v>
      </c>
      <c r="E133" s="83">
        <f>TDCTRIBE!Z142</f>
        <v>593892.8539060998</v>
      </c>
      <c r="F133" s="83">
        <f>TDCTRIBE!AA142</f>
        <v>670883.01826070005</v>
      </c>
      <c r="G133" s="83">
        <f>TDCTRIBE!AB142</f>
        <v>727154.03193440009</v>
      </c>
      <c r="H133" s="83">
        <f>TDCTRIBE!AC142</f>
        <v>784795.42359260004</v>
      </c>
      <c r="O133" s="9"/>
      <c r="P133" s="1"/>
      <c r="Q133" s="1"/>
      <c r="R133" s="1"/>
      <c r="S133" s="1"/>
      <c r="T133" s="1"/>
      <c r="U133" s="1"/>
      <c r="V133" s="9"/>
      <c r="W133" s="3"/>
      <c r="X133" s="4"/>
      <c r="Y133" s="1"/>
      <c r="Z133" s="1"/>
      <c r="AA133" s="1"/>
      <c r="AB133" s="1"/>
      <c r="AC133" s="1"/>
      <c r="AD133" s="3"/>
      <c r="AE133" s="3"/>
      <c r="AF133" s="5"/>
      <c r="AG133" s="5"/>
      <c r="AH133" s="5"/>
      <c r="AI133" s="5"/>
      <c r="AJ133" s="6"/>
      <c r="AK133" s="6"/>
      <c r="AL133" s="12"/>
      <c r="AM133" s="12"/>
      <c r="AN133" s="12"/>
      <c r="AO133" s="12"/>
      <c r="AP133" s="12"/>
    </row>
    <row r="134" spans="1:42" ht="15" x14ac:dyDescent="0.25">
      <c r="A134" s="82" t="str">
        <f>TDCTRIBE!I143</f>
        <v>Alaska</v>
      </c>
      <c r="B134" s="82" t="str">
        <f>TDCTRIBE!B143</f>
        <v>AK</v>
      </c>
      <c r="C134" s="82" t="str">
        <f>TDCTRIBE!F143</f>
        <v>Marshall</v>
      </c>
      <c r="D134" s="83">
        <f>TDCTRIBE!Y143</f>
        <v>537627.23286300001</v>
      </c>
      <c r="E134" s="83">
        <f>TDCTRIBE!Z143</f>
        <v>593892.8539060998</v>
      </c>
      <c r="F134" s="83">
        <f>TDCTRIBE!AA143</f>
        <v>670883.01826070005</v>
      </c>
      <c r="G134" s="83">
        <f>TDCTRIBE!AB143</f>
        <v>727154.03193440009</v>
      </c>
      <c r="H134" s="83">
        <f>TDCTRIBE!AC143</f>
        <v>784795.42359260004</v>
      </c>
      <c r="O134" s="9"/>
      <c r="P134" s="1"/>
      <c r="Q134" s="1"/>
      <c r="R134" s="1"/>
      <c r="S134" s="1"/>
      <c r="T134" s="1"/>
      <c r="U134" s="1"/>
      <c r="V134" s="9"/>
      <c r="W134" s="3"/>
      <c r="X134" s="4"/>
      <c r="Y134" s="1"/>
      <c r="Z134" s="1"/>
      <c r="AA134" s="1"/>
      <c r="AB134" s="1"/>
      <c r="AC134" s="1"/>
      <c r="AD134" s="3"/>
      <c r="AE134" s="3"/>
      <c r="AF134" s="5"/>
      <c r="AG134" s="5"/>
      <c r="AH134" s="5"/>
      <c r="AI134" s="5"/>
      <c r="AJ134" s="6"/>
      <c r="AK134" s="6"/>
      <c r="AL134" s="12"/>
      <c r="AM134" s="12"/>
      <c r="AN134" s="12"/>
      <c r="AO134" s="12"/>
      <c r="AP134" s="12"/>
    </row>
    <row r="135" spans="1:42" ht="15" x14ac:dyDescent="0.25">
      <c r="A135" s="82" t="str">
        <f>TDCTRIBE!I144</f>
        <v>Alaska</v>
      </c>
      <c r="B135" s="82" t="str">
        <f>TDCTRIBE!B144</f>
        <v>AK</v>
      </c>
      <c r="C135" s="82" t="str">
        <f>TDCTRIBE!F144</f>
        <v>Mary's Igloo</v>
      </c>
      <c r="D135" s="83">
        <f>TDCTRIBE!Y144</f>
        <v>537627.23286300001</v>
      </c>
      <c r="E135" s="83">
        <f>TDCTRIBE!Z144</f>
        <v>593892.8539060998</v>
      </c>
      <c r="F135" s="83">
        <f>TDCTRIBE!AA144</f>
        <v>670883.01826070005</v>
      </c>
      <c r="G135" s="83">
        <f>TDCTRIBE!AB144</f>
        <v>727154.03193440009</v>
      </c>
      <c r="H135" s="83">
        <f>TDCTRIBE!AC144</f>
        <v>784795.42359260004</v>
      </c>
      <c r="O135" s="9"/>
      <c r="P135" s="1"/>
      <c r="Q135" s="1"/>
      <c r="R135" s="1"/>
      <c r="S135" s="1"/>
      <c r="T135" s="1"/>
      <c r="U135" s="1"/>
      <c r="V135" s="9"/>
      <c r="W135" s="3"/>
      <c r="X135" s="4"/>
      <c r="Y135" s="1"/>
      <c r="Z135" s="1"/>
      <c r="AA135" s="1"/>
      <c r="AB135" s="1"/>
      <c r="AC135" s="1"/>
      <c r="AD135" s="3"/>
      <c r="AE135" s="3"/>
      <c r="AF135" s="5"/>
      <c r="AG135" s="5"/>
      <c r="AH135" s="5"/>
      <c r="AI135" s="5"/>
      <c r="AJ135" s="6"/>
      <c r="AK135" s="6"/>
      <c r="AL135" s="12"/>
      <c r="AM135" s="12"/>
      <c r="AN135" s="12"/>
      <c r="AO135" s="12"/>
      <c r="AP135" s="12"/>
    </row>
    <row r="136" spans="1:42" ht="15" x14ac:dyDescent="0.25">
      <c r="A136" s="82" t="str">
        <f>TDCTRIBE!I145</f>
        <v>Alaska</v>
      </c>
      <c r="B136" s="82" t="str">
        <f>TDCTRIBE!B145</f>
        <v>AK</v>
      </c>
      <c r="C136" s="82" t="str">
        <f>TDCTRIBE!F145</f>
        <v>McGrath</v>
      </c>
      <c r="D136" s="83">
        <f>TDCTRIBE!Y145</f>
        <v>573912.50187599997</v>
      </c>
      <c r="E136" s="83">
        <f>TDCTRIBE!Z145</f>
        <v>633906.89508719998</v>
      </c>
      <c r="F136" s="83">
        <f>TDCTRIBE!AA145</f>
        <v>715983.34034640016</v>
      </c>
      <c r="G136" s="83">
        <f>TDCTRIBE!AB145</f>
        <v>775980.51116880018</v>
      </c>
      <c r="H136" s="83">
        <f>TDCTRIBE!AC145</f>
        <v>837476.24333520012</v>
      </c>
      <c r="O136" s="9"/>
      <c r="P136" s="1"/>
      <c r="Q136" s="1"/>
      <c r="R136" s="1"/>
      <c r="S136" s="1"/>
      <c r="T136" s="1"/>
      <c r="U136" s="1"/>
      <c r="V136" s="9"/>
      <c r="W136" s="3"/>
      <c r="X136" s="4"/>
      <c r="Y136" s="1"/>
      <c r="Z136" s="1"/>
      <c r="AA136" s="1"/>
      <c r="AB136" s="1"/>
      <c r="AC136" s="1"/>
      <c r="AD136" s="3"/>
      <c r="AE136" s="3"/>
      <c r="AF136" s="5"/>
      <c r="AG136" s="5"/>
      <c r="AH136" s="5"/>
      <c r="AI136" s="5"/>
      <c r="AJ136" s="6"/>
      <c r="AK136" s="6"/>
      <c r="AL136" s="12"/>
      <c r="AM136" s="12"/>
      <c r="AN136" s="12"/>
      <c r="AO136" s="12"/>
      <c r="AP136" s="12"/>
    </row>
    <row r="137" spans="1:42" ht="15" x14ac:dyDescent="0.25">
      <c r="A137" s="82" t="str">
        <f>TDCTRIBE!I146</f>
        <v>Alaska</v>
      </c>
      <c r="B137" s="82" t="str">
        <f>TDCTRIBE!B146</f>
        <v>AK</v>
      </c>
      <c r="C137" s="82" t="str">
        <f>TDCTRIBE!F146</f>
        <v>Mekoryuk</v>
      </c>
      <c r="D137" s="83">
        <f>TDCTRIBE!Y146</f>
        <v>537627.23286300001</v>
      </c>
      <c r="E137" s="83">
        <f>TDCTRIBE!Z146</f>
        <v>593892.8539060998</v>
      </c>
      <c r="F137" s="83">
        <f>TDCTRIBE!AA146</f>
        <v>670883.01826070005</v>
      </c>
      <c r="G137" s="83">
        <f>TDCTRIBE!AB146</f>
        <v>727154.03193440009</v>
      </c>
      <c r="H137" s="83">
        <f>TDCTRIBE!AC146</f>
        <v>784795.42359260004</v>
      </c>
      <c r="O137" s="9"/>
      <c r="P137" s="1"/>
      <c r="Q137" s="1"/>
      <c r="R137" s="1"/>
      <c r="S137" s="1"/>
      <c r="T137" s="1"/>
      <c r="U137" s="1"/>
      <c r="V137" s="9"/>
      <c r="W137" s="3"/>
      <c r="X137" s="4"/>
      <c r="Y137" s="1"/>
      <c r="Z137" s="1"/>
      <c r="AA137" s="1"/>
      <c r="AB137" s="1"/>
      <c r="AC137" s="1"/>
      <c r="AD137" s="3"/>
      <c r="AE137" s="3"/>
      <c r="AF137" s="5"/>
      <c r="AG137" s="5"/>
      <c r="AH137" s="5"/>
      <c r="AI137" s="5"/>
      <c r="AJ137" s="6"/>
      <c r="AK137" s="6"/>
      <c r="AL137" s="12"/>
      <c r="AM137" s="12"/>
      <c r="AN137" s="12"/>
      <c r="AO137" s="12"/>
      <c r="AP137" s="12"/>
    </row>
    <row r="138" spans="1:42" ht="15" x14ac:dyDescent="0.25">
      <c r="A138" s="82" t="str">
        <f>TDCTRIBE!I147</f>
        <v>Alaska</v>
      </c>
      <c r="B138" s="82" t="str">
        <f>TDCTRIBE!B147</f>
        <v>AK</v>
      </c>
      <c r="C138" s="82" t="str">
        <f>TDCTRIBE!F147</f>
        <v>Mentasta</v>
      </c>
      <c r="D138" s="83">
        <f>TDCTRIBE!Y147</f>
        <v>537627.23286300001</v>
      </c>
      <c r="E138" s="83">
        <f>TDCTRIBE!Z147</f>
        <v>593892.8539060998</v>
      </c>
      <c r="F138" s="83">
        <f>TDCTRIBE!AA147</f>
        <v>670883.01826070005</v>
      </c>
      <c r="G138" s="83">
        <f>TDCTRIBE!AB147</f>
        <v>727154.03193440009</v>
      </c>
      <c r="H138" s="83">
        <f>TDCTRIBE!AC147</f>
        <v>784795.42359260004</v>
      </c>
      <c r="O138" s="9"/>
      <c r="P138" s="1"/>
      <c r="Q138" s="1"/>
      <c r="R138" s="1"/>
      <c r="S138" s="1"/>
      <c r="T138" s="1"/>
      <c r="U138" s="1"/>
      <c r="V138" s="9"/>
      <c r="W138" s="3"/>
      <c r="X138" s="4"/>
      <c r="Y138" s="1"/>
      <c r="Z138" s="1"/>
      <c r="AA138" s="1"/>
      <c r="AB138" s="1"/>
      <c r="AC138" s="1"/>
      <c r="AD138" s="3"/>
      <c r="AE138" s="3"/>
      <c r="AF138" s="5"/>
      <c r="AG138" s="5"/>
      <c r="AH138" s="5"/>
      <c r="AI138" s="5"/>
      <c r="AJ138" s="6"/>
      <c r="AK138" s="6"/>
      <c r="AL138" s="12"/>
      <c r="AM138" s="12"/>
      <c r="AN138" s="12"/>
      <c r="AO138" s="12"/>
      <c r="AP138" s="12"/>
    </row>
    <row r="139" spans="1:42" ht="15" x14ac:dyDescent="0.25">
      <c r="A139" s="82" t="str">
        <f>TDCTRIBE!I148</f>
        <v>Alaska</v>
      </c>
      <c r="B139" s="82" t="str">
        <f>TDCTRIBE!B148</f>
        <v>AK</v>
      </c>
      <c r="C139" s="82" t="str">
        <f>TDCTRIBE!F148</f>
        <v>Minto</v>
      </c>
      <c r="D139" s="83">
        <f>TDCTRIBE!Y148</f>
        <v>537627.23286300001</v>
      </c>
      <c r="E139" s="83">
        <f>TDCTRIBE!Z148</f>
        <v>593892.8539060998</v>
      </c>
      <c r="F139" s="83">
        <f>TDCTRIBE!AA148</f>
        <v>670883.01826070005</v>
      </c>
      <c r="G139" s="83">
        <f>TDCTRIBE!AB148</f>
        <v>727154.03193440009</v>
      </c>
      <c r="H139" s="83">
        <f>TDCTRIBE!AC148</f>
        <v>784795.42359260004</v>
      </c>
      <c r="O139" s="9"/>
      <c r="P139" s="1"/>
      <c r="Q139" s="1"/>
      <c r="R139" s="1"/>
      <c r="S139" s="1"/>
      <c r="T139" s="1"/>
      <c r="U139" s="1"/>
      <c r="V139" s="9"/>
      <c r="W139" s="3"/>
      <c r="X139" s="4"/>
      <c r="Y139" s="1"/>
      <c r="Z139" s="1"/>
      <c r="AA139" s="1"/>
      <c r="AB139" s="1"/>
      <c r="AC139" s="1"/>
      <c r="AD139" s="3"/>
      <c r="AE139" s="3"/>
      <c r="AF139" s="5"/>
      <c r="AG139" s="5"/>
      <c r="AH139" s="5"/>
      <c r="AI139" s="5"/>
      <c r="AJ139" s="6"/>
      <c r="AK139" s="6"/>
      <c r="AL139" s="12"/>
      <c r="AM139" s="12"/>
      <c r="AN139" s="12"/>
      <c r="AO139" s="12"/>
      <c r="AP139" s="12"/>
    </row>
    <row r="140" spans="1:42" ht="15" x14ac:dyDescent="0.25">
      <c r="A140" s="82" t="str">
        <f>TDCTRIBE!I149</f>
        <v>Alaska</v>
      </c>
      <c r="B140" s="82" t="str">
        <f>TDCTRIBE!B149</f>
        <v>AK</v>
      </c>
      <c r="C140" s="82" t="str">
        <f>TDCTRIBE!F149</f>
        <v>Mountain Village</v>
      </c>
      <c r="D140" s="83">
        <f>TDCTRIBE!Y149</f>
        <v>537627.23286300001</v>
      </c>
      <c r="E140" s="83">
        <f>TDCTRIBE!Z149</f>
        <v>593892.8539060998</v>
      </c>
      <c r="F140" s="83">
        <f>TDCTRIBE!AA149</f>
        <v>670883.01826070005</v>
      </c>
      <c r="G140" s="83">
        <f>TDCTRIBE!AB149</f>
        <v>727154.03193440009</v>
      </c>
      <c r="H140" s="83">
        <f>TDCTRIBE!AC149</f>
        <v>784795.42359260004</v>
      </c>
      <c r="O140" s="9"/>
      <c r="P140" s="1"/>
      <c r="Q140" s="1"/>
      <c r="R140" s="1"/>
      <c r="S140" s="1"/>
      <c r="T140" s="1"/>
      <c r="U140" s="1"/>
      <c r="V140" s="9"/>
      <c r="W140" s="3"/>
      <c r="X140" s="4"/>
      <c r="Y140" s="1"/>
      <c r="Z140" s="1"/>
      <c r="AA140" s="1"/>
      <c r="AB140" s="1"/>
      <c r="AC140" s="1"/>
      <c r="AD140" s="3"/>
      <c r="AE140" s="3"/>
      <c r="AF140" s="5"/>
      <c r="AG140" s="5"/>
      <c r="AH140" s="5"/>
      <c r="AI140" s="5"/>
      <c r="AJ140" s="6"/>
      <c r="AK140" s="6"/>
      <c r="AL140" s="12"/>
      <c r="AM140" s="12"/>
      <c r="AN140" s="12"/>
      <c r="AO140" s="12"/>
      <c r="AP140" s="12"/>
    </row>
    <row r="141" spans="1:42" ht="15" x14ac:dyDescent="0.25">
      <c r="A141" s="82" t="str">
        <f>TDCTRIBE!I150</f>
        <v>Alaska</v>
      </c>
      <c r="B141" s="82" t="str">
        <f>TDCTRIBE!B150</f>
        <v>AK</v>
      </c>
      <c r="C141" s="82" t="str">
        <f>TDCTRIBE!F150</f>
        <v>Naknek</v>
      </c>
      <c r="D141" s="83">
        <f>TDCTRIBE!Y150</f>
        <v>537627.23286300001</v>
      </c>
      <c r="E141" s="83">
        <f>TDCTRIBE!Z150</f>
        <v>593892.8539060998</v>
      </c>
      <c r="F141" s="83">
        <f>TDCTRIBE!AA150</f>
        <v>670883.01826070005</v>
      </c>
      <c r="G141" s="83">
        <f>TDCTRIBE!AB150</f>
        <v>727154.03193440009</v>
      </c>
      <c r="H141" s="83">
        <f>TDCTRIBE!AC150</f>
        <v>784795.42359260004</v>
      </c>
      <c r="O141" s="9"/>
      <c r="P141" s="1"/>
      <c r="Q141" s="1"/>
      <c r="R141" s="1"/>
      <c r="S141" s="1"/>
      <c r="T141" s="1"/>
      <c r="U141" s="1"/>
      <c r="V141" s="9"/>
      <c r="W141" s="3"/>
      <c r="X141" s="4"/>
      <c r="Y141" s="1"/>
      <c r="Z141" s="1"/>
      <c r="AA141" s="1"/>
      <c r="AB141" s="1"/>
      <c r="AC141" s="1"/>
      <c r="AD141" s="3"/>
      <c r="AE141" s="3"/>
      <c r="AF141" s="5"/>
      <c r="AG141" s="5"/>
      <c r="AH141" s="5"/>
      <c r="AI141" s="5"/>
      <c r="AJ141" s="6"/>
      <c r="AK141" s="6"/>
      <c r="AL141" s="12"/>
      <c r="AM141" s="12"/>
      <c r="AN141" s="12"/>
      <c r="AO141" s="12"/>
      <c r="AP141" s="12"/>
    </row>
    <row r="142" spans="1:42" ht="15" x14ac:dyDescent="0.25">
      <c r="A142" s="82" t="str">
        <f>TDCTRIBE!I151</f>
        <v>Alaska</v>
      </c>
      <c r="B142" s="82" t="str">
        <f>TDCTRIBE!B151</f>
        <v>AK</v>
      </c>
      <c r="C142" s="82" t="str">
        <f>TDCTRIBE!F151</f>
        <v>NANA Native Regional Corporation</v>
      </c>
      <c r="D142" s="83">
        <f>TDCTRIBE!Y151</f>
        <v>573912.50187599997</v>
      </c>
      <c r="E142" s="83">
        <f>TDCTRIBE!Z151</f>
        <v>633906.89508719998</v>
      </c>
      <c r="F142" s="83">
        <f>TDCTRIBE!AA151</f>
        <v>715983.34034640016</v>
      </c>
      <c r="G142" s="83">
        <f>TDCTRIBE!AB151</f>
        <v>775980.51116880018</v>
      </c>
      <c r="H142" s="83">
        <f>TDCTRIBE!AC151</f>
        <v>837476.24333520012</v>
      </c>
      <c r="O142" s="9"/>
      <c r="P142" s="1"/>
      <c r="Q142" s="1"/>
      <c r="R142" s="1"/>
      <c r="S142" s="1"/>
      <c r="T142" s="1"/>
      <c r="U142" s="1"/>
      <c r="V142" s="9"/>
      <c r="W142" s="3"/>
      <c r="X142" s="4"/>
      <c r="Y142" s="1"/>
      <c r="Z142" s="1"/>
      <c r="AA142" s="1"/>
      <c r="AB142" s="1"/>
      <c r="AC142" s="1"/>
      <c r="AD142" s="3"/>
      <c r="AE142" s="3"/>
      <c r="AF142" s="5"/>
      <c r="AG142" s="5"/>
      <c r="AH142" s="5"/>
      <c r="AI142" s="5"/>
      <c r="AJ142" s="6"/>
      <c r="AK142" s="6"/>
      <c r="AL142" s="12"/>
      <c r="AM142" s="12"/>
      <c r="AN142" s="12"/>
      <c r="AO142" s="12"/>
      <c r="AP142" s="12"/>
    </row>
    <row r="143" spans="1:42" ht="15" x14ac:dyDescent="0.25">
      <c r="A143" s="82" t="str">
        <f>TDCTRIBE!I152</f>
        <v>Alaska</v>
      </c>
      <c r="B143" s="82" t="str">
        <f>TDCTRIBE!B152</f>
        <v>AK</v>
      </c>
      <c r="C143" s="82" t="str">
        <f>TDCTRIBE!F152</f>
        <v>Nanwalek (English Bay)</v>
      </c>
      <c r="D143" s="83">
        <f>TDCTRIBE!Y152</f>
        <v>465666.31849500001</v>
      </c>
      <c r="E143" s="83">
        <f>TDCTRIBE!Z152</f>
        <v>514428.62433899997</v>
      </c>
      <c r="F143" s="83">
        <f>TDCTRIBE!AA152</f>
        <v>581158.19019300013</v>
      </c>
      <c r="G143" s="83">
        <f>TDCTRIBE!AB152</f>
        <v>629926.37213100016</v>
      </c>
      <c r="H143" s="83">
        <f>TDCTRIBE!AC152</f>
        <v>679867.06659900001</v>
      </c>
      <c r="O143" s="9"/>
      <c r="P143" s="1"/>
      <c r="Q143" s="1"/>
      <c r="R143" s="1"/>
      <c r="S143" s="1"/>
      <c r="T143" s="1"/>
      <c r="U143" s="1"/>
      <c r="V143" s="9"/>
      <c r="W143" s="3"/>
      <c r="X143" s="4"/>
      <c r="Y143" s="1"/>
      <c r="Z143" s="1"/>
      <c r="AA143" s="1"/>
      <c r="AB143" s="1"/>
      <c r="AC143" s="1"/>
      <c r="AD143" s="3"/>
      <c r="AE143" s="3"/>
      <c r="AF143" s="5"/>
      <c r="AG143" s="5"/>
      <c r="AH143" s="5"/>
      <c r="AI143" s="5"/>
      <c r="AJ143" s="6"/>
      <c r="AK143" s="6"/>
      <c r="AL143" s="12"/>
      <c r="AM143" s="12"/>
      <c r="AN143" s="12"/>
      <c r="AO143" s="12"/>
      <c r="AP143" s="12"/>
    </row>
    <row r="144" spans="1:42" ht="15" x14ac:dyDescent="0.25">
      <c r="A144" s="82" t="str">
        <f>TDCTRIBE!I153</f>
        <v>Alaska</v>
      </c>
      <c r="B144" s="82" t="str">
        <f>TDCTRIBE!B153</f>
        <v>AK</v>
      </c>
      <c r="C144" s="82" t="str">
        <f>TDCTRIBE!F153</f>
        <v>Napaimute</v>
      </c>
      <c r="D144" s="83">
        <f>TDCTRIBE!Y153</f>
        <v>537627.23286300001</v>
      </c>
      <c r="E144" s="83">
        <f>TDCTRIBE!Z153</f>
        <v>593892.8539060998</v>
      </c>
      <c r="F144" s="83">
        <f>TDCTRIBE!AA153</f>
        <v>670883.01826070005</v>
      </c>
      <c r="G144" s="83">
        <f>TDCTRIBE!AB153</f>
        <v>727154.03193440009</v>
      </c>
      <c r="H144" s="83">
        <f>TDCTRIBE!AC153</f>
        <v>784795.42359260004</v>
      </c>
      <c r="O144" s="9"/>
      <c r="P144" s="1"/>
      <c r="Q144" s="1"/>
      <c r="R144" s="1"/>
      <c r="S144" s="1"/>
      <c r="T144" s="1"/>
      <c r="U144" s="1"/>
      <c r="V144" s="9"/>
      <c r="W144" s="3"/>
      <c r="X144" s="4"/>
      <c r="Y144" s="1"/>
      <c r="Z144" s="1"/>
      <c r="AA144" s="1"/>
      <c r="AB144" s="1"/>
      <c r="AC144" s="1"/>
      <c r="AD144" s="3"/>
      <c r="AE144" s="3"/>
      <c r="AF144" s="5"/>
      <c r="AG144" s="5"/>
      <c r="AH144" s="5"/>
      <c r="AI144" s="5"/>
      <c r="AJ144" s="6"/>
      <c r="AK144" s="6"/>
      <c r="AL144" s="12"/>
      <c r="AM144" s="12"/>
      <c r="AN144" s="12"/>
      <c r="AO144" s="12"/>
      <c r="AP144" s="12"/>
    </row>
    <row r="145" spans="1:42" ht="15" x14ac:dyDescent="0.25">
      <c r="A145" s="82" t="str">
        <f>TDCTRIBE!I154</f>
        <v>Alaska</v>
      </c>
      <c r="B145" s="82" t="str">
        <f>TDCTRIBE!B154</f>
        <v>AK</v>
      </c>
      <c r="C145" s="82" t="str">
        <f>TDCTRIBE!F154</f>
        <v>Napakiak</v>
      </c>
      <c r="D145" s="83">
        <f>TDCTRIBE!Y154</f>
        <v>537627.23286300001</v>
      </c>
      <c r="E145" s="83">
        <f>TDCTRIBE!Z154</f>
        <v>593892.8539060998</v>
      </c>
      <c r="F145" s="83">
        <f>TDCTRIBE!AA154</f>
        <v>670883.01826070005</v>
      </c>
      <c r="G145" s="83">
        <f>TDCTRIBE!AB154</f>
        <v>727154.03193440009</v>
      </c>
      <c r="H145" s="83">
        <f>TDCTRIBE!AC154</f>
        <v>784795.42359260004</v>
      </c>
      <c r="O145" s="9"/>
      <c r="P145" s="1"/>
      <c r="Q145" s="1"/>
      <c r="R145" s="1"/>
      <c r="S145" s="1"/>
      <c r="T145" s="1"/>
      <c r="U145" s="1"/>
      <c r="V145" s="9"/>
      <c r="W145" s="3"/>
      <c r="X145" s="4"/>
      <c r="Y145" s="1"/>
      <c r="Z145" s="1"/>
      <c r="AA145" s="1"/>
      <c r="AB145" s="1"/>
      <c r="AC145" s="1"/>
      <c r="AD145" s="3"/>
      <c r="AE145" s="3"/>
      <c r="AF145" s="5"/>
      <c r="AG145" s="5"/>
      <c r="AH145" s="5"/>
      <c r="AI145" s="5"/>
      <c r="AJ145" s="6"/>
      <c r="AK145" s="6"/>
      <c r="AL145" s="12"/>
      <c r="AM145" s="12"/>
      <c r="AN145" s="12"/>
      <c r="AO145" s="12"/>
      <c r="AP145" s="12"/>
    </row>
    <row r="146" spans="1:42" ht="15" x14ac:dyDescent="0.25">
      <c r="A146" s="82" t="str">
        <f>TDCTRIBE!I155</f>
        <v>Alaska</v>
      </c>
      <c r="B146" s="82" t="str">
        <f>TDCTRIBE!B155</f>
        <v>AK</v>
      </c>
      <c r="C146" s="82" t="str">
        <f>TDCTRIBE!F155</f>
        <v>Napaskiak</v>
      </c>
      <c r="D146" s="83">
        <f>TDCTRIBE!Y155</f>
        <v>537627.23286300001</v>
      </c>
      <c r="E146" s="83">
        <f>TDCTRIBE!Z155</f>
        <v>593892.8539060998</v>
      </c>
      <c r="F146" s="83">
        <f>TDCTRIBE!AA155</f>
        <v>670883.01826070005</v>
      </c>
      <c r="G146" s="83">
        <f>TDCTRIBE!AB155</f>
        <v>727154.03193440009</v>
      </c>
      <c r="H146" s="83">
        <f>TDCTRIBE!AC155</f>
        <v>784795.42359260004</v>
      </c>
      <c r="O146" s="9"/>
      <c r="P146" s="1"/>
      <c r="Q146" s="1"/>
      <c r="R146" s="1"/>
      <c r="S146" s="1"/>
      <c r="T146" s="1"/>
      <c r="U146" s="1"/>
      <c r="V146" s="9"/>
      <c r="W146" s="3"/>
      <c r="X146" s="4"/>
      <c r="Y146" s="1"/>
      <c r="Z146" s="1"/>
      <c r="AA146" s="1"/>
      <c r="AB146" s="1"/>
      <c r="AC146" s="1"/>
      <c r="AD146" s="3"/>
      <c r="AE146" s="3"/>
      <c r="AF146" s="5"/>
      <c r="AG146" s="5"/>
      <c r="AH146" s="5"/>
      <c r="AI146" s="5"/>
      <c r="AJ146" s="6"/>
      <c r="AK146" s="6"/>
      <c r="AL146" s="12"/>
      <c r="AM146" s="12"/>
      <c r="AN146" s="12"/>
      <c r="AO146" s="12"/>
      <c r="AP146" s="12"/>
    </row>
    <row r="147" spans="1:42" ht="15" x14ac:dyDescent="0.25">
      <c r="A147" s="82" t="str">
        <f>TDCTRIBE!I156</f>
        <v>Alaska</v>
      </c>
      <c r="B147" s="82" t="str">
        <f>TDCTRIBE!B156</f>
        <v>AK</v>
      </c>
      <c r="C147" s="82" t="str">
        <f>TDCTRIBE!F156</f>
        <v>Nelson Lagoon</v>
      </c>
      <c r="D147" s="83">
        <f>TDCTRIBE!Y156</f>
        <v>537627.23286300001</v>
      </c>
      <c r="E147" s="83">
        <f>TDCTRIBE!Z156</f>
        <v>593892.8539060998</v>
      </c>
      <c r="F147" s="83">
        <f>TDCTRIBE!AA156</f>
        <v>670883.01826070005</v>
      </c>
      <c r="G147" s="83">
        <f>TDCTRIBE!AB156</f>
        <v>727154.03193440009</v>
      </c>
      <c r="H147" s="83">
        <f>TDCTRIBE!AC156</f>
        <v>784795.42359260004</v>
      </c>
      <c r="O147" s="9"/>
      <c r="P147" s="1"/>
      <c r="Q147" s="1"/>
      <c r="R147" s="1"/>
      <c r="S147" s="1"/>
      <c r="T147" s="1"/>
      <c r="U147" s="1"/>
      <c r="V147" s="9"/>
      <c r="W147" s="3"/>
      <c r="X147" s="4"/>
      <c r="Y147" s="1"/>
      <c r="Z147" s="1"/>
      <c r="AA147" s="1"/>
      <c r="AB147" s="1"/>
      <c r="AC147" s="1"/>
      <c r="AD147" s="3"/>
      <c r="AE147" s="3"/>
      <c r="AF147" s="5"/>
      <c r="AG147" s="5"/>
      <c r="AH147" s="5"/>
      <c r="AI147" s="5"/>
      <c r="AJ147" s="6"/>
      <c r="AK147" s="6"/>
      <c r="AL147" s="12"/>
      <c r="AM147" s="12"/>
      <c r="AN147" s="12"/>
      <c r="AO147" s="12"/>
      <c r="AP147" s="12"/>
    </row>
    <row r="148" spans="1:42" ht="15" x14ac:dyDescent="0.25">
      <c r="A148" s="82" t="str">
        <f>TDCTRIBE!I157</f>
        <v>Alaska</v>
      </c>
      <c r="B148" s="82" t="str">
        <f>TDCTRIBE!B157</f>
        <v>AK</v>
      </c>
      <c r="C148" s="82" t="str">
        <f>TDCTRIBE!F157</f>
        <v>Nenana</v>
      </c>
      <c r="D148" s="83">
        <f>TDCTRIBE!Y157</f>
        <v>537627.23286300001</v>
      </c>
      <c r="E148" s="83">
        <f>TDCTRIBE!Z157</f>
        <v>593892.8539060998</v>
      </c>
      <c r="F148" s="83">
        <f>TDCTRIBE!AA157</f>
        <v>670883.01826070005</v>
      </c>
      <c r="G148" s="83">
        <f>TDCTRIBE!AB157</f>
        <v>727154.03193440009</v>
      </c>
      <c r="H148" s="83">
        <f>TDCTRIBE!AC157</f>
        <v>784795.42359260004</v>
      </c>
      <c r="O148" s="9"/>
      <c r="P148" s="1"/>
      <c r="Q148" s="1"/>
      <c r="R148" s="1"/>
      <c r="S148" s="1"/>
      <c r="T148" s="1"/>
      <c r="U148" s="1"/>
      <c r="V148" s="9"/>
      <c r="W148" s="3"/>
      <c r="X148" s="4"/>
      <c r="Y148" s="1"/>
      <c r="Z148" s="1"/>
      <c r="AA148" s="1"/>
      <c r="AB148" s="1"/>
      <c r="AC148" s="1"/>
      <c r="AD148" s="3"/>
      <c r="AE148" s="3"/>
      <c r="AF148" s="5"/>
      <c r="AG148" s="5"/>
      <c r="AH148" s="5"/>
      <c r="AI148" s="5"/>
      <c r="AJ148" s="6"/>
      <c r="AK148" s="6"/>
      <c r="AL148" s="12"/>
      <c r="AM148" s="12"/>
      <c r="AN148" s="12"/>
      <c r="AO148" s="12"/>
      <c r="AP148" s="12"/>
    </row>
    <row r="149" spans="1:42" ht="15" x14ac:dyDescent="0.25">
      <c r="A149" s="82" t="str">
        <f>TDCTRIBE!I158</f>
        <v>Alaska</v>
      </c>
      <c r="B149" s="82" t="str">
        <f>TDCTRIBE!B158</f>
        <v>AK</v>
      </c>
      <c r="C149" s="82" t="str">
        <f>TDCTRIBE!F158</f>
        <v>New Stuyahok</v>
      </c>
      <c r="D149" s="83">
        <f>TDCTRIBE!Y158</f>
        <v>573912.50187599997</v>
      </c>
      <c r="E149" s="83">
        <f>TDCTRIBE!Z158</f>
        <v>633906.89508719998</v>
      </c>
      <c r="F149" s="83">
        <f>TDCTRIBE!AA158</f>
        <v>715983.34034640016</v>
      </c>
      <c r="G149" s="83">
        <f>TDCTRIBE!AB158</f>
        <v>775980.51116880018</v>
      </c>
      <c r="H149" s="83">
        <f>TDCTRIBE!AC158</f>
        <v>837476.24333520012</v>
      </c>
      <c r="J149" s="17"/>
      <c r="K149" s="17"/>
      <c r="L149" s="17"/>
      <c r="O149" s="9"/>
      <c r="P149" s="1"/>
      <c r="Q149" s="1"/>
      <c r="R149" s="1"/>
      <c r="S149" s="1"/>
      <c r="T149" s="1"/>
      <c r="U149" s="1"/>
      <c r="V149" s="9"/>
      <c r="W149" s="3"/>
      <c r="X149" s="4"/>
      <c r="Y149" s="1"/>
      <c r="Z149" s="1"/>
      <c r="AA149" s="1"/>
      <c r="AB149" s="1"/>
      <c r="AC149" s="1"/>
      <c r="AD149" s="3"/>
      <c r="AE149" s="3"/>
      <c r="AF149" s="5"/>
      <c r="AG149" s="5"/>
      <c r="AH149" s="5"/>
      <c r="AI149" s="5"/>
      <c r="AJ149" s="6"/>
      <c r="AK149" s="6"/>
      <c r="AL149" s="12"/>
      <c r="AM149" s="12"/>
      <c r="AN149" s="12"/>
      <c r="AO149" s="12"/>
      <c r="AP149" s="12"/>
    </row>
    <row r="150" spans="1:42" ht="15" x14ac:dyDescent="0.25">
      <c r="A150" s="82" t="str">
        <f>TDCTRIBE!I159</f>
        <v>Alaska</v>
      </c>
      <c r="B150" s="82" t="str">
        <f>TDCTRIBE!B159</f>
        <v>AK</v>
      </c>
      <c r="C150" s="82" t="str">
        <f>TDCTRIBE!F159</f>
        <v>Newhalen</v>
      </c>
      <c r="D150" s="83">
        <f>TDCTRIBE!Y159</f>
        <v>537627.23286300001</v>
      </c>
      <c r="E150" s="83">
        <f>TDCTRIBE!Z159</f>
        <v>593892.8539060998</v>
      </c>
      <c r="F150" s="83">
        <f>TDCTRIBE!AA159</f>
        <v>670883.01826070005</v>
      </c>
      <c r="G150" s="83">
        <f>TDCTRIBE!AB159</f>
        <v>727154.03193440009</v>
      </c>
      <c r="H150" s="83">
        <f>TDCTRIBE!AC159</f>
        <v>784795.42359260004</v>
      </c>
      <c r="O150" s="9"/>
      <c r="P150" s="1"/>
      <c r="Q150" s="1"/>
      <c r="R150" s="1"/>
      <c r="S150" s="1"/>
      <c r="T150" s="1"/>
      <c r="U150" s="1"/>
      <c r="V150" s="9"/>
      <c r="W150" s="3"/>
      <c r="X150" s="4"/>
      <c r="Y150" s="1"/>
      <c r="Z150" s="1"/>
      <c r="AA150" s="1"/>
      <c r="AB150" s="1"/>
      <c r="AC150" s="1"/>
      <c r="AD150" s="3"/>
      <c r="AE150" s="3"/>
      <c r="AF150" s="5"/>
      <c r="AG150" s="5"/>
      <c r="AH150" s="5"/>
      <c r="AI150" s="5"/>
      <c r="AJ150" s="6"/>
      <c r="AK150" s="6"/>
      <c r="AL150" s="12"/>
      <c r="AM150" s="12"/>
      <c r="AN150" s="12"/>
      <c r="AO150" s="12"/>
      <c r="AP150" s="12"/>
    </row>
    <row r="151" spans="1:42" ht="15" x14ac:dyDescent="0.25">
      <c r="A151" s="82" t="str">
        <f>TDCTRIBE!I160</f>
        <v>Alaska</v>
      </c>
      <c r="B151" s="82" t="str">
        <f>TDCTRIBE!B160</f>
        <v>AK</v>
      </c>
      <c r="C151" s="82" t="str">
        <f>TDCTRIBE!F160</f>
        <v>Newtok</v>
      </c>
      <c r="D151" s="83">
        <f>TDCTRIBE!Y160</f>
        <v>537627.23286300001</v>
      </c>
      <c r="E151" s="83">
        <f>TDCTRIBE!Z160</f>
        <v>593892.8539060998</v>
      </c>
      <c r="F151" s="83">
        <f>TDCTRIBE!AA160</f>
        <v>670883.01826070005</v>
      </c>
      <c r="G151" s="83">
        <f>TDCTRIBE!AB160</f>
        <v>727154.03193440009</v>
      </c>
      <c r="H151" s="83">
        <f>TDCTRIBE!AC160</f>
        <v>784795.42359260004</v>
      </c>
      <c r="O151" s="9"/>
      <c r="P151" s="1"/>
      <c r="Q151" s="1"/>
      <c r="R151" s="1"/>
      <c r="S151" s="1"/>
      <c r="T151" s="1"/>
      <c r="U151" s="1"/>
      <c r="V151" s="9"/>
      <c r="W151" s="3"/>
      <c r="X151" s="4"/>
      <c r="Y151" s="1"/>
      <c r="Z151" s="1"/>
      <c r="AA151" s="1"/>
      <c r="AB151" s="1"/>
      <c r="AC151" s="1"/>
      <c r="AD151" s="3"/>
      <c r="AE151" s="3"/>
      <c r="AF151" s="5"/>
      <c r="AG151" s="5"/>
      <c r="AH151" s="5"/>
      <c r="AI151" s="5"/>
      <c r="AJ151" s="6"/>
      <c r="AK151" s="6"/>
      <c r="AL151" s="12"/>
      <c r="AM151" s="12"/>
      <c r="AN151" s="12"/>
      <c r="AO151" s="12"/>
      <c r="AP151" s="12"/>
    </row>
    <row r="152" spans="1:42" ht="15" x14ac:dyDescent="0.25">
      <c r="A152" s="82" t="str">
        <f>TDCTRIBE!I161</f>
        <v>Alaska</v>
      </c>
      <c r="B152" s="82" t="str">
        <f>TDCTRIBE!B161</f>
        <v>AK</v>
      </c>
      <c r="C152" s="82" t="str">
        <f>TDCTRIBE!F161</f>
        <v>Nightmute</v>
      </c>
      <c r="D152" s="83">
        <f>TDCTRIBE!Y161</f>
        <v>537627.23286300001</v>
      </c>
      <c r="E152" s="83">
        <f>TDCTRIBE!Z161</f>
        <v>593892.8539060998</v>
      </c>
      <c r="F152" s="83">
        <f>TDCTRIBE!AA161</f>
        <v>670883.01826070005</v>
      </c>
      <c r="G152" s="83">
        <f>TDCTRIBE!AB161</f>
        <v>727154.03193440009</v>
      </c>
      <c r="H152" s="83">
        <f>TDCTRIBE!AC161</f>
        <v>784795.42359260004</v>
      </c>
      <c r="O152" s="9"/>
      <c r="P152" s="1"/>
      <c r="Q152" s="1"/>
      <c r="R152" s="1"/>
      <c r="S152" s="1"/>
      <c r="T152" s="1"/>
      <c r="U152" s="1"/>
      <c r="V152" s="9"/>
      <c r="W152" s="3"/>
      <c r="X152" s="4"/>
      <c r="Y152" s="1"/>
      <c r="Z152" s="1"/>
      <c r="AA152" s="1"/>
      <c r="AB152" s="1"/>
      <c r="AC152" s="1"/>
      <c r="AD152" s="3"/>
      <c r="AE152" s="3"/>
      <c r="AF152" s="5"/>
      <c r="AG152" s="5"/>
      <c r="AH152" s="5"/>
      <c r="AI152" s="5"/>
      <c r="AJ152" s="6"/>
      <c r="AK152" s="6"/>
      <c r="AL152" s="12"/>
      <c r="AM152" s="12"/>
      <c r="AN152" s="12"/>
      <c r="AO152" s="12"/>
      <c r="AP152" s="12"/>
    </row>
    <row r="153" spans="1:42" ht="15" x14ac:dyDescent="0.25">
      <c r="A153" s="82" t="str">
        <f>TDCTRIBE!I162</f>
        <v>Alaska</v>
      </c>
      <c r="B153" s="82" t="str">
        <f>TDCTRIBE!B162</f>
        <v>AK</v>
      </c>
      <c r="C153" s="82" t="str">
        <f>TDCTRIBE!F162</f>
        <v>Nikolai</v>
      </c>
      <c r="D153" s="83">
        <f>TDCTRIBE!Y162</f>
        <v>573912.50187599997</v>
      </c>
      <c r="E153" s="83">
        <f>TDCTRIBE!Z162</f>
        <v>633906.89508719998</v>
      </c>
      <c r="F153" s="83">
        <f>TDCTRIBE!AA162</f>
        <v>715983.34034640016</v>
      </c>
      <c r="G153" s="83">
        <f>TDCTRIBE!AB162</f>
        <v>775980.51116880018</v>
      </c>
      <c r="H153" s="83">
        <f>TDCTRIBE!AC162</f>
        <v>837476.24333520012</v>
      </c>
      <c r="O153" s="9"/>
      <c r="P153" s="1"/>
      <c r="Q153" s="1"/>
      <c r="R153" s="1"/>
      <c r="S153" s="1"/>
      <c r="T153" s="1"/>
      <c r="U153" s="1"/>
      <c r="V153" s="9"/>
      <c r="W153" s="3"/>
      <c r="X153" s="4"/>
      <c r="Y153" s="1"/>
      <c r="Z153" s="1"/>
      <c r="AA153" s="1"/>
      <c r="AB153" s="1"/>
      <c r="AC153" s="1"/>
      <c r="AD153" s="3"/>
      <c r="AE153" s="3"/>
      <c r="AF153" s="5"/>
      <c r="AG153" s="5"/>
      <c r="AH153" s="5"/>
      <c r="AI153" s="5"/>
      <c r="AJ153" s="6"/>
      <c r="AK153" s="6"/>
      <c r="AL153" s="12"/>
      <c r="AM153" s="12"/>
      <c r="AN153" s="12"/>
      <c r="AO153" s="12"/>
      <c r="AP153" s="12"/>
    </row>
    <row r="154" spans="1:42" ht="15" x14ac:dyDescent="0.25">
      <c r="A154" s="82" t="str">
        <f>TDCTRIBE!I163</f>
        <v>Alaska</v>
      </c>
      <c r="B154" s="82" t="str">
        <f>TDCTRIBE!B163</f>
        <v>AK</v>
      </c>
      <c r="C154" s="82" t="str">
        <f>TDCTRIBE!F163</f>
        <v>Nikolski</v>
      </c>
      <c r="D154" s="83">
        <f>TDCTRIBE!Y163</f>
        <v>537627.23286300001</v>
      </c>
      <c r="E154" s="83">
        <f>TDCTRIBE!Z163</f>
        <v>593892.8539060998</v>
      </c>
      <c r="F154" s="83">
        <f>TDCTRIBE!AA163</f>
        <v>670883.01826070005</v>
      </c>
      <c r="G154" s="83">
        <f>TDCTRIBE!AB163</f>
        <v>727154.03193440009</v>
      </c>
      <c r="H154" s="83">
        <f>TDCTRIBE!AC163</f>
        <v>784795.42359260004</v>
      </c>
      <c r="O154" s="9"/>
      <c r="P154" s="1"/>
      <c r="Q154" s="1"/>
      <c r="R154" s="1"/>
      <c r="S154" s="1"/>
      <c r="T154" s="1"/>
      <c r="U154" s="1"/>
      <c r="V154" s="9"/>
      <c r="W154" s="3"/>
      <c r="X154" s="4"/>
      <c r="Y154" s="1"/>
      <c r="Z154" s="1"/>
      <c r="AA154" s="1"/>
      <c r="AB154" s="1"/>
      <c r="AC154" s="1"/>
      <c r="AD154" s="3"/>
      <c r="AE154" s="3"/>
      <c r="AF154" s="5"/>
      <c r="AG154" s="5"/>
      <c r="AH154" s="5"/>
      <c r="AI154" s="5"/>
      <c r="AJ154" s="6"/>
      <c r="AK154" s="6"/>
      <c r="AL154" s="12"/>
      <c r="AM154" s="12"/>
      <c r="AN154" s="12"/>
      <c r="AO154" s="12"/>
      <c r="AP154" s="12"/>
    </row>
    <row r="155" spans="1:42" ht="15" x14ac:dyDescent="0.25">
      <c r="A155" s="82" t="str">
        <f>TDCTRIBE!I164</f>
        <v>Alaska</v>
      </c>
      <c r="B155" s="82" t="str">
        <f>TDCTRIBE!B164</f>
        <v>AK</v>
      </c>
      <c r="C155" s="82" t="str">
        <f>TDCTRIBE!F164</f>
        <v>Ninilchik</v>
      </c>
      <c r="D155" s="83">
        <f>TDCTRIBE!Y164</f>
        <v>465666.31849500001</v>
      </c>
      <c r="E155" s="83">
        <f>TDCTRIBE!Z164</f>
        <v>514428.62433899997</v>
      </c>
      <c r="F155" s="83">
        <f>TDCTRIBE!AA164</f>
        <v>581158.19019300013</v>
      </c>
      <c r="G155" s="83">
        <f>TDCTRIBE!AB164</f>
        <v>629926.37213100016</v>
      </c>
      <c r="H155" s="83">
        <f>TDCTRIBE!AC164</f>
        <v>679867.06659900001</v>
      </c>
      <c r="O155" s="9"/>
      <c r="P155" s="1"/>
      <c r="Q155" s="1"/>
      <c r="R155" s="1"/>
      <c r="S155" s="1"/>
      <c r="T155" s="1"/>
      <c r="U155" s="1"/>
      <c r="V155" s="9"/>
      <c r="W155" s="3"/>
      <c r="X155" s="4"/>
      <c r="Y155" s="1"/>
      <c r="Z155" s="1"/>
      <c r="AA155" s="1"/>
      <c r="AB155" s="1"/>
      <c r="AC155" s="1"/>
      <c r="AD155" s="3"/>
      <c r="AE155" s="3"/>
      <c r="AF155" s="5"/>
      <c r="AG155" s="5"/>
      <c r="AH155" s="5"/>
      <c r="AI155" s="5"/>
      <c r="AJ155" s="6"/>
      <c r="AK155" s="6"/>
      <c r="AL155" s="12"/>
      <c r="AM155" s="12"/>
      <c r="AN155" s="12"/>
      <c r="AO155" s="12"/>
      <c r="AP155" s="12"/>
    </row>
    <row r="156" spans="1:42" ht="15" x14ac:dyDescent="0.25">
      <c r="A156" s="82" t="str">
        <f>TDCTRIBE!I165</f>
        <v>Alaska</v>
      </c>
      <c r="B156" s="82" t="str">
        <f>TDCTRIBE!B165</f>
        <v>AK</v>
      </c>
      <c r="C156" s="82" t="str">
        <f>TDCTRIBE!F165</f>
        <v>Noatak</v>
      </c>
      <c r="D156" s="83">
        <f>TDCTRIBE!Y165</f>
        <v>573912.50187599997</v>
      </c>
      <c r="E156" s="83">
        <f>TDCTRIBE!Z165</f>
        <v>633906.89508719998</v>
      </c>
      <c r="F156" s="83">
        <f>TDCTRIBE!AA165</f>
        <v>715983.34034640016</v>
      </c>
      <c r="G156" s="83">
        <f>TDCTRIBE!AB165</f>
        <v>775980.51116880018</v>
      </c>
      <c r="H156" s="83">
        <f>TDCTRIBE!AC165</f>
        <v>837476.24333520012</v>
      </c>
      <c r="O156" s="9"/>
      <c r="P156" s="1"/>
      <c r="Q156" s="1"/>
      <c r="R156" s="1"/>
      <c r="S156" s="1"/>
      <c r="T156" s="1"/>
      <c r="U156" s="1"/>
      <c r="V156" s="9"/>
      <c r="W156" s="3"/>
      <c r="X156" s="4"/>
      <c r="Y156" s="1"/>
      <c r="Z156" s="1"/>
      <c r="AA156" s="1"/>
      <c r="AB156" s="1"/>
      <c r="AC156" s="1"/>
      <c r="AD156" s="3"/>
      <c r="AE156" s="3"/>
      <c r="AF156" s="5"/>
      <c r="AG156" s="5"/>
      <c r="AH156" s="5"/>
      <c r="AI156" s="5"/>
      <c r="AJ156" s="6"/>
      <c r="AK156" s="6"/>
      <c r="AL156" s="12"/>
      <c r="AM156" s="12"/>
      <c r="AN156" s="12"/>
      <c r="AO156" s="12"/>
      <c r="AP156" s="12"/>
    </row>
    <row r="157" spans="1:42" ht="15" x14ac:dyDescent="0.25">
      <c r="A157" s="82" t="str">
        <f>TDCTRIBE!I166</f>
        <v>Alaska</v>
      </c>
      <c r="B157" s="82" t="str">
        <f>TDCTRIBE!B166</f>
        <v>AK</v>
      </c>
      <c r="C157" s="82" t="str">
        <f>TDCTRIBE!F166</f>
        <v>Nome</v>
      </c>
      <c r="D157" s="83">
        <f>TDCTRIBE!Y166</f>
        <v>537627.23286300001</v>
      </c>
      <c r="E157" s="83">
        <f>TDCTRIBE!Z166</f>
        <v>593892.8539060998</v>
      </c>
      <c r="F157" s="83">
        <f>TDCTRIBE!AA166</f>
        <v>670883.01826070005</v>
      </c>
      <c r="G157" s="83">
        <f>TDCTRIBE!AB166</f>
        <v>727154.03193440009</v>
      </c>
      <c r="H157" s="83">
        <f>TDCTRIBE!AC166</f>
        <v>784795.42359260004</v>
      </c>
      <c r="O157" s="9"/>
      <c r="P157" s="1"/>
      <c r="Q157" s="1"/>
      <c r="R157" s="1"/>
      <c r="S157" s="1"/>
      <c r="T157" s="1"/>
      <c r="U157" s="1"/>
      <c r="V157" s="9"/>
      <c r="W157" s="3"/>
      <c r="X157" s="4"/>
      <c r="Y157" s="1"/>
      <c r="Z157" s="1"/>
      <c r="AA157" s="1"/>
      <c r="AB157" s="1"/>
      <c r="AC157" s="1"/>
      <c r="AD157" s="3"/>
      <c r="AE157" s="3"/>
      <c r="AF157" s="5"/>
      <c r="AG157" s="5"/>
      <c r="AH157" s="5"/>
      <c r="AI157" s="5"/>
      <c r="AJ157" s="6"/>
      <c r="AK157" s="6"/>
      <c r="AL157" s="12"/>
      <c r="AM157" s="12"/>
      <c r="AN157" s="12"/>
      <c r="AO157" s="12"/>
      <c r="AP157" s="12"/>
    </row>
    <row r="158" spans="1:42" ht="15" x14ac:dyDescent="0.25">
      <c r="A158" s="82" t="str">
        <f>TDCTRIBE!I167</f>
        <v>Alaska</v>
      </c>
      <c r="B158" s="82" t="str">
        <f>TDCTRIBE!B167</f>
        <v>AK</v>
      </c>
      <c r="C158" s="82" t="str">
        <f>TDCTRIBE!F167</f>
        <v>Nondalton</v>
      </c>
      <c r="D158" s="83">
        <f>TDCTRIBE!Y167</f>
        <v>537627.23286300001</v>
      </c>
      <c r="E158" s="83">
        <f>TDCTRIBE!Z167</f>
        <v>593892.8539060998</v>
      </c>
      <c r="F158" s="83">
        <f>TDCTRIBE!AA167</f>
        <v>670883.01826070005</v>
      </c>
      <c r="G158" s="83">
        <f>TDCTRIBE!AB167</f>
        <v>727154.03193440009</v>
      </c>
      <c r="H158" s="83">
        <f>TDCTRIBE!AC167</f>
        <v>784795.42359260004</v>
      </c>
      <c r="O158" s="9"/>
      <c r="P158" s="1"/>
      <c r="Q158" s="1"/>
      <c r="R158" s="1"/>
      <c r="S158" s="1"/>
      <c r="T158" s="1"/>
      <c r="U158" s="1"/>
      <c r="V158" s="9"/>
      <c r="W158" s="3"/>
      <c r="X158" s="4"/>
      <c r="Y158" s="1"/>
      <c r="Z158" s="1"/>
      <c r="AA158" s="1"/>
      <c r="AB158" s="1"/>
      <c r="AC158" s="1"/>
      <c r="AD158" s="3"/>
      <c r="AE158" s="3"/>
      <c r="AF158" s="5"/>
      <c r="AG158" s="5"/>
      <c r="AH158" s="5"/>
      <c r="AI158" s="5"/>
      <c r="AJ158" s="6"/>
      <c r="AK158" s="6"/>
      <c r="AL158" s="12"/>
      <c r="AM158" s="12"/>
      <c r="AN158" s="12"/>
      <c r="AO158" s="12"/>
      <c r="AP158" s="12"/>
    </row>
    <row r="159" spans="1:42" ht="15" x14ac:dyDescent="0.25">
      <c r="A159" s="82" t="str">
        <f>TDCTRIBE!I168</f>
        <v>Alaska</v>
      </c>
      <c r="B159" s="82" t="str">
        <f>TDCTRIBE!B168</f>
        <v>AK</v>
      </c>
      <c r="C159" s="82" t="str">
        <f>TDCTRIBE!F168</f>
        <v>Noorvik</v>
      </c>
      <c r="D159" s="83">
        <f>TDCTRIBE!Y168</f>
        <v>537627.23286300001</v>
      </c>
      <c r="E159" s="83">
        <f>TDCTRIBE!Z168</f>
        <v>593892.8539060998</v>
      </c>
      <c r="F159" s="83">
        <f>TDCTRIBE!AA168</f>
        <v>670883.01826070005</v>
      </c>
      <c r="G159" s="83">
        <f>TDCTRIBE!AB168</f>
        <v>727154.03193440009</v>
      </c>
      <c r="H159" s="83">
        <f>TDCTRIBE!AC168</f>
        <v>784795.42359260004</v>
      </c>
      <c r="O159" s="9"/>
      <c r="P159" s="1"/>
      <c r="Q159" s="1"/>
      <c r="R159" s="1"/>
      <c r="S159" s="1"/>
      <c r="T159" s="1"/>
      <c r="U159" s="1"/>
      <c r="V159" s="9"/>
      <c r="W159" s="3"/>
      <c r="X159" s="4"/>
      <c r="Y159" s="1"/>
      <c r="Z159" s="1"/>
      <c r="AA159" s="1"/>
      <c r="AB159" s="1"/>
      <c r="AC159" s="1"/>
      <c r="AD159" s="3"/>
      <c r="AE159" s="3"/>
      <c r="AF159" s="5"/>
      <c r="AG159" s="5"/>
      <c r="AH159" s="5"/>
      <c r="AI159" s="5"/>
      <c r="AJ159" s="6"/>
      <c r="AK159" s="6"/>
      <c r="AL159" s="12"/>
      <c r="AM159" s="12"/>
      <c r="AN159" s="12"/>
      <c r="AO159" s="12"/>
      <c r="AP159" s="12"/>
    </row>
    <row r="160" spans="1:42" ht="15" x14ac:dyDescent="0.25">
      <c r="A160" s="82" t="str">
        <f>TDCTRIBE!I169</f>
        <v>Alaska</v>
      </c>
      <c r="B160" s="82" t="str">
        <f>TDCTRIBE!B169</f>
        <v>AK</v>
      </c>
      <c r="C160" s="82" t="str">
        <f>TDCTRIBE!F169</f>
        <v>Northway</v>
      </c>
      <c r="D160" s="83">
        <f>TDCTRIBE!Y169</f>
        <v>537627.23286300001</v>
      </c>
      <c r="E160" s="83">
        <f>TDCTRIBE!Z169</f>
        <v>593892.8539060998</v>
      </c>
      <c r="F160" s="83">
        <f>TDCTRIBE!AA169</f>
        <v>670883.01826070005</v>
      </c>
      <c r="G160" s="83">
        <f>TDCTRIBE!AB169</f>
        <v>727154.03193440009</v>
      </c>
      <c r="H160" s="83">
        <f>TDCTRIBE!AC169</f>
        <v>784795.42359260004</v>
      </c>
      <c r="O160" s="9"/>
      <c r="P160" s="1"/>
      <c r="Q160" s="1"/>
      <c r="R160" s="1"/>
      <c r="S160" s="1"/>
      <c r="T160" s="1"/>
      <c r="U160" s="1"/>
      <c r="V160" s="9"/>
      <c r="W160" s="3"/>
      <c r="X160" s="4"/>
      <c r="Y160" s="1"/>
      <c r="Z160" s="1"/>
      <c r="AA160" s="1"/>
      <c r="AB160" s="1"/>
      <c r="AC160" s="1"/>
      <c r="AD160" s="3"/>
      <c r="AE160" s="3"/>
      <c r="AF160" s="5"/>
      <c r="AG160" s="5"/>
      <c r="AH160" s="5"/>
      <c r="AI160" s="5"/>
      <c r="AJ160" s="6"/>
      <c r="AK160" s="6"/>
      <c r="AL160" s="12"/>
      <c r="AM160" s="12"/>
      <c r="AN160" s="12"/>
      <c r="AO160" s="12"/>
      <c r="AP160" s="12"/>
    </row>
    <row r="161" spans="1:42" ht="15" x14ac:dyDescent="0.25">
      <c r="A161" s="82" t="str">
        <f>TDCTRIBE!I170</f>
        <v>Alaska</v>
      </c>
      <c r="B161" s="82" t="str">
        <f>TDCTRIBE!B170</f>
        <v>AK</v>
      </c>
      <c r="C161" s="82" t="str">
        <f>TDCTRIBE!F170</f>
        <v>Nuiqsut</v>
      </c>
      <c r="D161" s="83">
        <f>TDCTRIBE!Y170</f>
        <v>573912.50187599997</v>
      </c>
      <c r="E161" s="83">
        <f>TDCTRIBE!Z170</f>
        <v>633906.89508719998</v>
      </c>
      <c r="F161" s="83">
        <f>TDCTRIBE!AA170</f>
        <v>715983.34034640016</v>
      </c>
      <c r="G161" s="83">
        <f>TDCTRIBE!AB170</f>
        <v>775980.51116880018</v>
      </c>
      <c r="H161" s="83">
        <f>TDCTRIBE!AC170</f>
        <v>837476.24333520012</v>
      </c>
      <c r="O161" s="9"/>
      <c r="P161" s="1"/>
      <c r="Q161" s="1"/>
      <c r="R161" s="1"/>
      <c r="S161" s="1"/>
      <c r="T161" s="1"/>
      <c r="U161" s="1"/>
      <c r="V161" s="9"/>
      <c r="W161" s="3"/>
      <c r="X161" s="4"/>
      <c r="Y161" s="1"/>
      <c r="Z161" s="1"/>
      <c r="AA161" s="1"/>
      <c r="AB161" s="1"/>
      <c r="AC161" s="1"/>
      <c r="AD161" s="3"/>
      <c r="AE161" s="3"/>
      <c r="AF161" s="5"/>
      <c r="AG161" s="5"/>
      <c r="AH161" s="5"/>
      <c r="AI161" s="5"/>
      <c r="AJ161" s="6"/>
      <c r="AK161" s="6"/>
      <c r="AL161" s="12"/>
      <c r="AM161" s="12"/>
      <c r="AN161" s="12"/>
      <c r="AO161" s="12"/>
      <c r="AP161" s="12"/>
    </row>
    <row r="162" spans="1:42" ht="15" x14ac:dyDescent="0.25">
      <c r="A162" s="82" t="str">
        <f>TDCTRIBE!I171</f>
        <v>Alaska</v>
      </c>
      <c r="B162" s="82" t="str">
        <f>TDCTRIBE!B171</f>
        <v>AK</v>
      </c>
      <c r="C162" s="82" t="str">
        <f>TDCTRIBE!F171</f>
        <v>Nulato</v>
      </c>
      <c r="D162" s="83">
        <f>TDCTRIBE!Y171</f>
        <v>537627.23286300001</v>
      </c>
      <c r="E162" s="83">
        <f>TDCTRIBE!Z171</f>
        <v>593892.8539060998</v>
      </c>
      <c r="F162" s="83">
        <f>TDCTRIBE!AA171</f>
        <v>670883.01826070005</v>
      </c>
      <c r="G162" s="83">
        <f>TDCTRIBE!AB171</f>
        <v>727154.03193440009</v>
      </c>
      <c r="H162" s="83">
        <f>TDCTRIBE!AC171</f>
        <v>784795.42359260004</v>
      </c>
      <c r="O162" s="9"/>
      <c r="P162" s="1"/>
      <c r="Q162" s="1"/>
      <c r="R162" s="1"/>
      <c r="S162" s="1"/>
      <c r="T162" s="1"/>
      <c r="U162" s="1"/>
      <c r="V162" s="9"/>
      <c r="W162" s="3"/>
      <c r="X162" s="4"/>
      <c r="Y162" s="1"/>
      <c r="Z162" s="1"/>
      <c r="AA162" s="1"/>
      <c r="AB162" s="1"/>
      <c r="AC162" s="1"/>
      <c r="AD162" s="3"/>
      <c r="AE162" s="3"/>
      <c r="AF162" s="5"/>
      <c r="AG162" s="5"/>
      <c r="AH162" s="5"/>
      <c r="AI162" s="5"/>
      <c r="AJ162" s="6"/>
      <c r="AK162" s="6"/>
      <c r="AL162" s="12"/>
      <c r="AM162" s="12"/>
      <c r="AN162" s="12"/>
      <c r="AO162" s="12"/>
      <c r="AP162" s="12"/>
    </row>
    <row r="163" spans="1:42" ht="15" x14ac:dyDescent="0.25">
      <c r="A163" s="82" t="str">
        <f>TDCTRIBE!I172</f>
        <v>Alaska</v>
      </c>
      <c r="B163" s="82" t="str">
        <f>TDCTRIBE!B172</f>
        <v>AK</v>
      </c>
      <c r="C163" s="82" t="str">
        <f>TDCTRIBE!F172</f>
        <v>Nunapitchuk</v>
      </c>
      <c r="D163" s="83">
        <f>TDCTRIBE!Y172</f>
        <v>537627.23286300001</v>
      </c>
      <c r="E163" s="83">
        <f>TDCTRIBE!Z172</f>
        <v>593892.8539060998</v>
      </c>
      <c r="F163" s="83">
        <f>TDCTRIBE!AA172</f>
        <v>670883.01826070005</v>
      </c>
      <c r="G163" s="83">
        <f>TDCTRIBE!AB172</f>
        <v>727154.03193440009</v>
      </c>
      <c r="H163" s="83">
        <f>TDCTRIBE!AC172</f>
        <v>784795.42359260004</v>
      </c>
      <c r="O163" s="9"/>
      <c r="P163" s="1"/>
      <c r="Q163" s="1"/>
      <c r="R163" s="1"/>
      <c r="S163" s="1"/>
      <c r="T163" s="1"/>
      <c r="U163" s="1"/>
      <c r="V163" s="9"/>
      <c r="W163" s="3"/>
      <c r="X163" s="4"/>
      <c r="Y163" s="1"/>
      <c r="Z163" s="1"/>
      <c r="AA163" s="1"/>
      <c r="AB163" s="1"/>
      <c r="AC163" s="1"/>
      <c r="AD163" s="3"/>
      <c r="AE163" s="3"/>
      <c r="AF163" s="5"/>
      <c r="AG163" s="5"/>
      <c r="AH163" s="5"/>
      <c r="AI163" s="5"/>
      <c r="AJ163" s="6"/>
      <c r="AK163" s="6"/>
      <c r="AL163" s="12"/>
      <c r="AM163" s="12"/>
      <c r="AN163" s="12"/>
      <c r="AO163" s="12"/>
      <c r="AP163" s="12"/>
    </row>
    <row r="164" spans="1:42" ht="15" x14ac:dyDescent="0.25">
      <c r="A164" s="82" t="str">
        <f>TDCTRIBE!I173</f>
        <v>Alaska</v>
      </c>
      <c r="B164" s="82" t="str">
        <f>TDCTRIBE!B173</f>
        <v>AK</v>
      </c>
      <c r="C164" s="82" t="str">
        <f>TDCTRIBE!F173</f>
        <v>Ohogamiut</v>
      </c>
      <c r="D164" s="83">
        <f>TDCTRIBE!Y173</f>
        <v>537627.23286300001</v>
      </c>
      <c r="E164" s="83">
        <f>TDCTRIBE!Z173</f>
        <v>593892.8539060998</v>
      </c>
      <c r="F164" s="83">
        <f>TDCTRIBE!AA173</f>
        <v>670883.01826070005</v>
      </c>
      <c r="G164" s="83">
        <f>TDCTRIBE!AB173</f>
        <v>727154.03193440009</v>
      </c>
      <c r="H164" s="83">
        <f>TDCTRIBE!AC173</f>
        <v>784795.42359260004</v>
      </c>
      <c r="O164" s="9"/>
      <c r="P164" s="1"/>
      <c r="Q164" s="1"/>
      <c r="R164" s="1"/>
      <c r="S164" s="1"/>
      <c r="T164" s="1"/>
      <c r="U164" s="1"/>
      <c r="V164" s="9"/>
      <c r="W164" s="3"/>
      <c r="X164" s="4"/>
      <c r="Y164" s="1"/>
      <c r="Z164" s="1"/>
      <c r="AA164" s="1"/>
      <c r="AB164" s="1"/>
      <c r="AC164" s="1"/>
      <c r="AD164" s="3"/>
      <c r="AE164" s="3"/>
      <c r="AF164" s="5"/>
      <c r="AG164" s="5"/>
      <c r="AH164" s="5"/>
      <c r="AI164" s="5"/>
      <c r="AJ164" s="6"/>
      <c r="AK164" s="6"/>
      <c r="AL164" s="12"/>
      <c r="AM164" s="12"/>
      <c r="AN164" s="12"/>
      <c r="AO164" s="12"/>
      <c r="AP164" s="12"/>
    </row>
    <row r="165" spans="1:42" ht="15" x14ac:dyDescent="0.25">
      <c r="A165" s="82" t="str">
        <f>TDCTRIBE!I174</f>
        <v>Alaska</v>
      </c>
      <c r="B165" s="82" t="str">
        <f>TDCTRIBE!B174</f>
        <v>AK</v>
      </c>
      <c r="C165" s="82" t="str">
        <f>TDCTRIBE!F174</f>
        <v>Old Harbor</v>
      </c>
      <c r="D165" s="83">
        <f>TDCTRIBE!Y174</f>
        <v>537627.23286300001</v>
      </c>
      <c r="E165" s="83">
        <f>TDCTRIBE!Z174</f>
        <v>593892.8539060998</v>
      </c>
      <c r="F165" s="83">
        <f>TDCTRIBE!AA174</f>
        <v>670883.01826070005</v>
      </c>
      <c r="G165" s="83">
        <f>TDCTRIBE!AB174</f>
        <v>727154.03193440009</v>
      </c>
      <c r="H165" s="83">
        <f>TDCTRIBE!AC174</f>
        <v>784795.42359260004</v>
      </c>
      <c r="O165" s="9"/>
      <c r="P165" s="1"/>
      <c r="Q165" s="1"/>
      <c r="R165" s="1"/>
      <c r="S165" s="1"/>
      <c r="T165" s="1"/>
      <c r="U165" s="1"/>
      <c r="V165" s="9"/>
      <c r="W165" s="3"/>
      <c r="X165" s="4"/>
      <c r="Y165" s="1"/>
      <c r="Z165" s="1"/>
      <c r="AA165" s="1"/>
      <c r="AB165" s="1"/>
      <c r="AC165" s="1"/>
      <c r="AD165" s="3"/>
      <c r="AE165" s="3"/>
      <c r="AF165" s="5"/>
      <c r="AG165" s="5"/>
      <c r="AH165" s="5"/>
      <c r="AI165" s="5"/>
      <c r="AJ165" s="6"/>
      <c r="AK165" s="6"/>
      <c r="AL165" s="12"/>
      <c r="AM165" s="12"/>
      <c r="AN165" s="12"/>
      <c r="AO165" s="12"/>
      <c r="AP165" s="12"/>
    </row>
    <row r="166" spans="1:42" ht="15" x14ac:dyDescent="0.25">
      <c r="A166" s="82" t="str">
        <f>TDCTRIBE!I175</f>
        <v>Alaska</v>
      </c>
      <c r="B166" s="82" t="str">
        <f>TDCTRIBE!B175</f>
        <v>AK</v>
      </c>
      <c r="C166" s="82" t="str">
        <f>TDCTRIBE!F175</f>
        <v>Orutsararmuit (Bethel)</v>
      </c>
      <c r="D166" s="83">
        <f>TDCTRIBE!Y175</f>
        <v>537627.23286300001</v>
      </c>
      <c r="E166" s="83">
        <f>TDCTRIBE!Z175</f>
        <v>593892.8539060998</v>
      </c>
      <c r="F166" s="83">
        <f>TDCTRIBE!AA175</f>
        <v>670883.01826070005</v>
      </c>
      <c r="G166" s="83">
        <f>TDCTRIBE!AB175</f>
        <v>727154.03193440009</v>
      </c>
      <c r="H166" s="83">
        <f>TDCTRIBE!AC175</f>
        <v>784795.42359260004</v>
      </c>
      <c r="O166" s="9"/>
      <c r="P166" s="1"/>
      <c r="Q166" s="1"/>
      <c r="R166" s="1"/>
      <c r="S166" s="1"/>
      <c r="T166" s="1"/>
      <c r="U166" s="1"/>
      <c r="V166" s="9"/>
      <c r="W166" s="3"/>
      <c r="X166" s="4"/>
      <c r="Y166" s="1"/>
      <c r="Z166" s="1"/>
      <c r="AA166" s="1"/>
      <c r="AB166" s="1"/>
      <c r="AC166" s="1"/>
      <c r="AD166" s="3"/>
      <c r="AE166" s="3"/>
      <c r="AF166" s="5"/>
      <c r="AG166" s="5"/>
      <c r="AH166" s="5"/>
      <c r="AI166" s="5"/>
      <c r="AJ166" s="6"/>
      <c r="AK166" s="6"/>
      <c r="AL166" s="12"/>
      <c r="AM166" s="12"/>
      <c r="AN166" s="12"/>
      <c r="AO166" s="12"/>
      <c r="AP166" s="12"/>
    </row>
    <row r="167" spans="1:42" ht="15" x14ac:dyDescent="0.25">
      <c r="A167" s="82" t="str">
        <f>TDCTRIBE!I176</f>
        <v>Alaska</v>
      </c>
      <c r="B167" s="82" t="str">
        <f>TDCTRIBE!B176</f>
        <v>AK</v>
      </c>
      <c r="C167" s="82" t="str">
        <f>TDCTRIBE!F176</f>
        <v>Oscarville</v>
      </c>
      <c r="D167" s="83">
        <f>TDCTRIBE!Y176</f>
        <v>537627.23286300001</v>
      </c>
      <c r="E167" s="83">
        <f>TDCTRIBE!Z176</f>
        <v>593892.8539060998</v>
      </c>
      <c r="F167" s="83">
        <f>TDCTRIBE!AA176</f>
        <v>670883.01826070005</v>
      </c>
      <c r="G167" s="83">
        <f>TDCTRIBE!AB176</f>
        <v>727154.03193440009</v>
      </c>
      <c r="H167" s="83">
        <f>TDCTRIBE!AC176</f>
        <v>784795.42359260004</v>
      </c>
      <c r="O167" s="9"/>
      <c r="P167" s="1"/>
      <c r="Q167" s="1"/>
      <c r="R167" s="1"/>
      <c r="S167" s="1"/>
      <c r="T167" s="1"/>
      <c r="U167" s="1"/>
      <c r="V167" s="9"/>
      <c r="W167" s="3"/>
      <c r="X167" s="4"/>
      <c r="Y167" s="1"/>
      <c r="Z167" s="1"/>
      <c r="AA167" s="1"/>
      <c r="AB167" s="1"/>
      <c r="AC167" s="1"/>
      <c r="AD167" s="3"/>
      <c r="AE167" s="3"/>
      <c r="AF167" s="5"/>
      <c r="AG167" s="5"/>
      <c r="AH167" s="5"/>
      <c r="AI167" s="5"/>
      <c r="AJ167" s="6"/>
      <c r="AK167" s="6"/>
      <c r="AL167" s="12"/>
      <c r="AM167" s="12"/>
      <c r="AN167" s="12"/>
      <c r="AO167" s="12"/>
      <c r="AP167" s="12"/>
    </row>
    <row r="168" spans="1:42" ht="15" x14ac:dyDescent="0.25">
      <c r="A168" s="82" t="str">
        <f>TDCTRIBE!I177</f>
        <v>Alaska</v>
      </c>
      <c r="B168" s="82" t="str">
        <f>TDCTRIBE!B177</f>
        <v>AK</v>
      </c>
      <c r="C168" s="82" t="str">
        <f>TDCTRIBE!F177</f>
        <v>Ouzinkie</v>
      </c>
      <c r="D168" s="83">
        <f>TDCTRIBE!Y177</f>
        <v>537627.23286300001</v>
      </c>
      <c r="E168" s="83">
        <f>TDCTRIBE!Z177</f>
        <v>593892.8539060998</v>
      </c>
      <c r="F168" s="83">
        <f>TDCTRIBE!AA177</f>
        <v>670883.01826070005</v>
      </c>
      <c r="G168" s="83">
        <f>TDCTRIBE!AB177</f>
        <v>727154.03193440009</v>
      </c>
      <c r="H168" s="83">
        <f>TDCTRIBE!AC177</f>
        <v>784795.42359260004</v>
      </c>
      <c r="O168" s="9"/>
      <c r="P168" s="1"/>
      <c r="Q168" s="1"/>
      <c r="R168" s="1"/>
      <c r="S168" s="1"/>
      <c r="T168" s="1"/>
      <c r="U168" s="1"/>
      <c r="V168" s="9"/>
      <c r="W168" s="3"/>
      <c r="X168" s="4"/>
      <c r="Y168" s="1"/>
      <c r="Z168" s="1"/>
      <c r="AA168" s="1"/>
      <c r="AB168" s="1"/>
      <c r="AC168" s="1"/>
      <c r="AD168" s="3"/>
      <c r="AE168" s="3"/>
      <c r="AF168" s="5"/>
      <c r="AG168" s="5"/>
      <c r="AH168" s="5"/>
      <c r="AI168" s="5"/>
      <c r="AJ168" s="6"/>
      <c r="AK168" s="6"/>
      <c r="AL168" s="12"/>
      <c r="AM168" s="12"/>
      <c r="AN168" s="12"/>
      <c r="AO168" s="12"/>
      <c r="AP168" s="12"/>
    </row>
    <row r="169" spans="1:42" ht="15" x14ac:dyDescent="0.25">
      <c r="A169" s="82" t="str">
        <f>TDCTRIBE!I178</f>
        <v>Alaska</v>
      </c>
      <c r="B169" s="82" t="str">
        <f>TDCTRIBE!B178</f>
        <v>AK</v>
      </c>
      <c r="C169" s="82" t="str">
        <f>TDCTRIBE!F178</f>
        <v>Paimiut</v>
      </c>
      <c r="D169" s="83">
        <f>TDCTRIBE!Y178</f>
        <v>537627.23286300001</v>
      </c>
      <c r="E169" s="83">
        <f>TDCTRIBE!Z178</f>
        <v>593892.8539060998</v>
      </c>
      <c r="F169" s="83">
        <f>TDCTRIBE!AA178</f>
        <v>670883.01826070005</v>
      </c>
      <c r="G169" s="83">
        <f>TDCTRIBE!AB178</f>
        <v>727154.03193440009</v>
      </c>
      <c r="H169" s="83">
        <f>TDCTRIBE!AC178</f>
        <v>784795.42359260004</v>
      </c>
      <c r="O169" s="9"/>
      <c r="P169" s="1"/>
      <c r="Q169" s="1"/>
      <c r="R169" s="1"/>
      <c r="S169" s="1"/>
      <c r="T169" s="1"/>
      <c r="U169" s="1"/>
      <c r="V169" s="9"/>
      <c r="W169" s="3"/>
      <c r="X169" s="4"/>
      <c r="Y169" s="1"/>
      <c r="Z169" s="1"/>
      <c r="AA169" s="1"/>
      <c r="AB169" s="1"/>
      <c r="AC169" s="1"/>
      <c r="AD169" s="3"/>
      <c r="AE169" s="3"/>
      <c r="AF169" s="5"/>
      <c r="AG169" s="5"/>
      <c r="AH169" s="5"/>
      <c r="AI169" s="5"/>
      <c r="AJ169" s="6"/>
      <c r="AK169" s="6"/>
      <c r="AL169" s="12"/>
      <c r="AM169" s="12"/>
      <c r="AN169" s="12"/>
      <c r="AO169" s="12"/>
      <c r="AP169" s="12"/>
    </row>
    <row r="170" spans="1:42" ht="15" x14ac:dyDescent="0.25">
      <c r="A170" s="82" t="str">
        <f>TDCTRIBE!I179</f>
        <v>Alaska</v>
      </c>
      <c r="B170" s="82" t="str">
        <f>TDCTRIBE!B179</f>
        <v>AK</v>
      </c>
      <c r="C170" s="82" t="str">
        <f>TDCTRIBE!F179</f>
        <v>Pauloff Village</v>
      </c>
      <c r="D170" s="83">
        <f>TDCTRIBE!Y179</f>
        <v>537627.23286300001</v>
      </c>
      <c r="E170" s="83">
        <f>TDCTRIBE!Z179</f>
        <v>593892.8539060998</v>
      </c>
      <c r="F170" s="83">
        <f>TDCTRIBE!AA179</f>
        <v>670883.01826070005</v>
      </c>
      <c r="G170" s="83">
        <f>TDCTRIBE!AB179</f>
        <v>727154.03193440009</v>
      </c>
      <c r="H170" s="83">
        <f>TDCTRIBE!AC179</f>
        <v>784795.42359260004</v>
      </c>
      <c r="O170" s="9"/>
      <c r="P170" s="1"/>
      <c r="Q170" s="1"/>
      <c r="R170" s="1"/>
      <c r="S170" s="1"/>
      <c r="T170" s="1"/>
      <c r="U170" s="1"/>
      <c r="V170" s="9"/>
      <c r="W170" s="3"/>
      <c r="X170" s="4"/>
      <c r="Y170" s="1"/>
      <c r="Z170" s="1"/>
      <c r="AA170" s="1"/>
      <c r="AB170" s="1"/>
      <c r="AC170" s="1"/>
      <c r="AD170" s="3"/>
      <c r="AE170" s="3"/>
      <c r="AF170" s="5"/>
      <c r="AG170" s="5"/>
      <c r="AH170" s="5"/>
      <c r="AI170" s="5"/>
      <c r="AJ170" s="6"/>
      <c r="AK170" s="6"/>
      <c r="AL170" s="12"/>
      <c r="AM170" s="12"/>
      <c r="AN170" s="12"/>
      <c r="AO170" s="12"/>
      <c r="AP170" s="12"/>
    </row>
    <row r="171" spans="1:42" ht="15" x14ac:dyDescent="0.25">
      <c r="A171" s="82" t="str">
        <f>TDCTRIBE!I180</f>
        <v>Alaska</v>
      </c>
      <c r="B171" s="82" t="str">
        <f>TDCTRIBE!B180</f>
        <v>AK</v>
      </c>
      <c r="C171" s="82" t="str">
        <f>TDCTRIBE!F180</f>
        <v>Pedro Bay</v>
      </c>
      <c r="D171" s="83">
        <f>TDCTRIBE!Y180</f>
        <v>537627.23286300001</v>
      </c>
      <c r="E171" s="83">
        <f>TDCTRIBE!Z180</f>
        <v>593892.8539060998</v>
      </c>
      <c r="F171" s="83">
        <f>TDCTRIBE!AA180</f>
        <v>670883.01826070005</v>
      </c>
      <c r="G171" s="83">
        <f>TDCTRIBE!AB180</f>
        <v>727154.03193440009</v>
      </c>
      <c r="H171" s="83">
        <f>TDCTRIBE!AC180</f>
        <v>784795.42359260004</v>
      </c>
      <c r="O171" s="9"/>
      <c r="P171" s="1"/>
      <c r="Q171" s="1"/>
      <c r="R171" s="1"/>
      <c r="S171" s="1"/>
      <c r="T171" s="1"/>
      <c r="U171" s="1"/>
      <c r="V171" s="9"/>
      <c r="W171" s="3"/>
      <c r="X171" s="4"/>
      <c r="Y171" s="1"/>
      <c r="Z171" s="1"/>
      <c r="AA171" s="1"/>
      <c r="AB171" s="1"/>
      <c r="AC171" s="1"/>
      <c r="AD171" s="3"/>
      <c r="AE171" s="3"/>
      <c r="AF171" s="5"/>
      <c r="AG171" s="5"/>
      <c r="AH171" s="5"/>
      <c r="AI171" s="5"/>
      <c r="AJ171" s="6"/>
      <c r="AK171" s="6"/>
      <c r="AL171" s="12"/>
      <c r="AM171" s="12"/>
      <c r="AN171" s="12"/>
      <c r="AO171" s="12"/>
      <c r="AP171" s="12"/>
    </row>
    <row r="172" spans="1:42" ht="15" x14ac:dyDescent="0.25">
      <c r="A172" s="82" t="str">
        <f>TDCTRIBE!I181</f>
        <v>Alaska</v>
      </c>
      <c r="B172" s="82" t="str">
        <f>TDCTRIBE!B181</f>
        <v>AK</v>
      </c>
      <c r="C172" s="82" t="str">
        <f>TDCTRIBE!F181</f>
        <v>Perryville</v>
      </c>
      <c r="D172" s="83">
        <f>TDCTRIBE!Y181</f>
        <v>537627.23286300001</v>
      </c>
      <c r="E172" s="83">
        <f>TDCTRIBE!Z181</f>
        <v>593892.8539060998</v>
      </c>
      <c r="F172" s="83">
        <f>TDCTRIBE!AA181</f>
        <v>670883.01826070005</v>
      </c>
      <c r="G172" s="83">
        <f>TDCTRIBE!AB181</f>
        <v>727154.03193440009</v>
      </c>
      <c r="H172" s="83">
        <f>TDCTRIBE!AC181</f>
        <v>784795.42359260004</v>
      </c>
      <c r="O172" s="9"/>
      <c r="P172" s="1"/>
      <c r="Q172" s="1"/>
      <c r="R172" s="1"/>
      <c r="S172" s="1"/>
      <c r="T172" s="1"/>
      <c r="U172" s="1"/>
      <c r="V172" s="9"/>
      <c r="W172" s="3"/>
      <c r="X172" s="4"/>
      <c r="Y172" s="1"/>
      <c r="Z172" s="1"/>
      <c r="AA172" s="1"/>
      <c r="AB172" s="1"/>
      <c r="AC172" s="1"/>
      <c r="AD172" s="3"/>
      <c r="AE172" s="3"/>
      <c r="AF172" s="5"/>
      <c r="AG172" s="5"/>
      <c r="AH172" s="5"/>
      <c r="AI172" s="5"/>
      <c r="AJ172" s="6"/>
      <c r="AK172" s="6"/>
      <c r="AL172" s="12"/>
      <c r="AM172" s="12"/>
      <c r="AN172" s="12"/>
      <c r="AO172" s="12"/>
      <c r="AP172" s="12"/>
    </row>
    <row r="173" spans="1:42" ht="15" x14ac:dyDescent="0.25">
      <c r="A173" s="82" t="str">
        <f>TDCTRIBE!I182</f>
        <v>Alaska</v>
      </c>
      <c r="B173" s="82" t="str">
        <f>TDCTRIBE!B182</f>
        <v>AK</v>
      </c>
      <c r="C173" s="82" t="str">
        <f>TDCTRIBE!F182</f>
        <v>Petersburg</v>
      </c>
      <c r="D173" s="83">
        <f>TDCTRIBE!Y182</f>
        <v>465666.31849500001</v>
      </c>
      <c r="E173" s="83">
        <f>TDCTRIBE!Z182</f>
        <v>514428.62433899997</v>
      </c>
      <c r="F173" s="83">
        <f>TDCTRIBE!AA182</f>
        <v>581158.19019300013</v>
      </c>
      <c r="G173" s="83">
        <f>TDCTRIBE!AB182</f>
        <v>629926.37213100016</v>
      </c>
      <c r="H173" s="83">
        <f>TDCTRIBE!AC182</f>
        <v>679867.06659900001</v>
      </c>
      <c r="O173" s="9"/>
      <c r="P173" s="1"/>
      <c r="Q173" s="1"/>
      <c r="R173" s="1"/>
      <c r="S173" s="1"/>
      <c r="T173" s="1"/>
      <c r="U173" s="1"/>
      <c r="V173" s="9"/>
      <c r="W173" s="3"/>
      <c r="X173" s="4"/>
      <c r="Y173" s="1"/>
      <c r="Z173" s="1"/>
      <c r="AA173" s="1"/>
      <c r="AB173" s="1"/>
      <c r="AC173" s="1"/>
      <c r="AD173" s="3"/>
      <c r="AE173" s="3"/>
      <c r="AF173" s="5"/>
      <c r="AG173" s="5"/>
      <c r="AH173" s="5"/>
      <c r="AI173" s="5"/>
      <c r="AJ173" s="6"/>
      <c r="AK173" s="6"/>
      <c r="AL173" s="12"/>
      <c r="AM173" s="12"/>
      <c r="AN173" s="12"/>
      <c r="AO173" s="12"/>
      <c r="AP173" s="12"/>
    </row>
    <row r="174" spans="1:42" ht="15" x14ac:dyDescent="0.25">
      <c r="A174" s="82" t="str">
        <f>TDCTRIBE!I183</f>
        <v>Alaska</v>
      </c>
      <c r="B174" s="82" t="str">
        <f>TDCTRIBE!B183</f>
        <v>AK</v>
      </c>
      <c r="C174" s="82" t="str">
        <f>TDCTRIBE!F183</f>
        <v>Pilot Point</v>
      </c>
      <c r="D174" s="83">
        <f>TDCTRIBE!Y183</f>
        <v>537627.23286300001</v>
      </c>
      <c r="E174" s="83">
        <f>TDCTRIBE!Z183</f>
        <v>593892.8539060998</v>
      </c>
      <c r="F174" s="83">
        <f>TDCTRIBE!AA183</f>
        <v>670883.01826070005</v>
      </c>
      <c r="G174" s="83">
        <f>TDCTRIBE!AB183</f>
        <v>727154.03193440009</v>
      </c>
      <c r="H174" s="83">
        <f>TDCTRIBE!AC183</f>
        <v>784795.42359260004</v>
      </c>
      <c r="O174" s="9"/>
      <c r="P174" s="1"/>
      <c r="Q174" s="1"/>
      <c r="R174" s="1"/>
      <c r="S174" s="1"/>
      <c r="T174" s="1"/>
      <c r="U174" s="1"/>
      <c r="V174" s="9"/>
      <c r="W174" s="3"/>
      <c r="X174" s="4"/>
      <c r="Y174" s="1"/>
      <c r="Z174" s="1"/>
      <c r="AA174" s="1"/>
      <c r="AB174" s="1"/>
      <c r="AC174" s="1"/>
      <c r="AD174" s="3"/>
      <c r="AE174" s="3"/>
      <c r="AF174" s="5"/>
      <c r="AG174" s="5"/>
      <c r="AH174" s="5"/>
      <c r="AI174" s="5"/>
      <c r="AJ174" s="6"/>
      <c r="AK174" s="6"/>
      <c r="AL174" s="12"/>
      <c r="AM174" s="12"/>
      <c r="AN174" s="12"/>
      <c r="AO174" s="12"/>
      <c r="AP174" s="12"/>
    </row>
    <row r="175" spans="1:42" ht="15" x14ac:dyDescent="0.25">
      <c r="A175" s="82" t="str">
        <f>TDCTRIBE!I184</f>
        <v>Alaska</v>
      </c>
      <c r="B175" s="82" t="str">
        <f>TDCTRIBE!B184</f>
        <v>AK</v>
      </c>
      <c r="C175" s="82" t="str">
        <f>TDCTRIBE!F184</f>
        <v>Pilot Station</v>
      </c>
      <c r="D175" s="83">
        <f>TDCTRIBE!Y184</f>
        <v>537627.23286300001</v>
      </c>
      <c r="E175" s="83">
        <f>TDCTRIBE!Z184</f>
        <v>593892.8539060998</v>
      </c>
      <c r="F175" s="83">
        <f>TDCTRIBE!AA184</f>
        <v>670883.01826070005</v>
      </c>
      <c r="G175" s="83">
        <f>TDCTRIBE!AB184</f>
        <v>727154.03193440009</v>
      </c>
      <c r="H175" s="83">
        <f>TDCTRIBE!AC184</f>
        <v>784795.42359260004</v>
      </c>
      <c r="O175" s="9"/>
      <c r="P175" s="1"/>
      <c r="Q175" s="1"/>
      <c r="R175" s="1"/>
      <c r="S175" s="1"/>
      <c r="T175" s="1"/>
      <c r="U175" s="1"/>
      <c r="V175" s="9"/>
      <c r="W175" s="3"/>
      <c r="X175" s="4"/>
      <c r="Y175" s="1"/>
      <c r="Z175" s="1"/>
      <c r="AA175" s="1"/>
      <c r="AB175" s="1"/>
      <c r="AC175" s="1"/>
      <c r="AD175" s="3"/>
      <c r="AE175" s="3"/>
      <c r="AF175" s="5"/>
      <c r="AG175" s="5"/>
      <c r="AH175" s="5"/>
      <c r="AI175" s="5"/>
      <c r="AJ175" s="6"/>
      <c r="AK175" s="6"/>
      <c r="AL175" s="12"/>
      <c r="AM175" s="12"/>
      <c r="AN175" s="12"/>
      <c r="AO175" s="12"/>
      <c r="AP175" s="12"/>
    </row>
    <row r="176" spans="1:42" ht="15" x14ac:dyDescent="0.25">
      <c r="A176" s="82" t="str">
        <f>TDCTRIBE!I185</f>
        <v>Alaska</v>
      </c>
      <c r="B176" s="82" t="str">
        <f>TDCTRIBE!B185</f>
        <v>AK</v>
      </c>
      <c r="C176" s="82" t="str">
        <f>TDCTRIBE!F185</f>
        <v>Pitka's Point</v>
      </c>
      <c r="D176" s="83">
        <f>TDCTRIBE!Y185</f>
        <v>537627.23286300001</v>
      </c>
      <c r="E176" s="83">
        <f>TDCTRIBE!Z185</f>
        <v>593892.8539060998</v>
      </c>
      <c r="F176" s="83">
        <f>TDCTRIBE!AA185</f>
        <v>670883.01826070005</v>
      </c>
      <c r="G176" s="83">
        <f>TDCTRIBE!AB185</f>
        <v>727154.03193440009</v>
      </c>
      <c r="H176" s="83">
        <f>TDCTRIBE!AC185</f>
        <v>784795.42359260004</v>
      </c>
      <c r="O176" s="9"/>
      <c r="P176" s="1"/>
      <c r="Q176" s="1"/>
      <c r="R176" s="1"/>
      <c r="S176" s="1"/>
      <c r="T176" s="1"/>
      <c r="U176" s="1"/>
      <c r="V176" s="9"/>
      <c r="W176" s="3"/>
      <c r="X176" s="4"/>
      <c r="Y176" s="1"/>
      <c r="Z176" s="1"/>
      <c r="AA176" s="1"/>
      <c r="AB176" s="1"/>
      <c r="AC176" s="1"/>
      <c r="AD176" s="3"/>
      <c r="AE176" s="3"/>
      <c r="AF176" s="5"/>
      <c r="AG176" s="5"/>
      <c r="AH176" s="5"/>
      <c r="AI176" s="5"/>
      <c r="AJ176" s="6"/>
      <c r="AK176" s="6"/>
      <c r="AL176" s="12"/>
      <c r="AM176" s="12"/>
      <c r="AN176" s="12"/>
      <c r="AO176" s="12"/>
      <c r="AP176" s="12"/>
    </row>
    <row r="177" spans="1:42" ht="15" x14ac:dyDescent="0.25">
      <c r="A177" s="82" t="str">
        <f>TDCTRIBE!I186</f>
        <v>Alaska</v>
      </c>
      <c r="B177" s="82" t="str">
        <f>TDCTRIBE!B186</f>
        <v>AK</v>
      </c>
      <c r="C177" s="82" t="str">
        <f>TDCTRIBE!F186</f>
        <v>Platinum</v>
      </c>
      <c r="D177" s="83">
        <f>TDCTRIBE!Y186</f>
        <v>537627.23286300001</v>
      </c>
      <c r="E177" s="83">
        <f>TDCTRIBE!Z186</f>
        <v>593892.8539060998</v>
      </c>
      <c r="F177" s="83">
        <f>TDCTRIBE!AA186</f>
        <v>670883.01826070005</v>
      </c>
      <c r="G177" s="83">
        <f>TDCTRIBE!AB186</f>
        <v>727154.03193440009</v>
      </c>
      <c r="H177" s="83">
        <f>TDCTRIBE!AC186</f>
        <v>784795.42359260004</v>
      </c>
      <c r="O177" s="9"/>
      <c r="P177" s="1"/>
      <c r="Q177" s="1"/>
      <c r="R177" s="1"/>
      <c r="S177" s="1"/>
      <c r="T177" s="1"/>
      <c r="U177" s="1"/>
      <c r="V177" s="9"/>
      <c r="W177" s="3"/>
      <c r="X177" s="4"/>
      <c r="Y177" s="1"/>
      <c r="Z177" s="1"/>
      <c r="AA177" s="1"/>
      <c r="AB177" s="1"/>
      <c r="AC177" s="1"/>
      <c r="AD177" s="3"/>
      <c r="AE177" s="3"/>
      <c r="AF177" s="5"/>
      <c r="AG177" s="5"/>
      <c r="AH177" s="5"/>
      <c r="AI177" s="5"/>
      <c r="AJ177" s="6"/>
      <c r="AK177" s="6"/>
      <c r="AL177" s="12"/>
      <c r="AM177" s="12"/>
      <c r="AN177" s="12"/>
      <c r="AO177" s="12"/>
      <c r="AP177" s="12"/>
    </row>
    <row r="178" spans="1:42" ht="15" x14ac:dyDescent="0.25">
      <c r="A178" s="82" t="str">
        <f>TDCTRIBE!I187</f>
        <v>Alaska</v>
      </c>
      <c r="B178" s="82" t="str">
        <f>TDCTRIBE!B187</f>
        <v>AK</v>
      </c>
      <c r="C178" s="82" t="str">
        <f>TDCTRIBE!F187</f>
        <v>Point Hope</v>
      </c>
      <c r="D178" s="83">
        <f>TDCTRIBE!Y187</f>
        <v>573912.50187599997</v>
      </c>
      <c r="E178" s="83">
        <f>TDCTRIBE!Z187</f>
        <v>633906.89508719998</v>
      </c>
      <c r="F178" s="83">
        <f>TDCTRIBE!AA187</f>
        <v>715983.34034640016</v>
      </c>
      <c r="G178" s="83">
        <f>TDCTRIBE!AB187</f>
        <v>775980.51116880018</v>
      </c>
      <c r="H178" s="83">
        <f>TDCTRIBE!AC187</f>
        <v>837476.24333520012</v>
      </c>
      <c r="O178" s="9"/>
      <c r="P178" s="1"/>
      <c r="Q178" s="1"/>
      <c r="R178" s="1"/>
      <c r="S178" s="1"/>
      <c r="T178" s="1"/>
      <c r="U178" s="1"/>
      <c r="V178" s="9"/>
      <c r="W178" s="3"/>
      <c r="X178" s="4"/>
      <c r="Y178" s="1"/>
      <c r="Z178" s="1"/>
      <c r="AA178" s="1"/>
      <c r="AB178" s="1"/>
      <c r="AC178" s="1"/>
      <c r="AD178" s="3"/>
      <c r="AE178" s="3"/>
      <c r="AF178" s="5"/>
      <c r="AG178" s="5"/>
      <c r="AH178" s="5"/>
      <c r="AI178" s="5"/>
      <c r="AJ178" s="6"/>
      <c r="AK178" s="6"/>
      <c r="AL178" s="12"/>
      <c r="AM178" s="12"/>
      <c r="AN178" s="12"/>
      <c r="AO178" s="12"/>
      <c r="AP178" s="12"/>
    </row>
    <row r="179" spans="1:42" ht="15" x14ac:dyDescent="0.25">
      <c r="A179" s="82" t="str">
        <f>TDCTRIBE!I188</f>
        <v>Alaska</v>
      </c>
      <c r="B179" s="82" t="str">
        <f>TDCTRIBE!B188</f>
        <v>AK</v>
      </c>
      <c r="C179" s="82" t="str">
        <f>TDCTRIBE!F188</f>
        <v>Point Lay</v>
      </c>
      <c r="D179" s="83">
        <f>TDCTRIBE!Y188</f>
        <v>573912.50187599997</v>
      </c>
      <c r="E179" s="83">
        <f>TDCTRIBE!Z188</f>
        <v>633906.89508719998</v>
      </c>
      <c r="F179" s="83">
        <f>TDCTRIBE!AA188</f>
        <v>715983.34034640016</v>
      </c>
      <c r="G179" s="83">
        <f>TDCTRIBE!AB188</f>
        <v>775980.51116880018</v>
      </c>
      <c r="H179" s="83">
        <f>TDCTRIBE!AC188</f>
        <v>837476.24333520012</v>
      </c>
      <c r="O179" s="9"/>
      <c r="P179" s="1"/>
      <c r="Q179" s="1"/>
      <c r="R179" s="1"/>
      <c r="S179" s="1"/>
      <c r="T179" s="1"/>
      <c r="U179" s="1"/>
      <c r="V179" s="9"/>
      <c r="W179" s="3"/>
      <c r="X179" s="4"/>
      <c r="Y179" s="1"/>
      <c r="Z179" s="1"/>
      <c r="AA179" s="1"/>
      <c r="AB179" s="1"/>
      <c r="AC179" s="1"/>
      <c r="AD179" s="3"/>
      <c r="AE179" s="3"/>
      <c r="AF179" s="5"/>
      <c r="AG179" s="5"/>
      <c r="AH179" s="5"/>
      <c r="AI179" s="5"/>
      <c r="AJ179" s="6"/>
      <c r="AK179" s="6"/>
      <c r="AL179" s="12"/>
      <c r="AM179" s="12"/>
      <c r="AN179" s="12"/>
      <c r="AO179" s="12"/>
      <c r="AP179" s="12"/>
    </row>
    <row r="180" spans="1:42" ht="15" x14ac:dyDescent="0.25">
      <c r="A180" s="82" t="str">
        <f>TDCTRIBE!I189</f>
        <v>Alaska</v>
      </c>
      <c r="B180" s="82" t="str">
        <f>TDCTRIBE!B189</f>
        <v>AK</v>
      </c>
      <c r="C180" s="82" t="str">
        <f>TDCTRIBE!F189</f>
        <v>Port Graham</v>
      </c>
      <c r="D180" s="83">
        <f>TDCTRIBE!Y189</f>
        <v>465666.31849500001</v>
      </c>
      <c r="E180" s="83">
        <f>TDCTRIBE!Z189</f>
        <v>514428.62433899997</v>
      </c>
      <c r="F180" s="83">
        <f>TDCTRIBE!AA189</f>
        <v>581158.19019300013</v>
      </c>
      <c r="G180" s="83">
        <f>TDCTRIBE!AB189</f>
        <v>629926.37213100016</v>
      </c>
      <c r="H180" s="83">
        <f>TDCTRIBE!AC189</f>
        <v>679867.06659900001</v>
      </c>
      <c r="O180" s="9"/>
      <c r="P180" s="1"/>
      <c r="Q180" s="1"/>
      <c r="R180" s="1"/>
      <c r="S180" s="1"/>
      <c r="T180" s="1"/>
      <c r="U180" s="1"/>
      <c r="V180" s="9"/>
      <c r="W180" s="3"/>
      <c r="X180" s="4"/>
      <c r="Y180" s="1"/>
      <c r="Z180" s="1"/>
      <c r="AA180" s="1"/>
      <c r="AB180" s="1"/>
      <c r="AC180" s="1"/>
      <c r="AD180" s="3"/>
      <c r="AE180" s="3"/>
      <c r="AF180" s="5"/>
      <c r="AG180" s="5"/>
      <c r="AH180" s="5"/>
      <c r="AI180" s="5"/>
      <c r="AJ180" s="6"/>
      <c r="AK180" s="6"/>
      <c r="AL180" s="12"/>
      <c r="AM180" s="12"/>
      <c r="AN180" s="12"/>
      <c r="AO180" s="12"/>
      <c r="AP180" s="12"/>
    </row>
    <row r="181" spans="1:42" ht="15" x14ac:dyDescent="0.25">
      <c r="A181" s="82" t="str">
        <f>TDCTRIBE!I190</f>
        <v>Alaska</v>
      </c>
      <c r="B181" s="82" t="str">
        <f>TDCTRIBE!B190</f>
        <v>AK</v>
      </c>
      <c r="C181" s="82" t="str">
        <f>TDCTRIBE!F190</f>
        <v>Port Heiden</v>
      </c>
      <c r="D181" s="83">
        <f>TDCTRIBE!Y190</f>
        <v>537627.23286300001</v>
      </c>
      <c r="E181" s="83">
        <f>TDCTRIBE!Z190</f>
        <v>593892.8539060998</v>
      </c>
      <c r="F181" s="83">
        <f>TDCTRIBE!AA190</f>
        <v>670883.01826070005</v>
      </c>
      <c r="G181" s="83">
        <f>TDCTRIBE!AB190</f>
        <v>727154.03193440009</v>
      </c>
      <c r="H181" s="83">
        <f>TDCTRIBE!AC190</f>
        <v>784795.42359260004</v>
      </c>
      <c r="O181" s="9"/>
      <c r="P181" s="1"/>
      <c r="Q181" s="1"/>
      <c r="R181" s="1"/>
      <c r="S181" s="1"/>
      <c r="T181" s="1"/>
      <c r="U181" s="1"/>
      <c r="V181" s="9"/>
      <c r="W181" s="3"/>
      <c r="X181" s="4"/>
      <c r="Y181" s="1"/>
      <c r="Z181" s="1"/>
      <c r="AA181" s="1"/>
      <c r="AB181" s="1"/>
      <c r="AC181" s="1"/>
      <c r="AD181" s="3"/>
      <c r="AE181" s="3"/>
      <c r="AF181" s="5"/>
      <c r="AG181" s="5"/>
      <c r="AH181" s="5"/>
      <c r="AI181" s="5"/>
      <c r="AJ181" s="6"/>
      <c r="AK181" s="6"/>
      <c r="AL181" s="12"/>
      <c r="AM181" s="12"/>
      <c r="AN181" s="12"/>
      <c r="AO181" s="12"/>
      <c r="AP181" s="12"/>
    </row>
    <row r="182" spans="1:42" ht="15" x14ac:dyDescent="0.25">
      <c r="A182" s="82" t="str">
        <f>TDCTRIBE!I191</f>
        <v>Alaska</v>
      </c>
      <c r="B182" s="82" t="str">
        <f>TDCTRIBE!B191</f>
        <v>AK</v>
      </c>
      <c r="C182" s="82" t="str">
        <f>TDCTRIBE!F191</f>
        <v>Port Lions</v>
      </c>
      <c r="D182" s="83">
        <f>TDCTRIBE!Y191</f>
        <v>537627.23286300001</v>
      </c>
      <c r="E182" s="83">
        <f>TDCTRIBE!Z191</f>
        <v>593892.8539060998</v>
      </c>
      <c r="F182" s="83">
        <f>TDCTRIBE!AA191</f>
        <v>670883.01826070005</v>
      </c>
      <c r="G182" s="83">
        <f>TDCTRIBE!AB191</f>
        <v>727154.03193440009</v>
      </c>
      <c r="H182" s="83">
        <f>TDCTRIBE!AC191</f>
        <v>784795.42359260004</v>
      </c>
      <c r="O182" s="9"/>
      <c r="P182" s="1"/>
      <c r="Q182" s="1"/>
      <c r="R182" s="1"/>
      <c r="S182" s="1"/>
      <c r="T182" s="1"/>
      <c r="U182" s="1"/>
      <c r="V182" s="9"/>
      <c r="W182" s="3"/>
      <c r="X182" s="4"/>
      <c r="Y182" s="1"/>
      <c r="Z182" s="1"/>
      <c r="AA182" s="1"/>
      <c r="AB182" s="1"/>
      <c r="AC182" s="1"/>
      <c r="AD182" s="3"/>
      <c r="AE182" s="3"/>
      <c r="AF182" s="5"/>
      <c r="AG182" s="5"/>
      <c r="AH182" s="5"/>
      <c r="AI182" s="5"/>
      <c r="AJ182" s="6"/>
      <c r="AK182" s="6"/>
      <c r="AL182" s="12"/>
      <c r="AM182" s="12"/>
      <c r="AN182" s="12"/>
      <c r="AO182" s="12"/>
      <c r="AP182" s="12"/>
    </row>
    <row r="183" spans="1:42" ht="15" x14ac:dyDescent="0.25">
      <c r="A183" s="82" t="str">
        <f>TDCTRIBE!I192</f>
        <v>Alaska</v>
      </c>
      <c r="B183" s="82" t="str">
        <f>TDCTRIBE!B192</f>
        <v>AK</v>
      </c>
      <c r="C183" s="82" t="str">
        <f>TDCTRIBE!F192</f>
        <v>Portage Creek</v>
      </c>
      <c r="D183" s="83">
        <f>TDCTRIBE!Y192</f>
        <v>537627.23286300001</v>
      </c>
      <c r="E183" s="83">
        <f>TDCTRIBE!Z192</f>
        <v>593892.8539060998</v>
      </c>
      <c r="F183" s="83">
        <f>TDCTRIBE!AA192</f>
        <v>670883.01826070005</v>
      </c>
      <c r="G183" s="83">
        <f>TDCTRIBE!AB192</f>
        <v>727154.03193440009</v>
      </c>
      <c r="H183" s="83">
        <f>TDCTRIBE!AC192</f>
        <v>784795.42359260004</v>
      </c>
      <c r="O183" s="9"/>
      <c r="P183" s="1"/>
      <c r="Q183" s="1"/>
      <c r="R183" s="1"/>
      <c r="S183" s="1"/>
      <c r="T183" s="1"/>
      <c r="U183" s="1"/>
      <c r="V183" s="9"/>
      <c r="W183" s="3"/>
      <c r="X183" s="4"/>
      <c r="Y183" s="1"/>
      <c r="Z183" s="1"/>
      <c r="AA183" s="1"/>
      <c r="AB183" s="1"/>
      <c r="AC183" s="1"/>
      <c r="AD183" s="3"/>
      <c r="AE183" s="3"/>
      <c r="AF183" s="5"/>
      <c r="AG183" s="5"/>
      <c r="AH183" s="5"/>
      <c r="AI183" s="5"/>
      <c r="AJ183" s="6"/>
      <c r="AK183" s="6"/>
      <c r="AL183" s="12"/>
      <c r="AM183" s="12"/>
      <c r="AN183" s="12"/>
      <c r="AO183" s="12"/>
      <c r="AP183" s="12"/>
    </row>
    <row r="184" spans="1:42" ht="15" x14ac:dyDescent="0.25">
      <c r="A184" s="82" t="str">
        <f>TDCTRIBE!I193</f>
        <v>Alaska</v>
      </c>
      <c r="B184" s="82" t="str">
        <f>TDCTRIBE!B193</f>
        <v>AK</v>
      </c>
      <c r="C184" s="82" t="str">
        <f>TDCTRIBE!F193</f>
        <v>Qagan Tayagungin (Sand Point)</v>
      </c>
      <c r="D184" s="83">
        <f>TDCTRIBE!Y193</f>
        <v>537627.23286300001</v>
      </c>
      <c r="E184" s="83">
        <f>TDCTRIBE!Z193</f>
        <v>593892.8539060998</v>
      </c>
      <c r="F184" s="83">
        <f>TDCTRIBE!AA193</f>
        <v>670883.01826070005</v>
      </c>
      <c r="G184" s="83">
        <f>TDCTRIBE!AB193</f>
        <v>727154.03193440009</v>
      </c>
      <c r="H184" s="83">
        <f>TDCTRIBE!AC193</f>
        <v>784795.42359260004</v>
      </c>
      <c r="O184" s="9"/>
      <c r="P184" s="1"/>
      <c r="Q184" s="1"/>
      <c r="R184" s="1"/>
      <c r="S184" s="1"/>
      <c r="T184" s="1"/>
      <c r="U184" s="1"/>
      <c r="V184" s="9"/>
      <c r="W184" s="3"/>
      <c r="X184" s="4"/>
      <c r="Y184" s="1"/>
      <c r="Z184" s="1"/>
      <c r="AA184" s="1"/>
      <c r="AB184" s="1"/>
      <c r="AC184" s="1"/>
      <c r="AD184" s="3"/>
      <c r="AE184" s="3"/>
      <c r="AF184" s="5"/>
      <c r="AG184" s="5"/>
      <c r="AH184" s="5"/>
      <c r="AI184" s="5"/>
      <c r="AJ184" s="6"/>
      <c r="AK184" s="6"/>
      <c r="AL184" s="12"/>
      <c r="AM184" s="12"/>
      <c r="AN184" s="12"/>
      <c r="AO184" s="12"/>
      <c r="AP184" s="12"/>
    </row>
    <row r="185" spans="1:42" ht="15" x14ac:dyDescent="0.25">
      <c r="A185" s="82" t="str">
        <f>TDCTRIBE!I194</f>
        <v>Alaska</v>
      </c>
      <c r="B185" s="82" t="str">
        <f>TDCTRIBE!B194</f>
        <v>AK</v>
      </c>
      <c r="C185" s="82" t="str">
        <f>TDCTRIBE!F194</f>
        <v>Qawalangin (Unalaska)</v>
      </c>
      <c r="D185" s="83">
        <f>TDCTRIBE!Y194</f>
        <v>537627.23286300001</v>
      </c>
      <c r="E185" s="83">
        <f>TDCTRIBE!Z194</f>
        <v>593892.8539060998</v>
      </c>
      <c r="F185" s="83">
        <f>TDCTRIBE!AA194</f>
        <v>670883.01826070005</v>
      </c>
      <c r="G185" s="83">
        <f>TDCTRIBE!AB194</f>
        <v>727154.03193440009</v>
      </c>
      <c r="H185" s="83">
        <f>TDCTRIBE!AC194</f>
        <v>784795.42359260004</v>
      </c>
      <c r="O185" s="9"/>
      <c r="P185" s="1"/>
      <c r="Q185" s="1"/>
      <c r="R185" s="1"/>
      <c r="S185" s="1"/>
      <c r="T185" s="1"/>
      <c r="U185" s="1"/>
      <c r="V185" s="9"/>
      <c r="W185" s="3"/>
      <c r="X185" s="4"/>
      <c r="Y185" s="1"/>
      <c r="Z185" s="1"/>
      <c r="AA185" s="1"/>
      <c r="AB185" s="1"/>
      <c r="AC185" s="1"/>
      <c r="AD185" s="3"/>
      <c r="AE185" s="3"/>
      <c r="AF185" s="5"/>
      <c r="AG185" s="5"/>
      <c r="AH185" s="5"/>
      <c r="AI185" s="5"/>
      <c r="AJ185" s="6"/>
      <c r="AK185" s="6"/>
      <c r="AL185" s="12"/>
      <c r="AM185" s="12"/>
      <c r="AN185" s="12"/>
      <c r="AO185" s="12"/>
      <c r="AP185" s="12"/>
    </row>
    <row r="186" spans="1:42" ht="15" x14ac:dyDescent="0.25">
      <c r="A186" s="82" t="str">
        <f>TDCTRIBE!I195</f>
        <v>Alaska</v>
      </c>
      <c r="B186" s="82" t="str">
        <f>TDCTRIBE!B195</f>
        <v>AK</v>
      </c>
      <c r="C186" s="82" t="str">
        <f>TDCTRIBE!F195</f>
        <v>Rampart</v>
      </c>
      <c r="D186" s="83">
        <f>TDCTRIBE!Y195</f>
        <v>537627.23286300001</v>
      </c>
      <c r="E186" s="83">
        <f>TDCTRIBE!Z195</f>
        <v>593892.8539060998</v>
      </c>
      <c r="F186" s="83">
        <f>TDCTRIBE!AA195</f>
        <v>670883.01826070005</v>
      </c>
      <c r="G186" s="83">
        <f>TDCTRIBE!AB195</f>
        <v>727154.03193440009</v>
      </c>
      <c r="H186" s="83">
        <f>TDCTRIBE!AC195</f>
        <v>784795.42359260004</v>
      </c>
      <c r="O186" s="9"/>
      <c r="P186" s="1"/>
      <c r="Q186" s="1"/>
      <c r="R186" s="1"/>
      <c r="S186" s="1"/>
      <c r="T186" s="1"/>
      <c r="U186" s="1"/>
      <c r="V186" s="9"/>
      <c r="W186" s="3"/>
      <c r="X186" s="4"/>
      <c r="Y186" s="1"/>
      <c r="Z186" s="1"/>
      <c r="AA186" s="1"/>
      <c r="AB186" s="1"/>
      <c r="AC186" s="1"/>
      <c r="AD186" s="3"/>
      <c r="AE186" s="3"/>
      <c r="AF186" s="5"/>
      <c r="AG186" s="5"/>
      <c r="AH186" s="5"/>
      <c r="AI186" s="5"/>
      <c r="AJ186" s="6"/>
      <c r="AK186" s="6"/>
      <c r="AL186" s="12"/>
      <c r="AM186" s="12"/>
      <c r="AN186" s="12"/>
      <c r="AO186" s="12"/>
      <c r="AP186" s="12"/>
    </row>
    <row r="187" spans="1:42" ht="15" x14ac:dyDescent="0.25">
      <c r="A187" s="82" t="str">
        <f>TDCTRIBE!I196</f>
        <v>Alaska</v>
      </c>
      <c r="B187" s="82" t="str">
        <f>TDCTRIBE!B196</f>
        <v>AK</v>
      </c>
      <c r="C187" s="82" t="str">
        <f>TDCTRIBE!F196</f>
        <v>Red Devil</v>
      </c>
      <c r="D187" s="83">
        <f>TDCTRIBE!Y196</f>
        <v>537627.23286300001</v>
      </c>
      <c r="E187" s="83">
        <f>TDCTRIBE!Z196</f>
        <v>593892.8539060998</v>
      </c>
      <c r="F187" s="83">
        <f>TDCTRIBE!AA196</f>
        <v>670883.01826070005</v>
      </c>
      <c r="G187" s="83">
        <f>TDCTRIBE!AB196</f>
        <v>727154.03193440009</v>
      </c>
      <c r="H187" s="83">
        <f>TDCTRIBE!AC196</f>
        <v>784795.42359260004</v>
      </c>
      <c r="O187" s="9"/>
      <c r="P187" s="1"/>
      <c r="Q187" s="1"/>
      <c r="R187" s="1"/>
      <c r="S187" s="1"/>
      <c r="T187" s="1"/>
      <c r="U187" s="1"/>
      <c r="V187" s="9"/>
      <c r="W187" s="3"/>
      <c r="X187" s="4"/>
      <c r="Y187" s="1"/>
      <c r="Z187" s="1"/>
      <c r="AA187" s="1"/>
      <c r="AB187" s="1"/>
      <c r="AC187" s="1"/>
      <c r="AD187" s="3"/>
      <c r="AE187" s="3"/>
      <c r="AF187" s="5"/>
      <c r="AG187" s="5"/>
      <c r="AH187" s="5"/>
      <c r="AI187" s="5"/>
      <c r="AJ187" s="6"/>
      <c r="AK187" s="6"/>
      <c r="AL187" s="12"/>
      <c r="AM187" s="12"/>
      <c r="AN187" s="12"/>
      <c r="AO187" s="12"/>
      <c r="AP187" s="12"/>
    </row>
    <row r="188" spans="1:42" ht="15" x14ac:dyDescent="0.25">
      <c r="A188" s="82" t="str">
        <f>TDCTRIBE!I197</f>
        <v>Alaska</v>
      </c>
      <c r="B188" s="82" t="str">
        <f>TDCTRIBE!B197</f>
        <v>AK</v>
      </c>
      <c r="C188" s="82" t="str">
        <f>TDCTRIBE!F197</f>
        <v>Ruby</v>
      </c>
      <c r="D188" s="83">
        <f>TDCTRIBE!Y197</f>
        <v>573912.50187599997</v>
      </c>
      <c r="E188" s="83">
        <f>TDCTRIBE!Z197</f>
        <v>633906.89508719998</v>
      </c>
      <c r="F188" s="83">
        <f>TDCTRIBE!AA197</f>
        <v>715983.34034640016</v>
      </c>
      <c r="G188" s="83">
        <f>TDCTRIBE!AB197</f>
        <v>775980.51116880018</v>
      </c>
      <c r="H188" s="83">
        <f>TDCTRIBE!AC197</f>
        <v>837476.24333520012</v>
      </c>
      <c r="O188" s="9"/>
      <c r="P188" s="1"/>
      <c r="Q188" s="1"/>
      <c r="R188" s="1"/>
      <c r="S188" s="1"/>
      <c r="T188" s="1"/>
      <c r="U188" s="1"/>
      <c r="V188" s="9"/>
      <c r="W188" s="3"/>
      <c r="X188" s="4"/>
      <c r="Y188" s="1"/>
      <c r="Z188" s="1"/>
      <c r="AA188" s="1"/>
      <c r="AB188" s="1"/>
      <c r="AC188" s="1"/>
      <c r="AD188" s="3"/>
      <c r="AE188" s="3"/>
      <c r="AF188" s="5"/>
      <c r="AG188" s="5"/>
      <c r="AH188" s="5"/>
      <c r="AI188" s="5"/>
      <c r="AJ188" s="6"/>
      <c r="AK188" s="6"/>
      <c r="AL188" s="12"/>
      <c r="AM188" s="12"/>
      <c r="AN188" s="12"/>
      <c r="AO188" s="12"/>
      <c r="AP188" s="12"/>
    </row>
    <row r="189" spans="1:42" ht="15" x14ac:dyDescent="0.25">
      <c r="A189" s="82" t="str">
        <f>TDCTRIBE!I198</f>
        <v>Alaska</v>
      </c>
      <c r="B189" s="82" t="str">
        <f>TDCTRIBE!B198</f>
        <v>AK</v>
      </c>
      <c r="C189" s="82" t="str">
        <f>TDCTRIBE!F198</f>
        <v>Russian Mission (Yukon)</v>
      </c>
      <c r="D189" s="83">
        <f>TDCTRIBE!Y198</f>
        <v>537627.23286300001</v>
      </c>
      <c r="E189" s="83">
        <f>TDCTRIBE!Z198</f>
        <v>593892.8539060998</v>
      </c>
      <c r="F189" s="83">
        <f>TDCTRIBE!AA198</f>
        <v>670883.01826070005</v>
      </c>
      <c r="G189" s="83">
        <f>TDCTRIBE!AB198</f>
        <v>727154.03193440009</v>
      </c>
      <c r="H189" s="83">
        <f>TDCTRIBE!AC198</f>
        <v>784795.42359260004</v>
      </c>
      <c r="O189" s="9"/>
      <c r="P189" s="1"/>
      <c r="Q189" s="1"/>
      <c r="R189" s="1"/>
      <c r="S189" s="1"/>
      <c r="T189" s="1"/>
      <c r="U189" s="1"/>
      <c r="V189" s="9"/>
      <c r="W189" s="3"/>
      <c r="X189" s="4"/>
      <c r="Y189" s="1"/>
      <c r="Z189" s="1"/>
      <c r="AA189" s="1"/>
      <c r="AB189" s="1"/>
      <c r="AC189" s="1"/>
      <c r="AD189" s="3"/>
      <c r="AE189" s="3"/>
      <c r="AF189" s="5"/>
      <c r="AG189" s="5"/>
      <c r="AH189" s="5"/>
      <c r="AI189" s="5"/>
      <c r="AJ189" s="6"/>
      <c r="AK189" s="6"/>
      <c r="AL189" s="12"/>
      <c r="AM189" s="12"/>
      <c r="AN189" s="12"/>
      <c r="AO189" s="12"/>
      <c r="AP189" s="12"/>
    </row>
    <row r="190" spans="1:42" ht="15" x14ac:dyDescent="0.25">
      <c r="A190" s="82" t="str">
        <f>TDCTRIBE!I199</f>
        <v>Alaska</v>
      </c>
      <c r="B190" s="82" t="str">
        <f>TDCTRIBE!B199</f>
        <v>AK</v>
      </c>
      <c r="C190" s="82" t="str">
        <f>TDCTRIBE!F199</f>
        <v>Saint George</v>
      </c>
      <c r="D190" s="83">
        <f>TDCTRIBE!Y199</f>
        <v>537627.23286300001</v>
      </c>
      <c r="E190" s="83">
        <f>TDCTRIBE!Z199</f>
        <v>593892.8539060998</v>
      </c>
      <c r="F190" s="83">
        <f>TDCTRIBE!AA199</f>
        <v>670883.01826070005</v>
      </c>
      <c r="G190" s="83">
        <f>TDCTRIBE!AB199</f>
        <v>727154.03193440009</v>
      </c>
      <c r="H190" s="83">
        <f>TDCTRIBE!AC199</f>
        <v>784795.42359260004</v>
      </c>
      <c r="O190" s="9"/>
      <c r="P190" s="1"/>
      <c r="Q190" s="1"/>
      <c r="R190" s="1"/>
      <c r="S190" s="1"/>
      <c r="T190" s="1"/>
      <c r="U190" s="1"/>
      <c r="V190" s="9"/>
      <c r="W190" s="3"/>
      <c r="X190" s="4"/>
      <c r="Y190" s="1"/>
      <c r="Z190" s="1"/>
      <c r="AA190" s="1"/>
      <c r="AB190" s="1"/>
      <c r="AC190" s="1"/>
      <c r="AD190" s="3"/>
      <c r="AE190" s="3"/>
      <c r="AF190" s="5"/>
      <c r="AG190" s="5"/>
      <c r="AH190" s="5"/>
      <c r="AI190" s="5"/>
      <c r="AJ190" s="6"/>
      <c r="AK190" s="6"/>
      <c r="AL190" s="12"/>
      <c r="AM190" s="12"/>
      <c r="AN190" s="12"/>
      <c r="AO190" s="12"/>
      <c r="AP190" s="12"/>
    </row>
    <row r="191" spans="1:42" ht="15" x14ac:dyDescent="0.25">
      <c r="A191" s="82" t="str">
        <f>TDCTRIBE!I200</f>
        <v>Alaska</v>
      </c>
      <c r="B191" s="82" t="str">
        <f>TDCTRIBE!B200</f>
        <v>AK</v>
      </c>
      <c r="C191" s="82" t="str">
        <f>TDCTRIBE!F200</f>
        <v>Saint Michael</v>
      </c>
      <c r="D191" s="83">
        <f>TDCTRIBE!Y200</f>
        <v>537627.23286300001</v>
      </c>
      <c r="E191" s="83">
        <f>TDCTRIBE!Z200</f>
        <v>593892.8539060998</v>
      </c>
      <c r="F191" s="83">
        <f>TDCTRIBE!AA200</f>
        <v>670883.01826070005</v>
      </c>
      <c r="G191" s="83">
        <f>TDCTRIBE!AB200</f>
        <v>727154.03193440009</v>
      </c>
      <c r="H191" s="83">
        <f>TDCTRIBE!AC200</f>
        <v>784795.42359260004</v>
      </c>
      <c r="O191" s="9"/>
      <c r="P191" s="1"/>
      <c r="Q191" s="1"/>
      <c r="R191" s="1"/>
      <c r="S191" s="1"/>
      <c r="T191" s="1"/>
      <c r="U191" s="1"/>
      <c r="V191" s="9"/>
      <c r="W191" s="3"/>
      <c r="X191" s="4"/>
      <c r="Y191" s="1"/>
      <c r="Z191" s="1"/>
      <c r="AA191" s="1"/>
      <c r="AB191" s="1"/>
      <c r="AC191" s="1"/>
      <c r="AD191" s="3"/>
      <c r="AE191" s="3"/>
      <c r="AF191" s="5"/>
      <c r="AG191" s="5"/>
      <c r="AH191" s="5"/>
      <c r="AI191" s="5"/>
      <c r="AJ191" s="6"/>
      <c r="AK191" s="6"/>
      <c r="AL191" s="12"/>
      <c r="AM191" s="12"/>
      <c r="AN191" s="12"/>
      <c r="AO191" s="12"/>
      <c r="AP191" s="12"/>
    </row>
    <row r="192" spans="1:42" ht="15" x14ac:dyDescent="0.25">
      <c r="A192" s="82" t="str">
        <f>TDCTRIBE!I201</f>
        <v>Alaska</v>
      </c>
      <c r="B192" s="82" t="str">
        <f>TDCTRIBE!B201</f>
        <v>AK</v>
      </c>
      <c r="C192" s="82" t="str">
        <f>TDCTRIBE!F201</f>
        <v>Saint Paul</v>
      </c>
      <c r="D192" s="83">
        <f>TDCTRIBE!Y201</f>
        <v>537627.23286300001</v>
      </c>
      <c r="E192" s="83">
        <f>TDCTRIBE!Z201</f>
        <v>593892.8539060998</v>
      </c>
      <c r="F192" s="83">
        <f>TDCTRIBE!AA201</f>
        <v>670883.01826070005</v>
      </c>
      <c r="G192" s="83">
        <f>TDCTRIBE!AB201</f>
        <v>727154.03193440009</v>
      </c>
      <c r="H192" s="83">
        <f>TDCTRIBE!AC201</f>
        <v>784795.42359260004</v>
      </c>
      <c r="O192" s="9"/>
      <c r="P192" s="1"/>
      <c r="Q192" s="1"/>
      <c r="R192" s="1"/>
      <c r="S192" s="1"/>
      <c r="T192" s="1"/>
      <c r="U192" s="1"/>
      <c r="V192" s="9"/>
      <c r="W192" s="3"/>
      <c r="X192" s="4"/>
      <c r="Y192" s="1"/>
      <c r="Z192" s="1"/>
      <c r="AA192" s="1"/>
      <c r="AB192" s="1"/>
      <c r="AC192" s="1"/>
      <c r="AD192" s="3"/>
      <c r="AE192" s="3"/>
      <c r="AF192" s="5"/>
      <c r="AG192" s="5"/>
      <c r="AH192" s="5"/>
      <c r="AI192" s="5"/>
      <c r="AJ192" s="6"/>
      <c r="AK192" s="6"/>
      <c r="AL192" s="12"/>
      <c r="AM192" s="12"/>
      <c r="AN192" s="12"/>
      <c r="AO192" s="12"/>
      <c r="AP192" s="12"/>
    </row>
    <row r="193" spans="1:42" ht="15" x14ac:dyDescent="0.25">
      <c r="A193" s="82" t="str">
        <f>TDCTRIBE!I202</f>
        <v>Alaska</v>
      </c>
      <c r="B193" s="82" t="str">
        <f>TDCTRIBE!B202</f>
        <v>AK</v>
      </c>
      <c r="C193" s="82" t="str">
        <f>TDCTRIBE!F202</f>
        <v>Salamatoff</v>
      </c>
      <c r="D193" s="83">
        <f>TDCTRIBE!Y202</f>
        <v>465666.31849500001</v>
      </c>
      <c r="E193" s="83">
        <f>TDCTRIBE!Z202</f>
        <v>514428.62433899997</v>
      </c>
      <c r="F193" s="83">
        <f>TDCTRIBE!AA202</f>
        <v>581158.19019300013</v>
      </c>
      <c r="G193" s="83">
        <f>TDCTRIBE!AB202</f>
        <v>629926.37213100016</v>
      </c>
      <c r="H193" s="83">
        <f>TDCTRIBE!AC202</f>
        <v>679867.06659900001</v>
      </c>
      <c r="O193" s="9"/>
      <c r="P193" s="1"/>
      <c r="Q193" s="1"/>
      <c r="R193" s="1"/>
      <c r="S193" s="1"/>
      <c r="T193" s="1"/>
      <c r="U193" s="1"/>
      <c r="V193" s="9"/>
      <c r="W193" s="3"/>
      <c r="X193" s="4"/>
      <c r="Y193" s="1"/>
      <c r="Z193" s="1"/>
      <c r="AA193" s="1"/>
      <c r="AB193" s="1"/>
      <c r="AC193" s="1"/>
      <c r="AD193" s="3"/>
      <c r="AE193" s="3"/>
      <c r="AF193" s="5"/>
      <c r="AG193" s="5"/>
      <c r="AH193" s="5"/>
      <c r="AI193" s="5"/>
      <c r="AJ193" s="6"/>
      <c r="AK193" s="6"/>
      <c r="AL193" s="12"/>
      <c r="AM193" s="12"/>
      <c r="AN193" s="12"/>
      <c r="AO193" s="12"/>
      <c r="AP193" s="12"/>
    </row>
    <row r="194" spans="1:42" ht="15" x14ac:dyDescent="0.25">
      <c r="A194" s="82" t="str">
        <f>TDCTRIBE!I203</f>
        <v>Alaska</v>
      </c>
      <c r="B194" s="82" t="str">
        <f>TDCTRIBE!B203</f>
        <v>AK</v>
      </c>
      <c r="C194" s="82" t="str">
        <f>TDCTRIBE!F203</f>
        <v>Savoonga</v>
      </c>
      <c r="D194" s="83">
        <f>TDCTRIBE!Y203</f>
        <v>573912.50187599997</v>
      </c>
      <c r="E194" s="83">
        <f>TDCTRIBE!Z203</f>
        <v>633906.89508719998</v>
      </c>
      <c r="F194" s="83">
        <f>TDCTRIBE!AA203</f>
        <v>715983.34034640016</v>
      </c>
      <c r="G194" s="83">
        <f>TDCTRIBE!AB203</f>
        <v>775980.51116880018</v>
      </c>
      <c r="H194" s="83">
        <f>TDCTRIBE!AC203</f>
        <v>837476.24333520012</v>
      </c>
      <c r="O194" s="9"/>
      <c r="P194" s="1"/>
      <c r="Q194" s="1"/>
      <c r="R194" s="1"/>
      <c r="S194" s="1"/>
      <c r="T194" s="1"/>
      <c r="U194" s="1"/>
      <c r="V194" s="9"/>
      <c r="W194" s="3"/>
      <c r="X194" s="4"/>
      <c r="Y194" s="1"/>
      <c r="Z194" s="1"/>
      <c r="AA194" s="1"/>
      <c r="AB194" s="1"/>
      <c r="AC194" s="1"/>
      <c r="AD194" s="3"/>
      <c r="AE194" s="3"/>
      <c r="AF194" s="5"/>
      <c r="AG194" s="5"/>
      <c r="AH194" s="5"/>
      <c r="AI194" s="5"/>
      <c r="AJ194" s="6"/>
      <c r="AK194" s="6"/>
      <c r="AL194" s="12"/>
      <c r="AM194" s="12"/>
      <c r="AN194" s="12"/>
      <c r="AO194" s="12"/>
      <c r="AP194" s="12"/>
    </row>
    <row r="195" spans="1:42" ht="15" x14ac:dyDescent="0.25">
      <c r="A195" s="82" t="str">
        <f>TDCTRIBE!I204</f>
        <v>Alaska</v>
      </c>
      <c r="B195" s="82" t="str">
        <f>TDCTRIBE!B204</f>
        <v>AK</v>
      </c>
      <c r="C195" s="82" t="str">
        <f>TDCTRIBE!F204</f>
        <v>Saxman</v>
      </c>
      <c r="D195" s="83">
        <f>TDCTRIBE!Y204</f>
        <v>465666.31849500001</v>
      </c>
      <c r="E195" s="83">
        <f>TDCTRIBE!Z204</f>
        <v>514428.62433899997</v>
      </c>
      <c r="F195" s="83">
        <f>TDCTRIBE!AA204</f>
        <v>581158.19019300013</v>
      </c>
      <c r="G195" s="83">
        <f>TDCTRIBE!AB204</f>
        <v>629926.37213100016</v>
      </c>
      <c r="H195" s="83">
        <f>TDCTRIBE!AC204</f>
        <v>679867.06659900001</v>
      </c>
      <c r="O195" s="9"/>
      <c r="P195" s="1"/>
      <c r="Q195" s="1"/>
      <c r="R195" s="1"/>
      <c r="S195" s="1"/>
      <c r="T195" s="1"/>
      <c r="U195" s="1"/>
      <c r="V195" s="9"/>
      <c r="W195" s="3"/>
      <c r="X195" s="4"/>
      <c r="Y195" s="1"/>
      <c r="Z195" s="1"/>
      <c r="AA195" s="1"/>
      <c r="AB195" s="1"/>
      <c r="AC195" s="1"/>
      <c r="AD195" s="3"/>
      <c r="AE195" s="3"/>
      <c r="AF195" s="5"/>
      <c r="AG195" s="5"/>
      <c r="AH195" s="5"/>
      <c r="AI195" s="5"/>
      <c r="AJ195" s="6"/>
      <c r="AK195" s="6"/>
      <c r="AL195" s="12"/>
      <c r="AM195" s="12"/>
      <c r="AN195" s="12"/>
      <c r="AO195" s="12"/>
      <c r="AP195" s="12"/>
    </row>
    <row r="196" spans="1:42" ht="15" x14ac:dyDescent="0.25">
      <c r="A196" s="82" t="str">
        <f>TDCTRIBE!I205</f>
        <v>Alaska</v>
      </c>
      <c r="B196" s="82" t="str">
        <f>TDCTRIBE!B205</f>
        <v>AK</v>
      </c>
      <c r="C196" s="82" t="str">
        <f>TDCTRIBE!F205</f>
        <v>Scammon Bay</v>
      </c>
      <c r="D196" s="83">
        <f>TDCTRIBE!Y205</f>
        <v>537627.23286300001</v>
      </c>
      <c r="E196" s="83">
        <f>TDCTRIBE!Z205</f>
        <v>593892.8539060998</v>
      </c>
      <c r="F196" s="83">
        <f>TDCTRIBE!AA205</f>
        <v>670883.01826070005</v>
      </c>
      <c r="G196" s="83">
        <f>TDCTRIBE!AB205</f>
        <v>727154.03193440009</v>
      </c>
      <c r="H196" s="83">
        <f>TDCTRIBE!AC205</f>
        <v>784795.42359260004</v>
      </c>
      <c r="O196" s="9"/>
      <c r="P196" s="1"/>
      <c r="Q196" s="1"/>
      <c r="R196" s="1"/>
      <c r="S196" s="1"/>
      <c r="T196" s="1"/>
      <c r="U196" s="1"/>
      <c r="V196" s="9"/>
      <c r="W196" s="3"/>
      <c r="X196" s="4"/>
      <c r="Y196" s="1"/>
      <c r="Z196" s="1"/>
      <c r="AA196" s="1"/>
      <c r="AB196" s="1"/>
      <c r="AC196" s="1"/>
      <c r="AD196" s="3"/>
      <c r="AE196" s="3"/>
      <c r="AF196" s="5"/>
      <c r="AG196" s="5"/>
      <c r="AH196" s="5"/>
      <c r="AI196" s="5"/>
      <c r="AJ196" s="6"/>
      <c r="AK196" s="6"/>
      <c r="AL196" s="12"/>
      <c r="AM196" s="12"/>
      <c r="AN196" s="12"/>
      <c r="AO196" s="12"/>
      <c r="AP196" s="12"/>
    </row>
    <row r="197" spans="1:42" ht="15" x14ac:dyDescent="0.25">
      <c r="A197" s="82" t="str">
        <f>TDCTRIBE!I206</f>
        <v>Alaska</v>
      </c>
      <c r="B197" s="82" t="str">
        <f>TDCTRIBE!B206</f>
        <v>AK</v>
      </c>
      <c r="C197" s="82" t="str">
        <f>TDCTRIBE!F206</f>
        <v>Selawik</v>
      </c>
      <c r="D197" s="83">
        <f>TDCTRIBE!Y206</f>
        <v>537627.23286300001</v>
      </c>
      <c r="E197" s="83">
        <f>TDCTRIBE!Z206</f>
        <v>593892.8539060998</v>
      </c>
      <c r="F197" s="83">
        <f>TDCTRIBE!AA206</f>
        <v>670883.01826070005</v>
      </c>
      <c r="G197" s="83">
        <f>TDCTRIBE!AB206</f>
        <v>727154.03193440009</v>
      </c>
      <c r="H197" s="83">
        <f>TDCTRIBE!AC206</f>
        <v>784795.42359260004</v>
      </c>
      <c r="O197" s="9"/>
      <c r="P197" s="1"/>
      <c r="Q197" s="1"/>
      <c r="R197" s="1"/>
      <c r="S197" s="1"/>
      <c r="T197" s="1"/>
      <c r="U197" s="1"/>
      <c r="V197" s="9"/>
      <c r="W197" s="3"/>
      <c r="X197" s="4"/>
      <c r="Y197" s="1"/>
      <c r="Z197" s="1"/>
      <c r="AA197" s="1"/>
      <c r="AB197" s="1"/>
      <c r="AC197" s="1"/>
      <c r="AD197" s="3"/>
      <c r="AE197" s="3"/>
      <c r="AF197" s="5"/>
      <c r="AG197" s="5"/>
      <c r="AH197" s="5"/>
      <c r="AI197" s="5"/>
      <c r="AJ197" s="6"/>
      <c r="AK197" s="6"/>
      <c r="AL197" s="12"/>
      <c r="AM197" s="12"/>
      <c r="AN197" s="12"/>
      <c r="AO197" s="12"/>
      <c r="AP197" s="12"/>
    </row>
    <row r="198" spans="1:42" ht="15" x14ac:dyDescent="0.25">
      <c r="A198" s="82" t="str">
        <f>TDCTRIBE!I207</f>
        <v>Alaska</v>
      </c>
      <c r="B198" s="82" t="str">
        <f>TDCTRIBE!B207</f>
        <v>AK</v>
      </c>
      <c r="C198" s="82" t="str">
        <f>TDCTRIBE!F207</f>
        <v>Seldovia</v>
      </c>
      <c r="D198" s="83">
        <f>TDCTRIBE!Y207</f>
        <v>465666.31849500001</v>
      </c>
      <c r="E198" s="83">
        <f>TDCTRIBE!Z207</f>
        <v>514428.62433899997</v>
      </c>
      <c r="F198" s="83">
        <f>TDCTRIBE!AA207</f>
        <v>581158.19019300013</v>
      </c>
      <c r="G198" s="83">
        <f>TDCTRIBE!AB207</f>
        <v>629926.37213100016</v>
      </c>
      <c r="H198" s="83">
        <f>TDCTRIBE!AC207</f>
        <v>679867.06659900001</v>
      </c>
      <c r="O198" s="9"/>
      <c r="P198" s="1"/>
      <c r="Q198" s="1"/>
      <c r="R198" s="1"/>
      <c r="S198" s="1"/>
      <c r="T198" s="1"/>
      <c r="U198" s="1"/>
      <c r="V198" s="9"/>
      <c r="W198" s="3"/>
      <c r="X198" s="4"/>
      <c r="Y198" s="1"/>
      <c r="Z198" s="1"/>
      <c r="AA198" s="1"/>
      <c r="AB198" s="1"/>
      <c r="AC198" s="1"/>
      <c r="AD198" s="3"/>
      <c r="AE198" s="3"/>
      <c r="AF198" s="5"/>
      <c r="AG198" s="5"/>
      <c r="AH198" s="5"/>
      <c r="AI198" s="5"/>
      <c r="AJ198" s="6"/>
      <c r="AK198" s="6"/>
      <c r="AL198" s="12"/>
      <c r="AM198" s="12"/>
      <c r="AN198" s="12"/>
      <c r="AO198" s="12"/>
      <c r="AP198" s="12"/>
    </row>
    <row r="199" spans="1:42" ht="15" x14ac:dyDescent="0.25">
      <c r="A199" s="82" t="str">
        <f>TDCTRIBE!I208</f>
        <v>Alaska</v>
      </c>
      <c r="B199" s="82" t="str">
        <f>TDCTRIBE!B208</f>
        <v>AK</v>
      </c>
      <c r="C199" s="82" t="str">
        <f>TDCTRIBE!F208</f>
        <v>Shageluk</v>
      </c>
      <c r="D199" s="83">
        <f>TDCTRIBE!Y208</f>
        <v>537627.23286300001</v>
      </c>
      <c r="E199" s="83">
        <f>TDCTRIBE!Z208</f>
        <v>593892.8539060998</v>
      </c>
      <c r="F199" s="83">
        <f>TDCTRIBE!AA208</f>
        <v>670883.01826070005</v>
      </c>
      <c r="G199" s="83">
        <f>TDCTRIBE!AB208</f>
        <v>727154.03193440009</v>
      </c>
      <c r="H199" s="83">
        <f>TDCTRIBE!AC208</f>
        <v>784795.42359260004</v>
      </c>
      <c r="O199" s="9"/>
      <c r="P199" s="1"/>
      <c r="Q199" s="1"/>
      <c r="R199" s="1"/>
      <c r="S199" s="1"/>
      <c r="T199" s="1"/>
      <c r="U199" s="1"/>
      <c r="V199" s="9"/>
      <c r="W199" s="3"/>
      <c r="X199" s="4"/>
      <c r="Y199" s="1"/>
      <c r="Z199" s="1"/>
      <c r="AA199" s="1"/>
      <c r="AB199" s="1"/>
      <c r="AC199" s="1"/>
      <c r="AD199" s="3"/>
      <c r="AE199" s="3"/>
      <c r="AF199" s="5"/>
      <c r="AG199" s="5"/>
      <c r="AH199" s="5"/>
      <c r="AI199" s="5"/>
      <c r="AJ199" s="6"/>
      <c r="AK199" s="6"/>
      <c r="AL199" s="12"/>
      <c r="AM199" s="12"/>
      <c r="AN199" s="12"/>
      <c r="AO199" s="12"/>
      <c r="AP199" s="12"/>
    </row>
    <row r="200" spans="1:42" ht="15" x14ac:dyDescent="0.25">
      <c r="A200" s="82" t="str">
        <f>TDCTRIBE!I209</f>
        <v>Alaska</v>
      </c>
      <c r="B200" s="82" t="str">
        <f>TDCTRIBE!B209</f>
        <v>AK</v>
      </c>
      <c r="C200" s="82" t="str">
        <f>TDCTRIBE!F209</f>
        <v>Shaktoolik</v>
      </c>
      <c r="D200" s="83">
        <f>TDCTRIBE!Y209</f>
        <v>537627.23286300001</v>
      </c>
      <c r="E200" s="83">
        <f>TDCTRIBE!Z209</f>
        <v>593892.8539060998</v>
      </c>
      <c r="F200" s="83">
        <f>TDCTRIBE!AA209</f>
        <v>670883.01826070005</v>
      </c>
      <c r="G200" s="83">
        <f>TDCTRIBE!AB209</f>
        <v>727154.03193440009</v>
      </c>
      <c r="H200" s="83">
        <f>TDCTRIBE!AC209</f>
        <v>784795.42359260004</v>
      </c>
      <c r="O200" s="9"/>
      <c r="P200" s="1"/>
      <c r="Q200" s="1"/>
      <c r="R200" s="1"/>
      <c r="S200" s="1"/>
      <c r="T200" s="1"/>
      <c r="U200" s="1"/>
      <c r="V200" s="9"/>
      <c r="W200" s="3"/>
      <c r="X200" s="4"/>
      <c r="Y200" s="1"/>
      <c r="Z200" s="1"/>
      <c r="AA200" s="1"/>
      <c r="AB200" s="1"/>
      <c r="AC200" s="1"/>
      <c r="AD200" s="3"/>
      <c r="AE200" s="3"/>
      <c r="AF200" s="5"/>
      <c r="AG200" s="5"/>
      <c r="AH200" s="5"/>
      <c r="AI200" s="5"/>
      <c r="AJ200" s="6"/>
      <c r="AK200" s="6"/>
      <c r="AL200" s="12"/>
      <c r="AM200" s="12"/>
      <c r="AN200" s="12"/>
      <c r="AO200" s="12"/>
      <c r="AP200" s="12"/>
    </row>
    <row r="201" spans="1:42" ht="15" x14ac:dyDescent="0.25">
      <c r="A201" s="82" t="str">
        <f>TDCTRIBE!I210</f>
        <v>Alaska</v>
      </c>
      <c r="B201" s="82" t="str">
        <f>TDCTRIBE!B210</f>
        <v>AK</v>
      </c>
      <c r="C201" s="82" t="str">
        <f>TDCTRIBE!F210</f>
        <v>Sheldon's Point</v>
      </c>
      <c r="D201" s="83">
        <f>TDCTRIBE!Y210</f>
        <v>537627.23286300001</v>
      </c>
      <c r="E201" s="83">
        <f>TDCTRIBE!Z210</f>
        <v>593892.8539060998</v>
      </c>
      <c r="F201" s="83">
        <f>TDCTRIBE!AA210</f>
        <v>670883.01826070005</v>
      </c>
      <c r="G201" s="83">
        <f>TDCTRIBE!AB210</f>
        <v>727154.03193440009</v>
      </c>
      <c r="H201" s="83">
        <f>TDCTRIBE!AC210</f>
        <v>784795.42359260004</v>
      </c>
      <c r="O201" s="9"/>
      <c r="P201" s="1"/>
      <c r="Q201" s="1"/>
      <c r="R201" s="1"/>
      <c r="S201" s="1"/>
      <c r="T201" s="1"/>
      <c r="U201" s="1"/>
      <c r="V201" s="9"/>
      <c r="W201" s="3"/>
      <c r="X201" s="4"/>
      <c r="Y201" s="1"/>
      <c r="Z201" s="1"/>
      <c r="AA201" s="1"/>
      <c r="AB201" s="1"/>
      <c r="AC201" s="1"/>
      <c r="AD201" s="3"/>
      <c r="AE201" s="3"/>
      <c r="AF201" s="5"/>
      <c r="AG201" s="5"/>
      <c r="AH201" s="5"/>
      <c r="AI201" s="5"/>
      <c r="AJ201" s="6"/>
      <c r="AK201" s="6"/>
      <c r="AL201" s="12"/>
      <c r="AM201" s="12"/>
      <c r="AN201" s="12"/>
      <c r="AO201" s="12"/>
      <c r="AP201" s="12"/>
    </row>
    <row r="202" spans="1:42" ht="15" x14ac:dyDescent="0.25">
      <c r="A202" s="82" t="str">
        <f>TDCTRIBE!I211</f>
        <v>Alaska</v>
      </c>
      <c r="B202" s="82" t="str">
        <f>TDCTRIBE!B211</f>
        <v>AK</v>
      </c>
      <c r="C202" s="82" t="str">
        <f>TDCTRIBE!F211</f>
        <v>Shishmaref</v>
      </c>
      <c r="D202" s="83">
        <f>TDCTRIBE!Y211</f>
        <v>537627.23286300001</v>
      </c>
      <c r="E202" s="83">
        <f>TDCTRIBE!Z211</f>
        <v>593892.8539060998</v>
      </c>
      <c r="F202" s="83">
        <f>TDCTRIBE!AA211</f>
        <v>670883.01826070005</v>
      </c>
      <c r="G202" s="83">
        <f>TDCTRIBE!AB211</f>
        <v>727154.03193440009</v>
      </c>
      <c r="H202" s="83">
        <f>TDCTRIBE!AC211</f>
        <v>784795.42359260004</v>
      </c>
      <c r="O202" s="9"/>
      <c r="P202" s="1"/>
      <c r="Q202" s="1"/>
      <c r="R202" s="1"/>
      <c r="S202" s="1"/>
      <c r="T202" s="1"/>
      <c r="U202" s="1"/>
      <c r="V202" s="9"/>
      <c r="W202" s="3"/>
      <c r="X202" s="4"/>
      <c r="Y202" s="1"/>
      <c r="Z202" s="1"/>
      <c r="AA202" s="1"/>
      <c r="AB202" s="1"/>
      <c r="AC202" s="1"/>
      <c r="AD202" s="3"/>
      <c r="AE202" s="3"/>
      <c r="AF202" s="5"/>
      <c r="AG202" s="5"/>
      <c r="AH202" s="5"/>
      <c r="AI202" s="5"/>
      <c r="AJ202" s="6"/>
      <c r="AK202" s="6"/>
      <c r="AL202" s="12"/>
      <c r="AM202" s="12"/>
      <c r="AN202" s="12"/>
      <c r="AO202" s="12"/>
      <c r="AP202" s="12"/>
    </row>
    <row r="203" spans="1:42" ht="15" x14ac:dyDescent="0.25">
      <c r="A203" s="82" t="str">
        <f>TDCTRIBE!I212</f>
        <v>Alaska</v>
      </c>
      <c r="B203" s="82" t="str">
        <f>TDCTRIBE!B212</f>
        <v>AK</v>
      </c>
      <c r="C203" s="82" t="str">
        <f>TDCTRIBE!F212</f>
        <v>Sun'aq Tribe of Kodiak</v>
      </c>
      <c r="D203" s="83">
        <f>TDCTRIBE!Y212</f>
        <v>465666.31849500001</v>
      </c>
      <c r="E203" s="83">
        <f>TDCTRIBE!Z212</f>
        <v>514428.62433899997</v>
      </c>
      <c r="F203" s="83">
        <f>TDCTRIBE!AA212</f>
        <v>581158.19019300013</v>
      </c>
      <c r="G203" s="83">
        <f>TDCTRIBE!AB212</f>
        <v>629926.37213100016</v>
      </c>
      <c r="H203" s="83">
        <f>TDCTRIBE!AC212</f>
        <v>679867.06659900001</v>
      </c>
      <c r="O203" s="9"/>
      <c r="P203" s="1"/>
      <c r="Q203" s="1"/>
      <c r="R203" s="1"/>
      <c r="S203" s="1"/>
      <c r="T203" s="1"/>
      <c r="U203" s="1"/>
      <c r="V203" s="9"/>
      <c r="W203" s="3"/>
      <c r="X203" s="4"/>
      <c r="Y203" s="1"/>
      <c r="Z203" s="1"/>
      <c r="AA203" s="1"/>
      <c r="AB203" s="1"/>
      <c r="AC203" s="1"/>
      <c r="AD203" s="3"/>
      <c r="AE203" s="3"/>
      <c r="AF203" s="5"/>
      <c r="AG203" s="5"/>
      <c r="AH203" s="5"/>
      <c r="AI203" s="5"/>
      <c r="AJ203" s="6"/>
      <c r="AK203" s="6"/>
      <c r="AL203" s="12"/>
      <c r="AM203" s="12"/>
      <c r="AN203" s="12"/>
      <c r="AO203" s="12"/>
      <c r="AP203" s="12"/>
    </row>
    <row r="204" spans="1:42" ht="15" x14ac:dyDescent="0.25">
      <c r="A204" s="82" t="str">
        <f>TDCTRIBE!I213</f>
        <v>Alaska</v>
      </c>
      <c r="B204" s="82" t="str">
        <f>TDCTRIBE!B213</f>
        <v>AK</v>
      </c>
      <c r="C204" s="82" t="str">
        <f>TDCTRIBE!F213</f>
        <v>Shungnak</v>
      </c>
      <c r="D204" s="83">
        <f>TDCTRIBE!Y213</f>
        <v>573912.50187599997</v>
      </c>
      <c r="E204" s="83">
        <f>TDCTRIBE!Z213</f>
        <v>633906.89508719998</v>
      </c>
      <c r="F204" s="83">
        <f>TDCTRIBE!AA213</f>
        <v>715983.34034640016</v>
      </c>
      <c r="G204" s="83">
        <f>TDCTRIBE!AB213</f>
        <v>775980.51116880018</v>
      </c>
      <c r="H204" s="83">
        <f>TDCTRIBE!AC213</f>
        <v>837476.24333520012</v>
      </c>
      <c r="O204" s="9"/>
      <c r="P204" s="1"/>
      <c r="Q204" s="1"/>
      <c r="R204" s="1"/>
      <c r="S204" s="1"/>
      <c r="T204" s="1"/>
      <c r="U204" s="1"/>
      <c r="V204" s="9"/>
      <c r="W204" s="3"/>
      <c r="X204" s="4"/>
      <c r="Y204" s="1"/>
      <c r="Z204" s="1"/>
      <c r="AA204" s="1"/>
      <c r="AB204" s="1"/>
      <c r="AC204" s="1"/>
      <c r="AD204" s="3"/>
      <c r="AE204" s="3"/>
      <c r="AF204" s="5"/>
      <c r="AG204" s="5"/>
      <c r="AH204" s="5"/>
      <c r="AI204" s="5"/>
      <c r="AJ204" s="6"/>
      <c r="AK204" s="6"/>
      <c r="AL204" s="12"/>
      <c r="AM204" s="12"/>
      <c r="AN204" s="12"/>
      <c r="AO204" s="12"/>
      <c r="AP204" s="12"/>
    </row>
    <row r="205" spans="1:42" ht="15" x14ac:dyDescent="0.25">
      <c r="A205" s="82" t="str">
        <f>TDCTRIBE!I214</f>
        <v>Alaska</v>
      </c>
      <c r="B205" s="82" t="str">
        <f>TDCTRIBE!B214</f>
        <v>AK</v>
      </c>
      <c r="C205" s="82" t="str">
        <f>TDCTRIBE!F214</f>
        <v>Sitka (Baranof Island HA)</v>
      </c>
      <c r="D205" s="83">
        <f>TDCTRIBE!Y214</f>
        <v>465666.31849500001</v>
      </c>
      <c r="E205" s="83">
        <f>TDCTRIBE!Z214</f>
        <v>514428.62433899997</v>
      </c>
      <c r="F205" s="83">
        <f>TDCTRIBE!AA214</f>
        <v>581158.19019300013</v>
      </c>
      <c r="G205" s="83">
        <f>TDCTRIBE!AB214</f>
        <v>629926.37213100016</v>
      </c>
      <c r="H205" s="83">
        <f>TDCTRIBE!AC214</f>
        <v>679867.06659900001</v>
      </c>
      <c r="O205" s="9"/>
      <c r="P205" s="1"/>
      <c r="Q205" s="1"/>
      <c r="R205" s="1"/>
      <c r="S205" s="1"/>
      <c r="T205" s="1"/>
      <c r="U205" s="1"/>
      <c r="V205" s="9"/>
      <c r="W205" s="3"/>
      <c r="X205" s="4"/>
      <c r="Y205" s="1"/>
      <c r="Z205" s="1"/>
      <c r="AA205" s="1"/>
      <c r="AB205" s="1"/>
      <c r="AC205" s="1"/>
      <c r="AD205" s="3"/>
      <c r="AE205" s="3"/>
      <c r="AF205" s="5"/>
      <c r="AG205" s="5"/>
      <c r="AH205" s="5"/>
      <c r="AI205" s="5"/>
      <c r="AJ205" s="6"/>
      <c r="AK205" s="6"/>
      <c r="AL205" s="12"/>
      <c r="AM205" s="12"/>
      <c r="AN205" s="12"/>
      <c r="AO205" s="12"/>
      <c r="AP205" s="12"/>
    </row>
    <row r="206" spans="1:42" ht="15" x14ac:dyDescent="0.25">
      <c r="A206" s="82" t="str">
        <f>TDCTRIBE!I215</f>
        <v>Alaska</v>
      </c>
      <c r="B206" s="82" t="str">
        <f>TDCTRIBE!B215</f>
        <v>AK</v>
      </c>
      <c r="C206" s="82" t="str">
        <f>TDCTRIBE!F215</f>
        <v>Skagway</v>
      </c>
      <c r="D206" s="83">
        <f>TDCTRIBE!Y215</f>
        <v>465666.31849500001</v>
      </c>
      <c r="E206" s="83">
        <f>TDCTRIBE!Z215</f>
        <v>514428.62433899997</v>
      </c>
      <c r="F206" s="83">
        <f>TDCTRIBE!AA215</f>
        <v>581158.19019300013</v>
      </c>
      <c r="G206" s="83">
        <f>TDCTRIBE!AB215</f>
        <v>629926.37213100016</v>
      </c>
      <c r="H206" s="83">
        <f>TDCTRIBE!AC215</f>
        <v>679867.06659900001</v>
      </c>
      <c r="O206" s="9"/>
      <c r="P206" s="1"/>
      <c r="Q206" s="1"/>
      <c r="R206" s="1"/>
      <c r="S206" s="1"/>
      <c r="T206" s="1"/>
      <c r="U206" s="1"/>
      <c r="V206" s="9"/>
      <c r="W206" s="3"/>
      <c r="X206" s="4"/>
      <c r="Y206" s="1"/>
      <c r="Z206" s="1"/>
      <c r="AA206" s="1"/>
      <c r="AB206" s="1"/>
      <c r="AC206" s="1"/>
      <c r="AD206" s="3"/>
      <c r="AE206" s="3"/>
      <c r="AF206" s="5"/>
      <c r="AG206" s="5"/>
      <c r="AH206" s="5"/>
      <c r="AI206" s="5"/>
      <c r="AJ206" s="6"/>
      <c r="AK206" s="6"/>
      <c r="AL206" s="12"/>
      <c r="AM206" s="12"/>
      <c r="AN206" s="12"/>
      <c r="AO206" s="12"/>
      <c r="AP206" s="12"/>
    </row>
    <row r="207" spans="1:42" ht="15" x14ac:dyDescent="0.25">
      <c r="A207" s="82" t="str">
        <f>TDCTRIBE!I216</f>
        <v>Alaska</v>
      </c>
      <c r="B207" s="82" t="str">
        <f>TDCTRIBE!B216</f>
        <v>AK</v>
      </c>
      <c r="C207" s="82" t="str">
        <f>TDCTRIBE!F216</f>
        <v>Sleetmute</v>
      </c>
      <c r="D207" s="83">
        <f>TDCTRIBE!Y216</f>
        <v>537627.23286300001</v>
      </c>
      <c r="E207" s="83">
        <f>TDCTRIBE!Z216</f>
        <v>593892.8539060998</v>
      </c>
      <c r="F207" s="83">
        <f>TDCTRIBE!AA216</f>
        <v>670883.01826070005</v>
      </c>
      <c r="G207" s="83">
        <f>TDCTRIBE!AB216</f>
        <v>727154.03193440009</v>
      </c>
      <c r="H207" s="83">
        <f>TDCTRIBE!AC216</f>
        <v>784795.42359260004</v>
      </c>
      <c r="O207" s="9"/>
      <c r="P207" s="1"/>
      <c r="Q207" s="1"/>
      <c r="R207" s="1"/>
      <c r="S207" s="1"/>
      <c r="T207" s="1"/>
      <c r="U207" s="1"/>
      <c r="V207" s="9"/>
      <c r="W207" s="3"/>
      <c r="X207" s="4"/>
      <c r="Y207" s="1"/>
      <c r="Z207" s="1"/>
      <c r="AA207" s="1"/>
      <c r="AB207" s="1"/>
      <c r="AC207" s="1"/>
      <c r="AD207" s="3"/>
      <c r="AE207" s="3"/>
      <c r="AF207" s="5"/>
      <c r="AG207" s="5"/>
      <c r="AH207" s="5"/>
      <c r="AI207" s="5"/>
      <c r="AJ207" s="6"/>
      <c r="AK207" s="6"/>
      <c r="AL207" s="12"/>
      <c r="AM207" s="12"/>
      <c r="AN207" s="12"/>
      <c r="AO207" s="12"/>
      <c r="AP207" s="12"/>
    </row>
    <row r="208" spans="1:42" ht="15" x14ac:dyDescent="0.25">
      <c r="A208" s="82" t="str">
        <f>TDCTRIBE!I217</f>
        <v>Alaska</v>
      </c>
      <c r="B208" s="82" t="str">
        <f>TDCTRIBE!B217</f>
        <v>AK</v>
      </c>
      <c r="C208" s="82" t="str">
        <f>TDCTRIBE!F217</f>
        <v>Solomon</v>
      </c>
      <c r="D208" s="83">
        <f>TDCTRIBE!Y217</f>
        <v>537627.23286300001</v>
      </c>
      <c r="E208" s="83">
        <f>TDCTRIBE!Z217</f>
        <v>593892.8539060998</v>
      </c>
      <c r="F208" s="83">
        <f>TDCTRIBE!AA217</f>
        <v>670883.01826070005</v>
      </c>
      <c r="G208" s="83">
        <f>TDCTRIBE!AB217</f>
        <v>727154.03193440009</v>
      </c>
      <c r="H208" s="83">
        <f>TDCTRIBE!AC217</f>
        <v>784795.42359260004</v>
      </c>
      <c r="O208" s="9"/>
      <c r="P208" s="1"/>
      <c r="Q208" s="1"/>
      <c r="R208" s="1"/>
      <c r="S208" s="1"/>
      <c r="T208" s="1"/>
      <c r="U208" s="1"/>
      <c r="V208" s="9"/>
      <c r="W208" s="3"/>
      <c r="X208" s="4"/>
      <c r="Y208" s="1"/>
      <c r="Z208" s="1"/>
      <c r="AA208" s="1"/>
      <c r="AB208" s="1"/>
      <c r="AC208" s="1"/>
      <c r="AD208" s="3"/>
      <c r="AE208" s="3"/>
      <c r="AF208" s="5"/>
      <c r="AG208" s="5"/>
      <c r="AH208" s="5"/>
      <c r="AI208" s="5"/>
      <c r="AJ208" s="6"/>
      <c r="AK208" s="6"/>
      <c r="AL208" s="12"/>
      <c r="AM208" s="12"/>
      <c r="AN208" s="12"/>
      <c r="AO208" s="12"/>
      <c r="AP208" s="12"/>
    </row>
    <row r="209" spans="1:42" ht="15" x14ac:dyDescent="0.25">
      <c r="A209" s="82" t="str">
        <f>TDCTRIBE!I218</f>
        <v>Alaska</v>
      </c>
      <c r="B209" s="82" t="str">
        <f>TDCTRIBE!B218</f>
        <v>AK</v>
      </c>
      <c r="C209" s="82" t="str">
        <f>TDCTRIBE!F218</f>
        <v>South Naknek</v>
      </c>
      <c r="D209" s="83">
        <f>TDCTRIBE!Y218</f>
        <v>537627.23286300001</v>
      </c>
      <c r="E209" s="83">
        <f>TDCTRIBE!Z218</f>
        <v>593892.8539060998</v>
      </c>
      <c r="F209" s="83">
        <f>TDCTRIBE!AA218</f>
        <v>670883.01826070005</v>
      </c>
      <c r="G209" s="83">
        <f>TDCTRIBE!AB218</f>
        <v>727154.03193440009</v>
      </c>
      <c r="H209" s="83">
        <f>TDCTRIBE!AC218</f>
        <v>784795.42359260004</v>
      </c>
      <c r="O209" s="9"/>
      <c r="P209" s="1"/>
      <c r="Q209" s="1"/>
      <c r="R209" s="1"/>
      <c r="S209" s="1"/>
      <c r="T209" s="1"/>
      <c r="U209" s="1"/>
      <c r="V209" s="9"/>
      <c r="W209" s="3"/>
      <c r="X209" s="4"/>
      <c r="Y209" s="1"/>
      <c r="Z209" s="1"/>
      <c r="AA209" s="1"/>
      <c r="AB209" s="1"/>
      <c r="AC209" s="1"/>
      <c r="AD209" s="3"/>
      <c r="AE209" s="3"/>
      <c r="AF209" s="5"/>
      <c r="AG209" s="5"/>
      <c r="AH209" s="5"/>
      <c r="AI209" s="5"/>
      <c r="AJ209" s="6"/>
      <c r="AK209" s="6"/>
      <c r="AL209" s="12"/>
      <c r="AM209" s="12"/>
      <c r="AN209" s="12"/>
      <c r="AO209" s="12"/>
      <c r="AP209" s="12"/>
    </row>
    <row r="210" spans="1:42" ht="15" x14ac:dyDescent="0.25">
      <c r="A210" s="82" t="str">
        <f>TDCTRIBE!I219</f>
        <v>Alaska</v>
      </c>
      <c r="B210" s="82" t="str">
        <f>TDCTRIBE!B219</f>
        <v>AK</v>
      </c>
      <c r="C210" s="82" t="str">
        <f>TDCTRIBE!F219</f>
        <v>Stebbins</v>
      </c>
      <c r="D210" s="83">
        <f>TDCTRIBE!Y219</f>
        <v>537627.23286300001</v>
      </c>
      <c r="E210" s="83">
        <f>TDCTRIBE!Z219</f>
        <v>593892.8539060998</v>
      </c>
      <c r="F210" s="83">
        <f>TDCTRIBE!AA219</f>
        <v>670883.01826070005</v>
      </c>
      <c r="G210" s="83">
        <f>TDCTRIBE!AB219</f>
        <v>727154.03193440009</v>
      </c>
      <c r="H210" s="83">
        <f>TDCTRIBE!AC219</f>
        <v>784795.42359260004</v>
      </c>
      <c r="O210" s="9"/>
      <c r="P210" s="1"/>
      <c r="Q210" s="1"/>
      <c r="R210" s="1"/>
      <c r="S210" s="1"/>
      <c r="T210" s="1"/>
      <c r="U210" s="1"/>
      <c r="V210" s="9"/>
      <c r="W210" s="3"/>
      <c r="X210" s="4"/>
      <c r="Y210" s="1"/>
      <c r="Z210" s="1"/>
      <c r="AA210" s="1"/>
      <c r="AB210" s="1"/>
      <c r="AC210" s="1"/>
      <c r="AD210" s="3"/>
      <c r="AE210" s="3"/>
      <c r="AF210" s="5"/>
      <c r="AG210" s="5"/>
      <c r="AH210" s="5"/>
      <c r="AI210" s="5"/>
      <c r="AJ210" s="6"/>
      <c r="AK210" s="6"/>
      <c r="AL210" s="12"/>
      <c r="AM210" s="12"/>
      <c r="AN210" s="12"/>
      <c r="AO210" s="12"/>
      <c r="AP210" s="12"/>
    </row>
    <row r="211" spans="1:42" ht="15" x14ac:dyDescent="0.25">
      <c r="A211" s="82" t="str">
        <f>TDCTRIBE!I220</f>
        <v>Alaska</v>
      </c>
      <c r="B211" s="82" t="str">
        <f>TDCTRIBE!B220</f>
        <v>AK</v>
      </c>
      <c r="C211" s="82" t="str">
        <f>TDCTRIBE!F220</f>
        <v>Stevens</v>
      </c>
      <c r="D211" s="83">
        <f>TDCTRIBE!Y220</f>
        <v>537627.23286300001</v>
      </c>
      <c r="E211" s="83">
        <f>TDCTRIBE!Z220</f>
        <v>593892.8539060998</v>
      </c>
      <c r="F211" s="83">
        <f>TDCTRIBE!AA220</f>
        <v>670883.01826070005</v>
      </c>
      <c r="G211" s="83">
        <f>TDCTRIBE!AB220</f>
        <v>727154.03193440009</v>
      </c>
      <c r="H211" s="83">
        <f>TDCTRIBE!AC220</f>
        <v>784795.42359260004</v>
      </c>
      <c r="O211" s="9"/>
      <c r="P211" s="1"/>
      <c r="Q211" s="1"/>
      <c r="R211" s="1"/>
      <c r="S211" s="1"/>
      <c r="T211" s="1"/>
      <c r="U211" s="1"/>
      <c r="V211" s="9"/>
      <c r="W211" s="3"/>
      <c r="X211" s="4"/>
      <c r="Y211" s="1"/>
      <c r="Z211" s="1"/>
      <c r="AA211" s="1"/>
      <c r="AB211" s="1"/>
      <c r="AC211" s="1"/>
      <c r="AD211" s="3"/>
      <c r="AE211" s="3"/>
      <c r="AF211" s="5"/>
      <c r="AG211" s="5"/>
      <c r="AH211" s="5"/>
      <c r="AI211" s="5"/>
      <c r="AJ211" s="6"/>
      <c r="AK211" s="6"/>
      <c r="AL211" s="12"/>
      <c r="AM211" s="12"/>
      <c r="AN211" s="12"/>
      <c r="AO211" s="12"/>
      <c r="AP211" s="12"/>
    </row>
    <row r="212" spans="1:42" ht="15" x14ac:dyDescent="0.25">
      <c r="A212" s="82" t="str">
        <f>TDCTRIBE!I221</f>
        <v>Alaska</v>
      </c>
      <c r="B212" s="82" t="str">
        <f>TDCTRIBE!B221</f>
        <v>AK</v>
      </c>
      <c r="C212" s="82" t="str">
        <f>TDCTRIBE!F221</f>
        <v>Stoney River</v>
      </c>
      <c r="D212" s="83">
        <f>TDCTRIBE!Y221</f>
        <v>573912.50187599997</v>
      </c>
      <c r="E212" s="83">
        <f>TDCTRIBE!Z221</f>
        <v>633906.89508719998</v>
      </c>
      <c r="F212" s="83">
        <f>TDCTRIBE!AA221</f>
        <v>715983.34034640016</v>
      </c>
      <c r="G212" s="83">
        <f>TDCTRIBE!AB221</f>
        <v>775980.51116880018</v>
      </c>
      <c r="H212" s="83">
        <f>TDCTRIBE!AC221</f>
        <v>837476.24333520012</v>
      </c>
      <c r="O212" s="9"/>
      <c r="P212" s="1"/>
      <c r="Q212" s="1"/>
      <c r="R212" s="1"/>
      <c r="S212" s="1"/>
      <c r="T212" s="1"/>
      <c r="U212" s="1"/>
      <c r="V212" s="9"/>
      <c r="W212" s="3"/>
      <c r="X212" s="4"/>
      <c r="Y212" s="1"/>
      <c r="Z212" s="1"/>
      <c r="AA212" s="1"/>
      <c r="AB212" s="1"/>
      <c r="AC212" s="1"/>
      <c r="AD212" s="3"/>
      <c r="AE212" s="3"/>
      <c r="AF212" s="5"/>
      <c r="AG212" s="5"/>
      <c r="AH212" s="5"/>
      <c r="AI212" s="5"/>
      <c r="AJ212" s="6"/>
      <c r="AK212" s="6"/>
      <c r="AL212" s="12"/>
      <c r="AM212" s="12"/>
      <c r="AN212" s="12"/>
      <c r="AO212" s="12"/>
      <c r="AP212" s="12"/>
    </row>
    <row r="213" spans="1:42" ht="15" x14ac:dyDescent="0.25">
      <c r="A213" s="82" t="str">
        <f>TDCTRIBE!I222</f>
        <v>Alaska</v>
      </c>
      <c r="B213" s="82" t="str">
        <f>TDCTRIBE!B222</f>
        <v>AK</v>
      </c>
      <c r="C213" s="82" t="str">
        <f>TDCTRIBE!F222</f>
        <v>Takotna</v>
      </c>
      <c r="D213" s="83">
        <f>TDCTRIBE!Y222</f>
        <v>573912.50187599997</v>
      </c>
      <c r="E213" s="83">
        <f>TDCTRIBE!Z222</f>
        <v>633906.89508719998</v>
      </c>
      <c r="F213" s="83">
        <f>TDCTRIBE!AA222</f>
        <v>715983.34034640016</v>
      </c>
      <c r="G213" s="83">
        <f>TDCTRIBE!AB222</f>
        <v>775980.51116880018</v>
      </c>
      <c r="H213" s="83">
        <f>TDCTRIBE!AC222</f>
        <v>837476.24333520012</v>
      </c>
      <c r="O213" s="9"/>
      <c r="P213" s="1"/>
      <c r="Q213" s="1"/>
      <c r="R213" s="1"/>
      <c r="S213" s="1"/>
      <c r="T213" s="1"/>
      <c r="U213" s="1"/>
      <c r="V213" s="9"/>
      <c r="W213" s="3"/>
      <c r="X213" s="4"/>
      <c r="Y213" s="1"/>
      <c r="Z213" s="1"/>
      <c r="AA213" s="1"/>
      <c r="AB213" s="1"/>
      <c r="AC213" s="1"/>
      <c r="AD213" s="3"/>
      <c r="AE213" s="3"/>
      <c r="AF213" s="5"/>
      <c r="AG213" s="5"/>
      <c r="AH213" s="5"/>
      <c r="AI213" s="5"/>
      <c r="AJ213" s="6"/>
      <c r="AK213" s="6"/>
      <c r="AL213" s="12"/>
      <c r="AM213" s="12"/>
      <c r="AN213" s="12"/>
      <c r="AO213" s="12"/>
      <c r="AP213" s="12"/>
    </row>
    <row r="214" spans="1:42" ht="15" x14ac:dyDescent="0.25">
      <c r="A214" s="82" t="str">
        <f>TDCTRIBE!I223</f>
        <v>Alaska</v>
      </c>
      <c r="B214" s="82" t="str">
        <f>TDCTRIBE!B223</f>
        <v>AK</v>
      </c>
      <c r="C214" s="82" t="str">
        <f>TDCTRIBE!F223</f>
        <v>Tanacross</v>
      </c>
      <c r="D214" s="83">
        <f>TDCTRIBE!Y223</f>
        <v>537627.23286300001</v>
      </c>
      <c r="E214" s="83">
        <f>TDCTRIBE!Z223</f>
        <v>593892.8539060998</v>
      </c>
      <c r="F214" s="83">
        <f>TDCTRIBE!AA223</f>
        <v>670883.01826070005</v>
      </c>
      <c r="G214" s="83">
        <f>TDCTRIBE!AB223</f>
        <v>727154.03193440009</v>
      </c>
      <c r="H214" s="83">
        <f>TDCTRIBE!AC223</f>
        <v>784795.42359260004</v>
      </c>
      <c r="O214" s="9"/>
      <c r="P214" s="1"/>
      <c r="Q214" s="1"/>
      <c r="R214" s="1"/>
      <c r="S214" s="1"/>
      <c r="T214" s="1"/>
      <c r="U214" s="1"/>
      <c r="V214" s="9"/>
      <c r="W214" s="3"/>
      <c r="X214" s="4"/>
      <c r="Y214" s="1"/>
      <c r="Z214" s="1"/>
      <c r="AA214" s="1"/>
      <c r="AB214" s="1"/>
      <c r="AC214" s="1"/>
      <c r="AD214" s="3"/>
      <c r="AE214" s="3"/>
      <c r="AF214" s="5"/>
      <c r="AG214" s="5"/>
      <c r="AH214" s="5"/>
      <c r="AI214" s="5"/>
      <c r="AJ214" s="6"/>
      <c r="AK214" s="6"/>
      <c r="AL214" s="12"/>
      <c r="AM214" s="12"/>
      <c r="AN214" s="12"/>
      <c r="AO214" s="12"/>
      <c r="AP214" s="12"/>
    </row>
    <row r="215" spans="1:42" ht="15" x14ac:dyDescent="0.25">
      <c r="A215" s="82" t="str">
        <f>TDCTRIBE!I224</f>
        <v>Alaska</v>
      </c>
      <c r="B215" s="82" t="str">
        <f>TDCTRIBE!B224</f>
        <v>AK</v>
      </c>
      <c r="C215" s="82" t="str">
        <f>TDCTRIBE!F224</f>
        <v>Tanana</v>
      </c>
      <c r="D215" s="83">
        <f>TDCTRIBE!Y224</f>
        <v>573912.50187599997</v>
      </c>
      <c r="E215" s="83">
        <f>TDCTRIBE!Z224</f>
        <v>633906.89508719998</v>
      </c>
      <c r="F215" s="83">
        <f>TDCTRIBE!AA224</f>
        <v>715983.34034640016</v>
      </c>
      <c r="G215" s="83">
        <f>TDCTRIBE!AB224</f>
        <v>775980.51116880018</v>
      </c>
      <c r="H215" s="83">
        <f>TDCTRIBE!AC224</f>
        <v>837476.24333520012</v>
      </c>
      <c r="O215" s="9"/>
      <c r="P215" s="1"/>
      <c r="Q215" s="1"/>
      <c r="R215" s="1"/>
      <c r="S215" s="1"/>
      <c r="T215" s="1"/>
      <c r="U215" s="1"/>
      <c r="V215" s="9"/>
      <c r="W215" s="3"/>
      <c r="X215" s="4"/>
      <c r="Y215" s="1"/>
      <c r="Z215" s="1"/>
      <c r="AA215" s="1"/>
      <c r="AB215" s="1"/>
      <c r="AC215" s="1"/>
      <c r="AD215" s="3"/>
      <c r="AE215" s="3"/>
      <c r="AF215" s="5"/>
      <c r="AG215" s="5"/>
      <c r="AH215" s="5"/>
      <c r="AI215" s="5"/>
      <c r="AJ215" s="6"/>
      <c r="AK215" s="6"/>
      <c r="AL215" s="12"/>
      <c r="AM215" s="12"/>
      <c r="AN215" s="12"/>
      <c r="AO215" s="12"/>
      <c r="AP215" s="12"/>
    </row>
    <row r="216" spans="1:42" ht="15" x14ac:dyDescent="0.25">
      <c r="A216" s="82" t="str">
        <f>TDCTRIBE!I225</f>
        <v>Alaska</v>
      </c>
      <c r="B216" s="82" t="str">
        <f>TDCTRIBE!B225</f>
        <v>AK</v>
      </c>
      <c r="C216" s="82" t="str">
        <f>TDCTRIBE!F225</f>
        <v>Tangirnaq Native Village</v>
      </c>
      <c r="D216" s="83">
        <f>TDCTRIBE!Y225</f>
        <v>537627.23286300001</v>
      </c>
      <c r="E216" s="83">
        <f>TDCTRIBE!Z225</f>
        <v>593892.8539060998</v>
      </c>
      <c r="F216" s="83">
        <f>TDCTRIBE!AA225</f>
        <v>670883.01826070005</v>
      </c>
      <c r="G216" s="83">
        <f>TDCTRIBE!AB225</f>
        <v>727154.03193440009</v>
      </c>
      <c r="H216" s="83">
        <f>TDCTRIBE!AC225</f>
        <v>784795.42359260004</v>
      </c>
      <c r="O216" s="9"/>
      <c r="P216" s="1"/>
      <c r="Q216" s="1"/>
      <c r="R216" s="1"/>
      <c r="S216" s="1"/>
      <c r="T216" s="1"/>
      <c r="U216" s="1"/>
      <c r="V216" s="9"/>
      <c r="W216" s="3"/>
      <c r="X216" s="4"/>
      <c r="Y216" s="1"/>
      <c r="Z216" s="1"/>
      <c r="AA216" s="1"/>
      <c r="AB216" s="1"/>
      <c r="AC216" s="1"/>
      <c r="AD216" s="3"/>
      <c r="AE216" s="3"/>
      <c r="AF216" s="5"/>
      <c r="AG216" s="5"/>
      <c r="AH216" s="5"/>
      <c r="AI216" s="5"/>
      <c r="AJ216" s="6"/>
      <c r="AK216" s="6"/>
      <c r="AL216" s="12"/>
      <c r="AM216" s="12"/>
      <c r="AN216" s="12"/>
      <c r="AO216" s="12"/>
      <c r="AP216" s="12"/>
    </row>
    <row r="217" spans="1:42" ht="15" x14ac:dyDescent="0.25">
      <c r="A217" s="82" t="str">
        <f>TDCTRIBE!I226</f>
        <v>Alaska</v>
      </c>
      <c r="B217" s="82" t="str">
        <f>TDCTRIBE!B226</f>
        <v>AK</v>
      </c>
      <c r="C217" s="82" t="str">
        <f>TDCTRIBE!F226</f>
        <v>Tatitlek</v>
      </c>
      <c r="D217" s="83">
        <f>TDCTRIBE!Y226</f>
        <v>465666.31849500001</v>
      </c>
      <c r="E217" s="83">
        <f>TDCTRIBE!Z226</f>
        <v>514428.62433899997</v>
      </c>
      <c r="F217" s="83">
        <f>TDCTRIBE!AA226</f>
        <v>581158.19019300013</v>
      </c>
      <c r="G217" s="83">
        <f>TDCTRIBE!AB226</f>
        <v>629926.37213100016</v>
      </c>
      <c r="H217" s="83">
        <f>TDCTRIBE!AC226</f>
        <v>679867.06659900001</v>
      </c>
      <c r="O217" s="9"/>
      <c r="P217" s="1"/>
      <c r="Q217" s="1"/>
      <c r="R217" s="1"/>
      <c r="S217" s="1"/>
      <c r="T217" s="1"/>
      <c r="U217" s="1"/>
      <c r="V217" s="9"/>
      <c r="W217" s="3"/>
      <c r="X217" s="4"/>
      <c r="Y217" s="1"/>
      <c r="Z217" s="1"/>
      <c r="AA217" s="1"/>
      <c r="AB217" s="1"/>
      <c r="AC217" s="1"/>
      <c r="AD217" s="3"/>
      <c r="AE217" s="3"/>
      <c r="AF217" s="5"/>
      <c r="AG217" s="5"/>
      <c r="AH217" s="5"/>
      <c r="AI217" s="5"/>
      <c r="AJ217" s="6"/>
      <c r="AK217" s="6"/>
      <c r="AL217" s="12"/>
      <c r="AM217" s="12"/>
      <c r="AN217" s="12"/>
      <c r="AO217" s="12"/>
      <c r="AP217" s="12"/>
    </row>
    <row r="218" spans="1:42" ht="15" x14ac:dyDescent="0.25">
      <c r="A218" s="82" t="str">
        <f>TDCTRIBE!I227</f>
        <v>Alaska</v>
      </c>
      <c r="B218" s="82" t="str">
        <f>TDCTRIBE!B227</f>
        <v>AK</v>
      </c>
      <c r="C218" s="82" t="str">
        <f>TDCTRIBE!F227</f>
        <v>Tazlina</v>
      </c>
      <c r="D218" s="83">
        <f>TDCTRIBE!Y227</f>
        <v>465666.31849500001</v>
      </c>
      <c r="E218" s="83">
        <f>TDCTRIBE!Z227</f>
        <v>514428.62433899997</v>
      </c>
      <c r="F218" s="83">
        <f>TDCTRIBE!AA227</f>
        <v>581158.19019300013</v>
      </c>
      <c r="G218" s="83">
        <f>TDCTRIBE!AB227</f>
        <v>629926.37213100016</v>
      </c>
      <c r="H218" s="83">
        <f>TDCTRIBE!AC227</f>
        <v>679867.06659900001</v>
      </c>
      <c r="O218" s="9"/>
      <c r="P218" s="1"/>
      <c r="Q218" s="1"/>
      <c r="R218" s="1"/>
      <c r="S218" s="1"/>
      <c r="T218" s="1"/>
      <c r="U218" s="1"/>
      <c r="V218" s="9"/>
      <c r="W218" s="3"/>
      <c r="X218" s="4"/>
      <c r="Y218" s="1"/>
      <c r="Z218" s="1"/>
      <c r="AA218" s="1"/>
      <c r="AB218" s="1"/>
      <c r="AC218" s="1"/>
      <c r="AD218" s="3"/>
      <c r="AE218" s="3"/>
      <c r="AF218" s="5"/>
      <c r="AG218" s="5"/>
      <c r="AH218" s="5"/>
      <c r="AI218" s="5"/>
      <c r="AJ218" s="6"/>
      <c r="AK218" s="6"/>
      <c r="AL218" s="12"/>
      <c r="AM218" s="12"/>
      <c r="AN218" s="12"/>
      <c r="AO218" s="12"/>
      <c r="AP218" s="12"/>
    </row>
    <row r="219" spans="1:42" ht="15" x14ac:dyDescent="0.25">
      <c r="A219" s="82" t="str">
        <f>TDCTRIBE!I228</f>
        <v>Alaska</v>
      </c>
      <c r="B219" s="82" t="str">
        <f>TDCTRIBE!B228</f>
        <v>AK</v>
      </c>
      <c r="C219" s="82" t="str">
        <f>TDCTRIBE!F228</f>
        <v>Telida</v>
      </c>
      <c r="D219" s="83">
        <f>TDCTRIBE!Y228</f>
        <v>573912.50187599997</v>
      </c>
      <c r="E219" s="83">
        <f>TDCTRIBE!Z228</f>
        <v>633906.89508719998</v>
      </c>
      <c r="F219" s="83">
        <f>TDCTRIBE!AA228</f>
        <v>715983.34034640016</v>
      </c>
      <c r="G219" s="83">
        <f>TDCTRIBE!AB228</f>
        <v>775980.51116880018</v>
      </c>
      <c r="H219" s="83">
        <f>TDCTRIBE!AC228</f>
        <v>837476.24333520012</v>
      </c>
      <c r="O219" s="9"/>
      <c r="P219" s="1"/>
      <c r="Q219" s="1"/>
      <c r="R219" s="1"/>
      <c r="S219" s="1"/>
      <c r="T219" s="1"/>
      <c r="U219" s="1"/>
      <c r="V219" s="9"/>
      <c r="W219" s="3"/>
      <c r="X219" s="4"/>
      <c r="Y219" s="1"/>
      <c r="Z219" s="1"/>
      <c r="AA219" s="1"/>
      <c r="AB219" s="1"/>
      <c r="AC219" s="1"/>
      <c r="AD219" s="3"/>
      <c r="AE219" s="3"/>
      <c r="AF219" s="5"/>
      <c r="AG219" s="5"/>
      <c r="AH219" s="5"/>
      <c r="AI219" s="5"/>
      <c r="AJ219" s="6"/>
      <c r="AK219" s="6"/>
      <c r="AL219" s="12"/>
      <c r="AM219" s="12"/>
      <c r="AN219" s="12"/>
      <c r="AO219" s="12"/>
      <c r="AP219" s="12"/>
    </row>
    <row r="220" spans="1:42" ht="15" x14ac:dyDescent="0.25">
      <c r="A220" s="82" t="str">
        <f>TDCTRIBE!I229</f>
        <v>Alaska</v>
      </c>
      <c r="B220" s="82" t="str">
        <f>TDCTRIBE!B229</f>
        <v>AK</v>
      </c>
      <c r="C220" s="82" t="str">
        <f>TDCTRIBE!F229</f>
        <v>Teller</v>
      </c>
      <c r="D220" s="83">
        <f>TDCTRIBE!Y229</f>
        <v>537627.23286300001</v>
      </c>
      <c r="E220" s="83">
        <f>TDCTRIBE!Z229</f>
        <v>593892.8539060998</v>
      </c>
      <c r="F220" s="83">
        <f>TDCTRIBE!AA229</f>
        <v>670883.01826070005</v>
      </c>
      <c r="G220" s="83">
        <f>TDCTRIBE!AB229</f>
        <v>727154.03193440009</v>
      </c>
      <c r="H220" s="83">
        <f>TDCTRIBE!AC229</f>
        <v>784795.42359260004</v>
      </c>
      <c r="O220" s="9"/>
      <c r="P220" s="1"/>
      <c r="Q220" s="1"/>
      <c r="R220" s="1"/>
      <c r="S220" s="1"/>
      <c r="T220" s="1"/>
      <c r="U220" s="1"/>
      <c r="V220" s="9"/>
      <c r="W220" s="3"/>
      <c r="X220" s="4"/>
      <c r="Y220" s="1"/>
      <c r="Z220" s="1"/>
      <c r="AA220" s="1"/>
      <c r="AB220" s="1"/>
      <c r="AC220" s="1"/>
      <c r="AD220" s="3"/>
      <c r="AE220" s="3"/>
      <c r="AF220" s="5"/>
      <c r="AG220" s="5"/>
      <c r="AH220" s="5"/>
      <c r="AI220" s="5"/>
      <c r="AJ220" s="6"/>
      <c r="AK220" s="6"/>
      <c r="AL220" s="12"/>
      <c r="AM220" s="12"/>
      <c r="AN220" s="12"/>
      <c r="AO220" s="12"/>
      <c r="AP220" s="12"/>
    </row>
    <row r="221" spans="1:42" ht="15" x14ac:dyDescent="0.25">
      <c r="A221" s="82" t="str">
        <f>TDCTRIBE!I230</f>
        <v>Alaska</v>
      </c>
      <c r="B221" s="82" t="str">
        <f>TDCTRIBE!B230</f>
        <v>AK</v>
      </c>
      <c r="C221" s="82" t="str">
        <f>TDCTRIBE!F230</f>
        <v>Tetlin</v>
      </c>
      <c r="D221" s="83">
        <f>TDCTRIBE!Y230</f>
        <v>537627.23286300001</v>
      </c>
      <c r="E221" s="83">
        <f>TDCTRIBE!Z230</f>
        <v>593892.8539060998</v>
      </c>
      <c r="F221" s="83">
        <f>TDCTRIBE!AA230</f>
        <v>670883.01826070005</v>
      </c>
      <c r="G221" s="83">
        <f>TDCTRIBE!AB230</f>
        <v>727154.03193440009</v>
      </c>
      <c r="H221" s="83">
        <f>TDCTRIBE!AC230</f>
        <v>784795.42359260004</v>
      </c>
      <c r="O221" s="9"/>
      <c r="P221" s="1"/>
      <c r="Q221" s="1"/>
      <c r="R221" s="1"/>
      <c r="S221" s="1"/>
      <c r="T221" s="1"/>
      <c r="U221" s="1"/>
      <c r="V221" s="9"/>
      <c r="W221" s="3"/>
      <c r="X221" s="4"/>
      <c r="Y221" s="1"/>
      <c r="Z221" s="1"/>
      <c r="AA221" s="1"/>
      <c r="AB221" s="1"/>
      <c r="AC221" s="1"/>
      <c r="AD221" s="3"/>
      <c r="AE221" s="3"/>
      <c r="AF221" s="5"/>
      <c r="AG221" s="5"/>
      <c r="AH221" s="5"/>
      <c r="AI221" s="5"/>
      <c r="AJ221" s="6"/>
      <c r="AK221" s="6"/>
      <c r="AL221" s="12"/>
      <c r="AM221" s="12"/>
      <c r="AN221" s="12"/>
      <c r="AO221" s="12"/>
      <c r="AP221" s="12"/>
    </row>
    <row r="222" spans="1:42" ht="15" x14ac:dyDescent="0.25">
      <c r="A222" s="82" t="str">
        <f>TDCTRIBE!I231</f>
        <v>Alaska</v>
      </c>
      <c r="B222" s="82" t="str">
        <f>TDCTRIBE!B231</f>
        <v>AK</v>
      </c>
      <c r="C222" s="82" t="str">
        <f>TDCTRIBE!F231</f>
        <v>Tlingit and Haida</v>
      </c>
      <c r="D222" s="83">
        <f>TDCTRIBE!Y231</f>
        <v>465666.31849500001</v>
      </c>
      <c r="E222" s="83">
        <f>TDCTRIBE!Z231</f>
        <v>514428.62433899997</v>
      </c>
      <c r="F222" s="83">
        <f>TDCTRIBE!AA231</f>
        <v>581158.19019300013</v>
      </c>
      <c r="G222" s="83">
        <f>TDCTRIBE!AB231</f>
        <v>629926.37213100016</v>
      </c>
      <c r="H222" s="83">
        <f>TDCTRIBE!AC231</f>
        <v>679867.06659900001</v>
      </c>
      <c r="O222" s="9"/>
      <c r="P222" s="1"/>
      <c r="Q222" s="1"/>
      <c r="R222" s="1"/>
      <c r="S222" s="1"/>
      <c r="T222" s="1"/>
      <c r="U222" s="1"/>
      <c r="V222" s="9"/>
      <c r="W222" s="3"/>
      <c r="X222" s="4"/>
      <c r="Y222" s="1"/>
      <c r="Z222" s="1"/>
      <c r="AA222" s="1"/>
      <c r="AB222" s="1"/>
      <c r="AC222" s="1"/>
      <c r="AD222" s="3"/>
      <c r="AE222" s="3"/>
      <c r="AF222" s="5"/>
      <c r="AG222" s="5"/>
      <c r="AH222" s="5"/>
      <c r="AI222" s="5"/>
      <c r="AJ222" s="6"/>
      <c r="AK222" s="6"/>
      <c r="AL222" s="12"/>
      <c r="AM222" s="12"/>
      <c r="AN222" s="12"/>
      <c r="AO222" s="12"/>
      <c r="AP222" s="12"/>
    </row>
    <row r="223" spans="1:42" ht="15" x14ac:dyDescent="0.25">
      <c r="A223" s="82" t="str">
        <f>TDCTRIBE!I232</f>
        <v>Alaska</v>
      </c>
      <c r="B223" s="82" t="str">
        <f>TDCTRIBE!B232</f>
        <v>AK</v>
      </c>
      <c r="C223" s="82" t="str">
        <f>TDCTRIBE!F232</f>
        <v>Togiak</v>
      </c>
      <c r="D223" s="83">
        <f>TDCTRIBE!Y232</f>
        <v>537627.23286300001</v>
      </c>
      <c r="E223" s="83">
        <f>TDCTRIBE!Z232</f>
        <v>593892.8539060998</v>
      </c>
      <c r="F223" s="83">
        <f>TDCTRIBE!AA232</f>
        <v>670883.01826070005</v>
      </c>
      <c r="G223" s="83">
        <f>TDCTRIBE!AB232</f>
        <v>727154.03193440009</v>
      </c>
      <c r="H223" s="83">
        <f>TDCTRIBE!AC232</f>
        <v>784795.42359260004</v>
      </c>
      <c r="O223" s="9"/>
      <c r="P223" s="1"/>
      <c r="Q223" s="1"/>
      <c r="R223" s="1"/>
      <c r="S223" s="1"/>
      <c r="T223" s="1"/>
      <c r="U223" s="1"/>
      <c r="V223" s="9"/>
      <c r="W223" s="3"/>
      <c r="X223" s="4"/>
      <c r="Y223" s="1"/>
      <c r="Z223" s="1"/>
      <c r="AA223" s="1"/>
      <c r="AB223" s="1"/>
      <c r="AC223" s="1"/>
      <c r="AD223" s="3"/>
      <c r="AE223" s="3"/>
      <c r="AF223" s="5"/>
      <c r="AG223" s="5"/>
      <c r="AH223" s="5"/>
      <c r="AI223" s="5"/>
      <c r="AJ223" s="6"/>
      <c r="AK223" s="6"/>
      <c r="AL223" s="12"/>
      <c r="AM223" s="12"/>
      <c r="AN223" s="12"/>
      <c r="AO223" s="12"/>
      <c r="AP223" s="12"/>
    </row>
    <row r="224" spans="1:42" ht="15" x14ac:dyDescent="0.25">
      <c r="A224" s="82" t="str">
        <f>TDCTRIBE!I233</f>
        <v>Alaska</v>
      </c>
      <c r="B224" s="82" t="str">
        <f>TDCTRIBE!B233</f>
        <v>AK</v>
      </c>
      <c r="C224" s="82" t="str">
        <f>TDCTRIBE!F233</f>
        <v>Toksook Bay</v>
      </c>
      <c r="D224" s="83">
        <f>TDCTRIBE!Y233</f>
        <v>537627.23286300001</v>
      </c>
      <c r="E224" s="83">
        <f>TDCTRIBE!Z233</f>
        <v>593892.8539060998</v>
      </c>
      <c r="F224" s="83">
        <f>TDCTRIBE!AA233</f>
        <v>670883.01826070005</v>
      </c>
      <c r="G224" s="83">
        <f>TDCTRIBE!AB233</f>
        <v>727154.03193440009</v>
      </c>
      <c r="H224" s="83">
        <f>TDCTRIBE!AC233</f>
        <v>784795.42359260004</v>
      </c>
      <c r="O224" s="9"/>
      <c r="P224" s="1"/>
      <c r="Q224" s="1"/>
      <c r="R224" s="1"/>
      <c r="S224" s="1"/>
      <c r="T224" s="1"/>
      <c r="U224" s="1"/>
      <c r="V224" s="9"/>
      <c r="W224" s="3"/>
      <c r="X224" s="4"/>
      <c r="Y224" s="1"/>
      <c r="Z224" s="1"/>
      <c r="AA224" s="1"/>
      <c r="AB224" s="1"/>
      <c r="AC224" s="1"/>
      <c r="AD224" s="3"/>
      <c r="AE224" s="3"/>
      <c r="AF224" s="5"/>
      <c r="AG224" s="5"/>
      <c r="AH224" s="5"/>
      <c r="AI224" s="5"/>
      <c r="AJ224" s="6"/>
      <c r="AK224" s="6"/>
      <c r="AL224" s="12"/>
      <c r="AM224" s="12"/>
      <c r="AN224" s="12"/>
      <c r="AO224" s="12"/>
      <c r="AP224" s="12"/>
    </row>
    <row r="225" spans="1:42" ht="15" x14ac:dyDescent="0.25">
      <c r="A225" s="82" t="str">
        <f>TDCTRIBE!I234</f>
        <v>Alaska</v>
      </c>
      <c r="B225" s="82" t="str">
        <f>TDCTRIBE!B234</f>
        <v>AK</v>
      </c>
      <c r="C225" s="82" t="str">
        <f>TDCTRIBE!F234</f>
        <v>Tuluksak</v>
      </c>
      <c r="D225" s="83">
        <f>TDCTRIBE!Y234</f>
        <v>537627.23286300001</v>
      </c>
      <c r="E225" s="83">
        <f>TDCTRIBE!Z234</f>
        <v>593892.8539060998</v>
      </c>
      <c r="F225" s="83">
        <f>TDCTRIBE!AA234</f>
        <v>670883.01826070005</v>
      </c>
      <c r="G225" s="83">
        <f>TDCTRIBE!AB234</f>
        <v>727154.03193440009</v>
      </c>
      <c r="H225" s="83">
        <f>TDCTRIBE!AC234</f>
        <v>784795.42359260004</v>
      </c>
      <c r="O225" s="9"/>
      <c r="P225" s="1"/>
      <c r="Q225" s="1"/>
      <c r="R225" s="1"/>
      <c r="S225" s="1"/>
      <c r="T225" s="1"/>
      <c r="U225" s="1"/>
      <c r="V225" s="9"/>
      <c r="W225" s="3"/>
      <c r="X225" s="4"/>
      <c r="Y225" s="1"/>
      <c r="Z225" s="1"/>
      <c r="AA225" s="1"/>
      <c r="AB225" s="1"/>
      <c r="AC225" s="1"/>
      <c r="AD225" s="3"/>
      <c r="AE225" s="3"/>
      <c r="AF225" s="5"/>
      <c r="AG225" s="5"/>
      <c r="AH225" s="5"/>
      <c r="AI225" s="5"/>
      <c r="AJ225" s="6"/>
      <c r="AK225" s="6"/>
      <c r="AL225" s="12"/>
      <c r="AM225" s="12"/>
      <c r="AN225" s="12"/>
      <c r="AO225" s="12"/>
      <c r="AP225" s="12"/>
    </row>
    <row r="226" spans="1:42" ht="15" x14ac:dyDescent="0.25">
      <c r="A226" s="82" t="str">
        <f>TDCTRIBE!I235</f>
        <v>Alaska</v>
      </c>
      <c r="B226" s="82" t="str">
        <f>TDCTRIBE!B235</f>
        <v>AK</v>
      </c>
      <c r="C226" s="82" t="str">
        <f>TDCTRIBE!F235</f>
        <v>Tuntutuliak</v>
      </c>
      <c r="D226" s="83">
        <f>TDCTRIBE!Y235</f>
        <v>537627.23286300001</v>
      </c>
      <c r="E226" s="83">
        <f>TDCTRIBE!Z235</f>
        <v>593892.8539060998</v>
      </c>
      <c r="F226" s="83">
        <f>TDCTRIBE!AA235</f>
        <v>670883.01826070005</v>
      </c>
      <c r="G226" s="83">
        <f>TDCTRIBE!AB235</f>
        <v>727154.03193440009</v>
      </c>
      <c r="H226" s="83">
        <f>TDCTRIBE!AC235</f>
        <v>784795.42359260004</v>
      </c>
      <c r="O226" s="9"/>
      <c r="P226" s="1"/>
      <c r="Q226" s="1"/>
      <c r="R226" s="1"/>
      <c r="S226" s="1"/>
      <c r="T226" s="1"/>
      <c r="U226" s="1"/>
      <c r="V226" s="9"/>
      <c r="W226" s="3"/>
      <c r="X226" s="4"/>
      <c r="Y226" s="1"/>
      <c r="Z226" s="1"/>
      <c r="AA226" s="1"/>
      <c r="AB226" s="1"/>
      <c r="AC226" s="1"/>
      <c r="AD226" s="3"/>
      <c r="AE226" s="3"/>
      <c r="AF226" s="5"/>
      <c r="AG226" s="5"/>
      <c r="AH226" s="5"/>
      <c r="AI226" s="5"/>
      <c r="AJ226" s="6"/>
      <c r="AK226" s="6"/>
      <c r="AL226" s="12"/>
      <c r="AM226" s="12"/>
      <c r="AN226" s="12"/>
      <c r="AO226" s="12"/>
      <c r="AP226" s="12"/>
    </row>
    <row r="227" spans="1:42" ht="15" x14ac:dyDescent="0.25">
      <c r="A227" s="82" t="str">
        <f>TDCTRIBE!I236</f>
        <v>Alaska</v>
      </c>
      <c r="B227" s="82" t="str">
        <f>TDCTRIBE!B236</f>
        <v>AK</v>
      </c>
      <c r="C227" s="82" t="str">
        <f>TDCTRIBE!F236</f>
        <v>Tununak</v>
      </c>
      <c r="D227" s="83">
        <f>TDCTRIBE!Y236</f>
        <v>537627.23286300001</v>
      </c>
      <c r="E227" s="83">
        <f>TDCTRIBE!Z236</f>
        <v>593892.8539060998</v>
      </c>
      <c r="F227" s="83">
        <f>TDCTRIBE!AA236</f>
        <v>670883.01826070005</v>
      </c>
      <c r="G227" s="83">
        <f>TDCTRIBE!AB236</f>
        <v>727154.03193440009</v>
      </c>
      <c r="H227" s="83">
        <f>TDCTRIBE!AC236</f>
        <v>784795.42359260004</v>
      </c>
      <c r="O227" s="9"/>
      <c r="P227" s="1"/>
      <c r="Q227" s="1"/>
      <c r="R227" s="1"/>
      <c r="S227" s="1"/>
      <c r="T227" s="1"/>
      <c r="U227" s="1"/>
      <c r="V227" s="9"/>
      <c r="W227" s="3"/>
      <c r="X227" s="4"/>
      <c r="Y227" s="1"/>
      <c r="Z227" s="1"/>
      <c r="AA227" s="1"/>
      <c r="AB227" s="1"/>
      <c r="AC227" s="1"/>
      <c r="AD227" s="3"/>
      <c r="AE227" s="3"/>
      <c r="AF227" s="5"/>
      <c r="AG227" s="5"/>
      <c r="AH227" s="5"/>
      <c r="AI227" s="5"/>
      <c r="AJ227" s="6"/>
      <c r="AK227" s="6"/>
      <c r="AL227" s="12"/>
      <c r="AM227" s="12"/>
      <c r="AN227" s="12"/>
      <c r="AO227" s="12"/>
      <c r="AP227" s="12"/>
    </row>
    <row r="228" spans="1:42" ht="15" x14ac:dyDescent="0.25">
      <c r="A228" s="82" t="str">
        <f>TDCTRIBE!I237</f>
        <v>Alaska</v>
      </c>
      <c r="B228" s="82" t="str">
        <f>TDCTRIBE!B237</f>
        <v>AK</v>
      </c>
      <c r="C228" s="82" t="str">
        <f>TDCTRIBE!F237</f>
        <v>Twin Hills</v>
      </c>
      <c r="D228" s="83">
        <f>TDCTRIBE!Y237</f>
        <v>537627.23286300001</v>
      </c>
      <c r="E228" s="83">
        <f>TDCTRIBE!Z237</f>
        <v>593892.8539060998</v>
      </c>
      <c r="F228" s="83">
        <f>TDCTRIBE!AA237</f>
        <v>670883.01826070005</v>
      </c>
      <c r="G228" s="83">
        <f>TDCTRIBE!AB237</f>
        <v>727154.03193440009</v>
      </c>
      <c r="H228" s="83">
        <f>TDCTRIBE!AC237</f>
        <v>784795.42359260004</v>
      </c>
      <c r="O228" s="9"/>
      <c r="P228" s="1"/>
      <c r="Q228" s="1"/>
      <c r="R228" s="1"/>
      <c r="S228" s="1"/>
      <c r="T228" s="1"/>
      <c r="U228" s="1"/>
      <c r="V228" s="9"/>
      <c r="W228" s="3"/>
      <c r="X228" s="4"/>
      <c r="Y228" s="1"/>
      <c r="Z228" s="1"/>
      <c r="AA228" s="1"/>
      <c r="AB228" s="1"/>
      <c r="AC228" s="1"/>
      <c r="AD228" s="3"/>
      <c r="AE228" s="3"/>
      <c r="AF228" s="5"/>
      <c r="AG228" s="5"/>
      <c r="AH228" s="5"/>
      <c r="AI228" s="5"/>
      <c r="AJ228" s="6"/>
      <c r="AK228" s="6"/>
      <c r="AL228" s="12"/>
      <c r="AM228" s="12"/>
      <c r="AN228" s="12"/>
      <c r="AO228" s="12"/>
      <c r="AP228" s="12"/>
    </row>
    <row r="229" spans="1:42" ht="15" x14ac:dyDescent="0.25">
      <c r="A229" s="82" t="str">
        <f>TDCTRIBE!I238</f>
        <v>Alaska</v>
      </c>
      <c r="B229" s="82" t="str">
        <f>TDCTRIBE!B238</f>
        <v>AK</v>
      </c>
      <c r="C229" s="82" t="str">
        <f>TDCTRIBE!F238</f>
        <v>Tyonek</v>
      </c>
      <c r="D229" s="83">
        <f>TDCTRIBE!Y238</f>
        <v>537627.23286300001</v>
      </c>
      <c r="E229" s="83">
        <f>TDCTRIBE!Z238</f>
        <v>593892.8539060998</v>
      </c>
      <c r="F229" s="83">
        <f>TDCTRIBE!AA238</f>
        <v>670883.01826070005</v>
      </c>
      <c r="G229" s="83">
        <f>TDCTRIBE!AB238</f>
        <v>727154.03193440009</v>
      </c>
      <c r="H229" s="83">
        <f>TDCTRIBE!AC238</f>
        <v>784795.42359260004</v>
      </c>
      <c r="O229" s="9"/>
      <c r="P229" s="1"/>
      <c r="Q229" s="1"/>
      <c r="R229" s="1"/>
      <c r="S229" s="1"/>
      <c r="T229" s="1"/>
      <c r="U229" s="1"/>
      <c r="V229" s="9"/>
      <c r="W229" s="3"/>
      <c r="X229" s="4"/>
      <c r="Y229" s="1"/>
      <c r="Z229" s="1"/>
      <c r="AA229" s="1"/>
      <c r="AB229" s="1"/>
      <c r="AC229" s="1"/>
      <c r="AD229" s="3"/>
      <c r="AE229" s="3"/>
      <c r="AF229" s="5"/>
      <c r="AG229" s="5"/>
      <c r="AH229" s="5"/>
      <c r="AI229" s="5"/>
      <c r="AJ229" s="6"/>
      <c r="AK229" s="6"/>
      <c r="AL229" s="12"/>
      <c r="AM229" s="12"/>
      <c r="AN229" s="12"/>
      <c r="AO229" s="12"/>
      <c r="AP229" s="12"/>
    </row>
    <row r="230" spans="1:42" ht="15" x14ac:dyDescent="0.25">
      <c r="A230" s="82" t="str">
        <f>TDCTRIBE!I239</f>
        <v>Alaska</v>
      </c>
      <c r="B230" s="82" t="str">
        <f>TDCTRIBE!B239</f>
        <v>AK</v>
      </c>
      <c r="C230" s="82" t="str">
        <f>TDCTRIBE!F239</f>
        <v>Ugashik</v>
      </c>
      <c r="D230" s="83">
        <f>TDCTRIBE!Y239</f>
        <v>537627.23286300001</v>
      </c>
      <c r="E230" s="83">
        <f>TDCTRIBE!Z239</f>
        <v>593892.8539060998</v>
      </c>
      <c r="F230" s="83">
        <f>TDCTRIBE!AA239</f>
        <v>670883.01826070005</v>
      </c>
      <c r="G230" s="83">
        <f>TDCTRIBE!AB239</f>
        <v>727154.03193440009</v>
      </c>
      <c r="H230" s="83">
        <f>TDCTRIBE!AC239</f>
        <v>784795.42359260004</v>
      </c>
      <c r="O230" s="9"/>
      <c r="P230" s="1"/>
      <c r="Q230" s="1"/>
      <c r="R230" s="1"/>
      <c r="S230" s="1"/>
      <c r="T230" s="1"/>
      <c r="U230" s="1"/>
      <c r="V230" s="9"/>
      <c r="W230" s="3"/>
      <c r="X230" s="4"/>
      <c r="Y230" s="1"/>
      <c r="Z230" s="1"/>
      <c r="AA230" s="1"/>
      <c r="AB230" s="1"/>
      <c r="AC230" s="1"/>
      <c r="AD230" s="3"/>
      <c r="AE230" s="3"/>
      <c r="AF230" s="5"/>
      <c r="AG230" s="5"/>
      <c r="AH230" s="5"/>
      <c r="AI230" s="5"/>
      <c r="AJ230" s="6"/>
      <c r="AK230" s="6"/>
      <c r="AL230" s="12"/>
      <c r="AM230" s="12"/>
      <c r="AN230" s="12"/>
      <c r="AO230" s="12"/>
      <c r="AP230" s="12"/>
    </row>
    <row r="231" spans="1:42" ht="15" x14ac:dyDescent="0.25">
      <c r="A231" s="82" t="str">
        <f>TDCTRIBE!I240</f>
        <v>Alaska</v>
      </c>
      <c r="B231" s="82" t="str">
        <f>TDCTRIBE!B240</f>
        <v>AK</v>
      </c>
      <c r="C231" s="82" t="str">
        <f>TDCTRIBE!F240</f>
        <v>Umkumiute</v>
      </c>
      <c r="D231" s="83">
        <f>TDCTRIBE!Y240</f>
        <v>537627.23286300001</v>
      </c>
      <c r="E231" s="83">
        <f>TDCTRIBE!Z240</f>
        <v>593892.8539060998</v>
      </c>
      <c r="F231" s="83">
        <f>TDCTRIBE!AA240</f>
        <v>670883.01826070005</v>
      </c>
      <c r="G231" s="83">
        <f>TDCTRIBE!AB240</f>
        <v>727154.03193440009</v>
      </c>
      <c r="H231" s="83">
        <f>TDCTRIBE!AC240</f>
        <v>784795.42359260004</v>
      </c>
      <c r="O231" s="9"/>
      <c r="P231" s="1"/>
      <c r="Q231" s="1"/>
      <c r="R231" s="1"/>
      <c r="S231" s="1"/>
      <c r="T231" s="1"/>
      <c r="U231" s="1"/>
      <c r="V231" s="9"/>
      <c r="W231" s="3"/>
      <c r="X231" s="4"/>
      <c r="Y231" s="1"/>
      <c r="Z231" s="1"/>
      <c r="AA231" s="1"/>
      <c r="AB231" s="1"/>
      <c r="AC231" s="1"/>
      <c r="AD231" s="3"/>
      <c r="AE231" s="3"/>
      <c r="AF231" s="5"/>
      <c r="AG231" s="5"/>
      <c r="AH231" s="5"/>
      <c r="AI231" s="5"/>
      <c r="AJ231" s="6"/>
      <c r="AK231" s="6"/>
      <c r="AL231" s="12"/>
      <c r="AM231" s="12"/>
      <c r="AN231" s="12"/>
      <c r="AO231" s="12"/>
      <c r="AP231" s="12"/>
    </row>
    <row r="232" spans="1:42" ht="15" x14ac:dyDescent="0.25">
      <c r="A232" s="82" t="str">
        <f>TDCTRIBE!I241</f>
        <v>Alaska</v>
      </c>
      <c r="B232" s="82" t="str">
        <f>TDCTRIBE!B241</f>
        <v>AK</v>
      </c>
      <c r="C232" s="82" t="str">
        <f>TDCTRIBE!F241</f>
        <v>Unalakleet</v>
      </c>
      <c r="D232" s="83">
        <f>TDCTRIBE!Y241</f>
        <v>537627.23286300001</v>
      </c>
      <c r="E232" s="83">
        <f>TDCTRIBE!Z241</f>
        <v>593892.8539060998</v>
      </c>
      <c r="F232" s="83">
        <f>TDCTRIBE!AA241</f>
        <v>670883.01826070005</v>
      </c>
      <c r="G232" s="83">
        <f>TDCTRIBE!AB241</f>
        <v>727154.03193440009</v>
      </c>
      <c r="H232" s="83">
        <f>TDCTRIBE!AC241</f>
        <v>784795.42359260004</v>
      </c>
      <c r="O232" s="9"/>
      <c r="P232" s="1"/>
      <c r="Q232" s="1"/>
      <c r="R232" s="1"/>
      <c r="S232" s="1"/>
      <c r="T232" s="1"/>
      <c r="U232" s="1"/>
      <c r="V232" s="9"/>
      <c r="W232" s="3"/>
      <c r="X232" s="4"/>
      <c r="Y232" s="1"/>
      <c r="Z232" s="1"/>
      <c r="AA232" s="1"/>
      <c r="AB232" s="1"/>
      <c r="AC232" s="1"/>
      <c r="AD232" s="3"/>
      <c r="AE232" s="3"/>
      <c r="AF232" s="5"/>
      <c r="AG232" s="5"/>
      <c r="AH232" s="5"/>
      <c r="AI232" s="5"/>
      <c r="AJ232" s="6"/>
      <c r="AK232" s="6"/>
      <c r="AL232" s="12"/>
      <c r="AM232" s="12"/>
      <c r="AN232" s="12"/>
      <c r="AO232" s="12"/>
      <c r="AP232" s="12"/>
    </row>
    <row r="233" spans="1:42" ht="15" x14ac:dyDescent="0.25">
      <c r="A233" s="82" t="str">
        <f>TDCTRIBE!I242</f>
        <v>Alaska</v>
      </c>
      <c r="B233" s="82" t="str">
        <f>TDCTRIBE!B242</f>
        <v>AK</v>
      </c>
      <c r="C233" s="82" t="str">
        <f>TDCTRIBE!F242</f>
        <v>Unga</v>
      </c>
      <c r="D233" s="83">
        <f>TDCTRIBE!Y242</f>
        <v>537627.23286300001</v>
      </c>
      <c r="E233" s="83">
        <f>TDCTRIBE!Z242</f>
        <v>593892.8539060998</v>
      </c>
      <c r="F233" s="83">
        <f>TDCTRIBE!AA242</f>
        <v>670883.01826070005</v>
      </c>
      <c r="G233" s="83">
        <f>TDCTRIBE!AB242</f>
        <v>727154.03193440009</v>
      </c>
      <c r="H233" s="83">
        <f>TDCTRIBE!AC242</f>
        <v>784795.42359260004</v>
      </c>
      <c r="O233" s="9"/>
      <c r="P233" s="1"/>
      <c r="Q233" s="1"/>
      <c r="R233" s="1"/>
      <c r="S233" s="1"/>
      <c r="T233" s="1"/>
      <c r="U233" s="1"/>
      <c r="V233" s="9"/>
      <c r="W233" s="3"/>
      <c r="X233" s="4"/>
      <c r="Y233" s="1"/>
      <c r="Z233" s="1"/>
      <c r="AA233" s="1"/>
      <c r="AB233" s="1"/>
      <c r="AC233" s="1"/>
      <c r="AD233" s="3"/>
      <c r="AE233" s="3"/>
      <c r="AF233" s="5"/>
      <c r="AG233" s="5"/>
      <c r="AH233" s="5"/>
      <c r="AI233" s="5"/>
      <c r="AJ233" s="6"/>
      <c r="AK233" s="6"/>
      <c r="AL233" s="12"/>
      <c r="AM233" s="12"/>
      <c r="AN233" s="12"/>
      <c r="AO233" s="12"/>
      <c r="AP233" s="12"/>
    </row>
    <row r="234" spans="1:42" ht="15" x14ac:dyDescent="0.25">
      <c r="A234" s="82" t="str">
        <f>TDCTRIBE!I243</f>
        <v>Alaska</v>
      </c>
      <c r="B234" s="82" t="str">
        <f>TDCTRIBE!B243</f>
        <v>AK</v>
      </c>
      <c r="C234" s="82" t="str">
        <f>TDCTRIBE!F243</f>
        <v>Venetie</v>
      </c>
      <c r="D234" s="83">
        <f>TDCTRIBE!Y243</f>
        <v>537627.23286300001</v>
      </c>
      <c r="E234" s="83">
        <f>TDCTRIBE!Z243</f>
        <v>593892.8539060998</v>
      </c>
      <c r="F234" s="83">
        <f>TDCTRIBE!AA243</f>
        <v>670883.01826070005</v>
      </c>
      <c r="G234" s="83">
        <f>TDCTRIBE!AB243</f>
        <v>727154.03193440009</v>
      </c>
      <c r="H234" s="83">
        <f>TDCTRIBE!AC243</f>
        <v>784795.42359260004</v>
      </c>
      <c r="O234" s="9"/>
      <c r="P234" s="1"/>
      <c r="Q234" s="1"/>
      <c r="R234" s="1"/>
      <c r="S234" s="1"/>
      <c r="T234" s="1"/>
      <c r="U234" s="1"/>
      <c r="V234" s="9"/>
      <c r="W234" s="3"/>
      <c r="X234" s="4"/>
      <c r="Y234" s="1"/>
      <c r="Z234" s="1"/>
      <c r="AA234" s="1"/>
      <c r="AB234" s="1"/>
      <c r="AC234" s="1"/>
      <c r="AD234" s="3"/>
      <c r="AE234" s="3"/>
      <c r="AF234" s="5"/>
      <c r="AG234" s="5"/>
      <c r="AH234" s="5"/>
      <c r="AI234" s="5"/>
      <c r="AJ234" s="6"/>
      <c r="AK234" s="6"/>
      <c r="AL234" s="12"/>
      <c r="AM234" s="12"/>
      <c r="AN234" s="12"/>
      <c r="AO234" s="12"/>
      <c r="AP234" s="12"/>
    </row>
    <row r="235" spans="1:42" ht="15" x14ac:dyDescent="0.25">
      <c r="A235" s="82" t="str">
        <f>TDCTRIBE!I244</f>
        <v>Alaska</v>
      </c>
      <c r="B235" s="82" t="str">
        <f>TDCTRIBE!B244</f>
        <v>AK</v>
      </c>
      <c r="C235" s="82" t="str">
        <f>TDCTRIBE!F244</f>
        <v>Wainwright</v>
      </c>
      <c r="D235" s="83">
        <f>TDCTRIBE!Y244</f>
        <v>573912.50187599997</v>
      </c>
      <c r="E235" s="83">
        <f>TDCTRIBE!Z244</f>
        <v>633906.89508719998</v>
      </c>
      <c r="F235" s="83">
        <f>TDCTRIBE!AA244</f>
        <v>715983.34034640016</v>
      </c>
      <c r="G235" s="83">
        <f>TDCTRIBE!AB244</f>
        <v>775980.51116880018</v>
      </c>
      <c r="H235" s="83">
        <f>TDCTRIBE!AC244</f>
        <v>837476.24333520012</v>
      </c>
      <c r="O235" s="9"/>
      <c r="P235" s="1"/>
      <c r="Q235" s="1"/>
      <c r="R235" s="1"/>
      <c r="S235" s="1"/>
      <c r="T235" s="1"/>
      <c r="U235" s="1"/>
      <c r="V235" s="9"/>
      <c r="W235" s="3"/>
      <c r="X235" s="4"/>
      <c r="Y235" s="1"/>
      <c r="Z235" s="1"/>
      <c r="AA235" s="1"/>
      <c r="AB235" s="1"/>
      <c r="AC235" s="1"/>
      <c r="AD235" s="3"/>
      <c r="AE235" s="3"/>
      <c r="AF235" s="5"/>
      <c r="AG235" s="5"/>
      <c r="AH235" s="5"/>
      <c r="AI235" s="5"/>
      <c r="AJ235" s="6"/>
      <c r="AK235" s="6"/>
      <c r="AL235" s="12"/>
      <c r="AM235" s="12"/>
      <c r="AN235" s="12"/>
      <c r="AO235" s="12"/>
      <c r="AP235" s="12"/>
    </row>
    <row r="236" spans="1:42" ht="15" x14ac:dyDescent="0.25">
      <c r="A236" s="82" t="str">
        <f>TDCTRIBE!I245</f>
        <v>Alaska</v>
      </c>
      <c r="B236" s="82" t="str">
        <f>TDCTRIBE!B245</f>
        <v>AK</v>
      </c>
      <c r="C236" s="82" t="str">
        <f>TDCTRIBE!F245</f>
        <v>Wales</v>
      </c>
      <c r="D236" s="83">
        <f>TDCTRIBE!Y245</f>
        <v>537627.23286300001</v>
      </c>
      <c r="E236" s="83">
        <f>TDCTRIBE!Z245</f>
        <v>593892.8539060998</v>
      </c>
      <c r="F236" s="83">
        <f>TDCTRIBE!AA245</f>
        <v>670883.01826070005</v>
      </c>
      <c r="G236" s="83">
        <f>TDCTRIBE!AB245</f>
        <v>727154.03193440009</v>
      </c>
      <c r="H236" s="83">
        <f>TDCTRIBE!AC245</f>
        <v>784795.42359260004</v>
      </c>
      <c r="O236" s="9"/>
      <c r="P236" s="1"/>
      <c r="Q236" s="1"/>
      <c r="R236" s="1"/>
      <c r="S236" s="1"/>
      <c r="T236" s="1"/>
      <c r="U236" s="1"/>
      <c r="V236" s="9"/>
      <c r="W236" s="3"/>
      <c r="X236" s="4"/>
      <c r="Y236" s="1"/>
      <c r="Z236" s="1"/>
      <c r="AA236" s="1"/>
      <c r="AB236" s="1"/>
      <c r="AC236" s="1"/>
      <c r="AD236" s="3"/>
      <c r="AE236" s="3"/>
      <c r="AF236" s="5"/>
      <c r="AG236" s="5"/>
      <c r="AH236" s="5"/>
      <c r="AI236" s="5"/>
      <c r="AJ236" s="6"/>
      <c r="AK236" s="6"/>
      <c r="AL236" s="12"/>
      <c r="AM236" s="12"/>
      <c r="AN236" s="12"/>
      <c r="AO236" s="12"/>
      <c r="AP236" s="12"/>
    </row>
    <row r="237" spans="1:42" ht="15" x14ac:dyDescent="0.25">
      <c r="A237" s="82" t="str">
        <f>TDCTRIBE!I246</f>
        <v>Alaska</v>
      </c>
      <c r="B237" s="82" t="str">
        <f>TDCTRIBE!B246</f>
        <v>AK</v>
      </c>
      <c r="C237" s="82" t="str">
        <f>TDCTRIBE!F246</f>
        <v>White Mountain</v>
      </c>
      <c r="D237" s="83">
        <f>TDCTRIBE!Y246</f>
        <v>537627.23286300001</v>
      </c>
      <c r="E237" s="83">
        <f>TDCTRIBE!Z246</f>
        <v>593892.8539060998</v>
      </c>
      <c r="F237" s="83">
        <f>TDCTRIBE!AA246</f>
        <v>670883.01826070005</v>
      </c>
      <c r="G237" s="83">
        <f>TDCTRIBE!AB246</f>
        <v>727154.03193440009</v>
      </c>
      <c r="H237" s="83">
        <f>TDCTRIBE!AC246</f>
        <v>784795.42359260004</v>
      </c>
      <c r="O237" s="9"/>
      <c r="P237" s="1"/>
      <c r="Q237" s="1"/>
      <c r="R237" s="1"/>
      <c r="S237" s="1"/>
      <c r="T237" s="1"/>
      <c r="U237" s="1"/>
      <c r="V237" s="9"/>
      <c r="W237" s="3"/>
      <c r="X237" s="4"/>
      <c r="Y237" s="1"/>
      <c r="Z237" s="1"/>
      <c r="AA237" s="1"/>
      <c r="AB237" s="1"/>
      <c r="AC237" s="1"/>
      <c r="AD237" s="3"/>
      <c r="AE237" s="3"/>
      <c r="AF237" s="5"/>
      <c r="AG237" s="5"/>
      <c r="AH237" s="5"/>
      <c r="AI237" s="5"/>
      <c r="AJ237" s="6"/>
      <c r="AK237" s="6"/>
      <c r="AL237" s="12"/>
      <c r="AM237" s="12"/>
      <c r="AN237" s="12"/>
      <c r="AO237" s="12"/>
      <c r="AP237" s="12"/>
    </row>
    <row r="238" spans="1:42" ht="15" x14ac:dyDescent="0.25">
      <c r="A238" s="82" t="str">
        <f>TDCTRIBE!I247</f>
        <v>Alaska</v>
      </c>
      <c r="B238" s="82" t="str">
        <f>TDCTRIBE!B247</f>
        <v>AK</v>
      </c>
      <c r="C238" s="82" t="str">
        <f>TDCTRIBE!F247</f>
        <v>Wrangell</v>
      </c>
      <c r="D238" s="83">
        <f>TDCTRIBE!Y247</f>
        <v>465666.31849500001</v>
      </c>
      <c r="E238" s="83">
        <f>TDCTRIBE!Z247</f>
        <v>514428.62433899997</v>
      </c>
      <c r="F238" s="83">
        <f>TDCTRIBE!AA247</f>
        <v>581158.19019300013</v>
      </c>
      <c r="G238" s="83">
        <f>TDCTRIBE!AB247</f>
        <v>629926.37213100016</v>
      </c>
      <c r="H238" s="83">
        <f>TDCTRIBE!AC247</f>
        <v>679867.06659900001</v>
      </c>
      <c r="O238" s="9"/>
      <c r="P238" s="1"/>
      <c r="Q238" s="1"/>
      <c r="R238" s="1"/>
      <c r="S238" s="1"/>
      <c r="T238" s="1"/>
      <c r="U238" s="1"/>
      <c r="V238" s="9"/>
      <c r="W238" s="3"/>
      <c r="X238" s="4"/>
      <c r="Y238" s="1"/>
      <c r="Z238" s="1"/>
      <c r="AA238" s="1"/>
      <c r="AB238" s="1"/>
      <c r="AC238" s="1"/>
      <c r="AD238" s="3"/>
      <c r="AE238" s="3"/>
      <c r="AF238" s="5"/>
      <c r="AG238" s="5"/>
      <c r="AH238" s="5"/>
      <c r="AI238" s="5"/>
      <c r="AJ238" s="6"/>
      <c r="AK238" s="6"/>
      <c r="AL238" s="12"/>
      <c r="AM238" s="12"/>
      <c r="AN238" s="12"/>
      <c r="AO238" s="12"/>
      <c r="AP238" s="12"/>
    </row>
    <row r="239" spans="1:42" ht="15" x14ac:dyDescent="0.25">
      <c r="A239" s="82" t="str">
        <f>TDCTRIBE!I248</f>
        <v>Alaska</v>
      </c>
      <c r="B239" s="82" t="str">
        <f>TDCTRIBE!B248</f>
        <v>AK</v>
      </c>
      <c r="C239" s="82" t="str">
        <f>TDCTRIBE!F248</f>
        <v>Yakutat</v>
      </c>
      <c r="D239" s="83">
        <f>TDCTRIBE!Y248</f>
        <v>465666.31849500001</v>
      </c>
      <c r="E239" s="83">
        <f>TDCTRIBE!Z248</f>
        <v>514428.62433899997</v>
      </c>
      <c r="F239" s="83">
        <f>TDCTRIBE!AA248</f>
        <v>581158.19019300013</v>
      </c>
      <c r="G239" s="83">
        <f>TDCTRIBE!AB248</f>
        <v>629926.37213100016</v>
      </c>
      <c r="H239" s="83">
        <f>TDCTRIBE!AC248</f>
        <v>679867.06659900001</v>
      </c>
      <c r="O239" s="9"/>
      <c r="P239" s="1"/>
      <c r="Q239" s="1"/>
      <c r="R239" s="1"/>
      <c r="S239" s="1"/>
      <c r="T239" s="1"/>
      <c r="U239" s="1"/>
      <c r="V239" s="9"/>
      <c r="W239" s="3"/>
      <c r="X239" s="4"/>
      <c r="Y239" s="1"/>
      <c r="Z239" s="1"/>
      <c r="AA239" s="1"/>
      <c r="AB239" s="1"/>
      <c r="AC239" s="1"/>
      <c r="AD239" s="3"/>
      <c r="AE239" s="3"/>
      <c r="AF239" s="5"/>
      <c r="AG239" s="5"/>
      <c r="AH239" s="5"/>
      <c r="AI239" s="5"/>
      <c r="AJ239" s="6"/>
      <c r="AK239" s="6"/>
      <c r="AL239" s="12"/>
      <c r="AM239" s="12"/>
      <c r="AN239" s="12"/>
      <c r="AO239" s="12"/>
      <c r="AP239" s="12"/>
    </row>
    <row r="240" spans="1:42" ht="15" x14ac:dyDescent="0.25">
      <c r="A240" s="82" t="str">
        <f>TDCTRIBE!I249</f>
        <v>Eastern/Woodlands</v>
      </c>
      <c r="B240" s="82" t="str">
        <f>TDCTRIBE!B249</f>
        <v>AL</v>
      </c>
      <c r="C240" s="82" t="str">
        <f>TDCTRIBE!F249</f>
        <v>MOWA Band of Choctaw Indians</v>
      </c>
      <c r="D240" s="83">
        <f>TDCTRIBE!Y249</f>
        <v>260708.75221999999</v>
      </c>
      <c r="E240" s="83">
        <f>TDCTRIBE!Z249</f>
        <v>289094.40246399998</v>
      </c>
      <c r="F240" s="83">
        <f>TDCTRIBE!AA249</f>
        <v>334868.88461600005</v>
      </c>
      <c r="G240" s="83">
        <f>TDCTRIBE!AB249</f>
        <v>361724.51179199998</v>
      </c>
      <c r="H240" s="83">
        <f>TDCTRIBE!AC249</f>
        <v>390077.89452799998</v>
      </c>
      <c r="O240" s="9"/>
      <c r="P240" s="1"/>
      <c r="Q240" s="1"/>
      <c r="R240" s="1"/>
      <c r="S240" s="1"/>
      <c r="T240" s="1"/>
      <c r="U240" s="1"/>
      <c r="V240" s="9"/>
      <c r="W240" s="3"/>
      <c r="X240" s="4"/>
      <c r="Y240" s="1"/>
      <c r="Z240" s="1"/>
      <c r="AA240" s="1"/>
      <c r="AB240" s="1"/>
      <c r="AC240" s="1"/>
      <c r="AD240" s="3"/>
      <c r="AE240" s="3"/>
      <c r="AF240" s="5"/>
      <c r="AG240" s="5"/>
      <c r="AH240" s="5"/>
      <c r="AI240" s="5"/>
      <c r="AJ240" s="6"/>
      <c r="AK240" s="6"/>
      <c r="AL240" s="12"/>
      <c r="AM240" s="12"/>
      <c r="AN240" s="12"/>
      <c r="AO240" s="12"/>
      <c r="AP240" s="12"/>
    </row>
    <row r="241" spans="1:42" ht="15" x14ac:dyDescent="0.25">
      <c r="A241" s="82" t="str">
        <f>TDCTRIBE!I250</f>
        <v>Eastern/Woodlands</v>
      </c>
      <c r="B241" s="82" t="str">
        <f>TDCTRIBE!B250</f>
        <v>AL</v>
      </c>
      <c r="C241" s="82" t="str">
        <f>TDCTRIBE!F250</f>
        <v>Poarch Band of Creek Indians</v>
      </c>
      <c r="D241" s="83">
        <f>TDCTRIBE!Y250</f>
        <v>260708.75221999999</v>
      </c>
      <c r="E241" s="83">
        <f>TDCTRIBE!Z250</f>
        <v>289094.40246399998</v>
      </c>
      <c r="F241" s="83">
        <f>TDCTRIBE!AA250</f>
        <v>334868.88461600005</v>
      </c>
      <c r="G241" s="83">
        <f>TDCTRIBE!AB250</f>
        <v>361724.51179199998</v>
      </c>
      <c r="H241" s="83">
        <f>TDCTRIBE!AC250</f>
        <v>390077.89452799998</v>
      </c>
      <c r="O241" s="9"/>
      <c r="P241" s="1"/>
      <c r="Q241" s="1"/>
      <c r="R241" s="1"/>
      <c r="S241" s="1"/>
      <c r="T241" s="1"/>
      <c r="U241" s="1"/>
      <c r="V241" s="9"/>
      <c r="W241" s="3"/>
      <c r="X241" s="4"/>
      <c r="Y241" s="1"/>
      <c r="Z241" s="1"/>
      <c r="AA241" s="1"/>
      <c r="AB241" s="1"/>
      <c r="AC241" s="1"/>
      <c r="AD241" s="3"/>
      <c r="AE241" s="3"/>
      <c r="AF241" s="5"/>
      <c r="AG241" s="5"/>
      <c r="AH241" s="5"/>
      <c r="AI241" s="5"/>
      <c r="AJ241" s="6"/>
      <c r="AK241" s="6"/>
      <c r="AL241" s="12"/>
      <c r="AM241" s="12"/>
      <c r="AN241" s="12"/>
      <c r="AO241" s="12"/>
      <c r="AP241" s="12"/>
    </row>
    <row r="242" spans="1:42" ht="15" x14ac:dyDescent="0.25">
      <c r="A242" s="82" t="str">
        <f>TDCTRIBE!I251</f>
        <v>Eastern/Woodlands</v>
      </c>
      <c r="B242" s="82" t="str">
        <f>TDCTRIBE!B251</f>
        <v>CT</v>
      </c>
      <c r="C242" s="82" t="str">
        <f>TDCTRIBE!F251</f>
        <v>Mashantucket Pequot Tribe</v>
      </c>
      <c r="D242" s="83">
        <f>TDCTRIBE!Y251</f>
        <v>349980.83967000002</v>
      </c>
      <c r="E242" s="83">
        <f>TDCTRIBE!Z251</f>
        <v>386627.83370399999</v>
      </c>
      <c r="F242" s="83">
        <f>TDCTRIBE!AA251</f>
        <v>446823.27387600008</v>
      </c>
      <c r="G242" s="83">
        <f>TDCTRIBE!AB251</f>
        <v>484012.04506200005</v>
      </c>
      <c r="H242" s="83">
        <f>TDCTRIBE!AC251</f>
        <v>521782.07265800005</v>
      </c>
      <c r="O242" s="9"/>
      <c r="P242" s="1"/>
      <c r="Q242" s="1"/>
      <c r="R242" s="1"/>
      <c r="S242" s="1"/>
      <c r="T242" s="7"/>
      <c r="U242" s="1"/>
      <c r="V242" s="9"/>
      <c r="W242" s="3"/>
      <c r="X242" s="4"/>
      <c r="Y242" s="1"/>
      <c r="Z242" s="1"/>
      <c r="AA242" s="1"/>
      <c r="AB242" s="1"/>
      <c r="AC242" s="1"/>
      <c r="AD242" s="3"/>
      <c r="AE242" s="3"/>
      <c r="AF242" s="5"/>
      <c r="AG242" s="5"/>
      <c r="AH242" s="5"/>
      <c r="AI242" s="5"/>
      <c r="AJ242" s="6"/>
      <c r="AK242" s="6"/>
      <c r="AL242" s="12"/>
      <c r="AM242" s="12"/>
      <c r="AN242" s="12"/>
      <c r="AO242" s="12"/>
      <c r="AP242" s="12"/>
    </row>
    <row r="243" spans="1:42" ht="15" x14ac:dyDescent="0.25">
      <c r="A243" s="82" t="str">
        <f>TDCTRIBE!I252</f>
        <v>Eastern/Woodlands</v>
      </c>
      <c r="B243" s="82" t="str">
        <f>TDCTRIBE!B252</f>
        <v>CT</v>
      </c>
      <c r="C243" s="82" t="str">
        <f>TDCTRIBE!F252</f>
        <v>Mohegan Tribe of Connecticut</v>
      </c>
      <c r="D243" s="83">
        <f>TDCTRIBE!Y252</f>
        <v>349980.83967000002</v>
      </c>
      <c r="E243" s="83">
        <f>TDCTRIBE!Z252</f>
        <v>386627.83370399999</v>
      </c>
      <c r="F243" s="83">
        <f>TDCTRIBE!AA252</f>
        <v>446823.27387600008</v>
      </c>
      <c r="G243" s="83">
        <f>TDCTRIBE!AB252</f>
        <v>484012.04506200005</v>
      </c>
      <c r="H243" s="83">
        <f>TDCTRIBE!AC252</f>
        <v>521782.07265800005</v>
      </c>
      <c r="O243" s="9"/>
      <c r="P243" s="1"/>
      <c r="Q243" s="1"/>
      <c r="R243" s="1"/>
      <c r="S243" s="7"/>
      <c r="T243" s="1"/>
      <c r="U243" s="1"/>
      <c r="V243" s="9"/>
      <c r="W243" s="3"/>
      <c r="X243" s="4"/>
      <c r="Y243" s="1"/>
      <c r="Z243" s="1"/>
      <c r="AA243" s="1"/>
      <c r="AB243" s="1"/>
      <c r="AC243" s="1"/>
      <c r="AD243" s="3"/>
      <c r="AE243" s="3"/>
      <c r="AF243" s="5"/>
      <c r="AG243" s="5"/>
      <c r="AH243" s="5"/>
      <c r="AI243" s="5"/>
      <c r="AJ243" s="6"/>
      <c r="AK243" s="6"/>
      <c r="AL243" s="12"/>
      <c r="AM243" s="12"/>
      <c r="AN243" s="12"/>
      <c r="AO243" s="12"/>
      <c r="AP243" s="12"/>
    </row>
    <row r="244" spans="1:42" ht="15" x14ac:dyDescent="0.25">
      <c r="A244" s="82" t="str">
        <f>TDCTRIBE!I253</f>
        <v>Eastern/Woodlands</v>
      </c>
      <c r="B244" s="82" t="str">
        <f>TDCTRIBE!B253</f>
        <v>FL</v>
      </c>
      <c r="C244" s="82" t="str">
        <f>TDCTRIBE!F253</f>
        <v>Miccosukee Tribe (Miami Dade)</v>
      </c>
      <c r="D244" s="83">
        <f>TDCTRIBE!Y253</f>
        <v>266283.77989499999</v>
      </c>
      <c r="E244" s="83">
        <f>TDCTRIBE!Z253</f>
        <v>295403.93334899994</v>
      </c>
      <c r="F244" s="83">
        <f>TDCTRIBE!AA253</f>
        <v>342607.43673100008</v>
      </c>
      <c r="G244" s="83">
        <f>TDCTRIBE!AB253</f>
        <v>370202.59217199998</v>
      </c>
      <c r="H244" s="83">
        <f>TDCTRIBE!AC253</f>
        <v>399234.003448</v>
      </c>
      <c r="O244" s="9"/>
      <c r="P244" s="1"/>
      <c r="Q244" s="1"/>
      <c r="R244" s="1"/>
      <c r="S244" s="7"/>
      <c r="T244" s="1"/>
      <c r="U244" s="1"/>
      <c r="V244" s="9"/>
      <c r="W244" s="3"/>
      <c r="X244" s="4"/>
      <c r="Y244" s="1"/>
      <c r="Z244" s="1"/>
      <c r="AA244" s="1"/>
      <c r="AB244" s="1"/>
      <c r="AC244" s="1"/>
      <c r="AD244" s="3"/>
      <c r="AE244" s="3"/>
      <c r="AF244" s="5"/>
      <c r="AG244" s="5"/>
      <c r="AH244" s="5"/>
      <c r="AI244" s="5"/>
      <c r="AJ244" s="6"/>
      <c r="AK244" s="6"/>
      <c r="AL244" s="12"/>
      <c r="AM244" s="12"/>
      <c r="AN244" s="12"/>
      <c r="AO244" s="12"/>
      <c r="AP244" s="12"/>
    </row>
    <row r="245" spans="1:42" ht="15" x14ac:dyDescent="0.25">
      <c r="A245" s="82" t="str">
        <f>TDCTRIBE!I254</f>
        <v>Eastern/Woodlands</v>
      </c>
      <c r="B245" s="82" t="str">
        <f>TDCTRIBE!B254</f>
        <v>FL</v>
      </c>
      <c r="C245" s="82" t="str">
        <f>TDCTRIBE!F254</f>
        <v>Seminole Tribe - Hollywood (Broward Co.)</v>
      </c>
      <c r="D245" s="83">
        <f>TDCTRIBE!Y254</f>
        <v>269288.76442999998</v>
      </c>
      <c r="E245" s="83">
        <f>TDCTRIBE!Z254</f>
        <v>298733.55706599995</v>
      </c>
      <c r="F245" s="83">
        <f>TDCTRIBE!AA254</f>
        <v>346455.69925400009</v>
      </c>
      <c r="G245" s="83">
        <f>TDCTRIBE!AB254</f>
        <v>374357.10664799996</v>
      </c>
      <c r="H245" s="83">
        <f>TDCTRIBE!AC254</f>
        <v>403713.89643199998</v>
      </c>
      <c r="O245" s="9"/>
      <c r="P245" s="1"/>
      <c r="Q245" s="1"/>
      <c r="R245" s="1"/>
      <c r="S245" s="1"/>
      <c r="T245" s="1"/>
      <c r="U245" s="1"/>
      <c r="V245" s="9"/>
      <c r="W245" s="3"/>
      <c r="X245" s="4"/>
      <c r="Y245" s="1"/>
      <c r="Z245" s="1"/>
      <c r="AA245" s="1"/>
      <c r="AB245" s="1"/>
      <c r="AC245" s="1"/>
      <c r="AD245" s="3"/>
      <c r="AE245" s="3"/>
      <c r="AF245" s="5"/>
      <c r="AG245" s="5"/>
      <c r="AH245" s="5"/>
      <c r="AI245" s="5"/>
      <c r="AJ245" s="6"/>
      <c r="AK245" s="6"/>
      <c r="AL245" s="12"/>
      <c r="AM245" s="12"/>
      <c r="AN245" s="12"/>
      <c r="AO245" s="12"/>
      <c r="AP245" s="12"/>
    </row>
    <row r="246" spans="1:42" ht="15" x14ac:dyDescent="0.25">
      <c r="A246" s="82" t="str">
        <f>TDCTRIBE!I255</f>
        <v>Eastern/Woodlands</v>
      </c>
      <c r="B246" s="82" t="str">
        <f>TDCTRIBE!B255</f>
        <v>FL</v>
      </c>
      <c r="C246" s="82" t="str">
        <f>TDCTRIBE!F255</f>
        <v>Seminole Tribe - Tampa (Hillsborough Co.)</v>
      </c>
      <c r="D246" s="83">
        <f>TDCTRIBE!Y255</f>
        <v>267713.78193</v>
      </c>
      <c r="E246" s="83">
        <f>TDCTRIBE!Z255</f>
        <v>297010.45911599998</v>
      </c>
      <c r="F246" s="83">
        <f>TDCTRIBE!AA255</f>
        <v>344538.5725040001</v>
      </c>
      <c r="G246" s="83">
        <f>TDCTRIBE!AB255</f>
        <v>372308.02464800002</v>
      </c>
      <c r="H246" s="83">
        <f>TDCTRIBE!AC255</f>
        <v>401506.67043200001</v>
      </c>
      <c r="O246" s="9"/>
      <c r="P246" s="1"/>
      <c r="Q246" s="1"/>
      <c r="R246" s="1"/>
      <c r="S246" s="1"/>
      <c r="T246" s="1"/>
      <c r="U246" s="1"/>
      <c r="V246" s="9"/>
      <c r="W246" s="3"/>
      <c r="X246" s="4"/>
      <c r="Y246" s="1"/>
      <c r="Z246" s="1"/>
      <c r="AA246" s="1"/>
      <c r="AB246" s="1"/>
      <c r="AC246" s="1"/>
      <c r="AD246" s="3"/>
      <c r="AE246" s="3"/>
      <c r="AF246" s="5"/>
      <c r="AG246" s="5"/>
      <c r="AH246" s="5"/>
      <c r="AI246" s="5"/>
      <c r="AJ246" s="6"/>
      <c r="AK246" s="6"/>
      <c r="AL246" s="12"/>
      <c r="AM246" s="12"/>
      <c r="AN246" s="12"/>
      <c r="AO246" s="12"/>
      <c r="AP246" s="12"/>
    </row>
    <row r="247" spans="1:42" ht="15" x14ac:dyDescent="0.25">
      <c r="A247" s="82" t="str">
        <f>TDCTRIBE!I256</f>
        <v>Eastern/Woodlands</v>
      </c>
      <c r="B247" s="82" t="str">
        <f>TDCTRIBE!B256</f>
        <v>FL</v>
      </c>
      <c r="C247" s="82" t="str">
        <f>TDCTRIBE!F256</f>
        <v>Brighton Reservation (Glades Co.)</v>
      </c>
      <c r="D247" s="83">
        <f>TDCTRIBE!Y256</f>
        <v>260418.79128999996</v>
      </c>
      <c r="E247" s="83">
        <f>TDCTRIBE!Z256</f>
        <v>288861.25809800002</v>
      </c>
      <c r="F247" s="83">
        <f>TDCTRIBE!AA256</f>
        <v>334896.90266200004</v>
      </c>
      <c r="G247" s="83">
        <f>TDCTRIBE!AB256</f>
        <v>361837.21274400002</v>
      </c>
      <c r="H247" s="83">
        <f>TDCTRIBE!AC256</f>
        <v>390208.77649600001</v>
      </c>
      <c r="O247" s="9"/>
      <c r="P247" s="1"/>
      <c r="Q247" s="1"/>
      <c r="R247" s="1"/>
      <c r="S247" s="1"/>
      <c r="T247" s="1"/>
      <c r="U247" s="1"/>
      <c r="V247" s="9"/>
      <c r="W247" s="3"/>
      <c r="X247" s="4"/>
      <c r="Y247" s="1"/>
      <c r="Z247" s="1"/>
      <c r="AA247" s="1"/>
      <c r="AB247" s="1"/>
      <c r="AC247" s="1"/>
      <c r="AD247" s="3"/>
      <c r="AE247" s="3"/>
      <c r="AF247" s="5"/>
      <c r="AG247" s="5"/>
      <c r="AH247" s="5"/>
      <c r="AI247" s="5"/>
      <c r="AJ247" s="6"/>
      <c r="AK247" s="6"/>
      <c r="AL247" s="12"/>
      <c r="AM247" s="12"/>
      <c r="AN247" s="12"/>
      <c r="AO247" s="12"/>
      <c r="AP247" s="12"/>
    </row>
    <row r="248" spans="1:42" ht="15" x14ac:dyDescent="0.25">
      <c r="A248" s="82" t="str">
        <f>TDCTRIBE!I257</f>
        <v>Eastern/Woodlands</v>
      </c>
      <c r="B248" s="82" t="str">
        <f>TDCTRIBE!B257</f>
        <v>FL</v>
      </c>
      <c r="C248" s="82" t="str">
        <f>TDCTRIBE!F257</f>
        <v>Immokalee Reservation (Collier Co.)</v>
      </c>
      <c r="D248" s="83">
        <f>TDCTRIBE!Y257</f>
        <v>260418.79128999996</v>
      </c>
      <c r="E248" s="83">
        <f>TDCTRIBE!Z257</f>
        <v>288861.25809800002</v>
      </c>
      <c r="F248" s="83">
        <f>TDCTRIBE!AA257</f>
        <v>334896.90266200004</v>
      </c>
      <c r="G248" s="83">
        <f>TDCTRIBE!AB257</f>
        <v>361837.21274400002</v>
      </c>
      <c r="H248" s="83">
        <f>TDCTRIBE!AC257</f>
        <v>390208.77649600001</v>
      </c>
      <c r="O248" s="9"/>
      <c r="P248" s="1"/>
      <c r="Q248" s="1"/>
      <c r="R248" s="1"/>
      <c r="S248" s="1"/>
      <c r="T248" s="1"/>
      <c r="U248" s="1"/>
      <c r="V248" s="9"/>
      <c r="W248" s="3"/>
      <c r="X248" s="4"/>
      <c r="Y248" s="1"/>
      <c r="Z248" s="1"/>
      <c r="AA248" s="1"/>
      <c r="AB248" s="1"/>
      <c r="AC248" s="1"/>
      <c r="AD248" s="3"/>
      <c r="AE248" s="3"/>
      <c r="AF248" s="5"/>
      <c r="AG248" s="5"/>
      <c r="AH248" s="5"/>
      <c r="AI248" s="5"/>
      <c r="AJ248" s="6"/>
      <c r="AK248" s="6"/>
      <c r="AL248" s="12"/>
      <c r="AM248" s="12"/>
      <c r="AN248" s="12"/>
      <c r="AO248" s="12"/>
      <c r="AP248" s="12"/>
    </row>
    <row r="249" spans="1:42" ht="15" x14ac:dyDescent="0.25">
      <c r="A249" s="82" t="str">
        <f>TDCTRIBE!I258</f>
        <v>Eastern/Woodlands</v>
      </c>
      <c r="B249" s="82" t="str">
        <f>TDCTRIBE!B258</f>
        <v>FL</v>
      </c>
      <c r="C249" s="82" t="str">
        <f>TDCTRIBE!F258</f>
        <v>Big Cypress Reservation (Broward/Hendry/PB Co.)</v>
      </c>
      <c r="D249" s="83">
        <f>TDCTRIBE!Y258</f>
        <v>269288.76442999998</v>
      </c>
      <c r="E249" s="83">
        <f>TDCTRIBE!Z258</f>
        <v>298733.55706599995</v>
      </c>
      <c r="F249" s="83">
        <f>TDCTRIBE!AA258</f>
        <v>346455.69925400009</v>
      </c>
      <c r="G249" s="83">
        <f>TDCTRIBE!AB258</f>
        <v>374357.10664799996</v>
      </c>
      <c r="H249" s="83">
        <f>TDCTRIBE!AC258</f>
        <v>403713.89643199998</v>
      </c>
      <c r="O249" s="9"/>
      <c r="P249" s="1"/>
      <c r="Q249" s="1"/>
      <c r="R249" s="1"/>
      <c r="S249" s="1"/>
      <c r="T249" s="1"/>
      <c r="U249" s="1"/>
      <c r="V249" s="9"/>
      <c r="W249" s="3"/>
      <c r="X249" s="4"/>
      <c r="Y249" s="1"/>
      <c r="Z249" s="1"/>
      <c r="AA249" s="1"/>
      <c r="AB249" s="1"/>
      <c r="AC249" s="1"/>
      <c r="AD249" s="3"/>
      <c r="AE249" s="3"/>
      <c r="AF249" s="5"/>
      <c r="AG249" s="5"/>
      <c r="AH249" s="5"/>
      <c r="AI249" s="5"/>
      <c r="AJ249" s="6"/>
      <c r="AK249" s="6"/>
      <c r="AL249" s="12"/>
      <c r="AM249" s="12"/>
      <c r="AN249" s="12"/>
      <c r="AO249" s="12"/>
      <c r="AP249" s="12"/>
    </row>
    <row r="250" spans="1:42" ht="15" x14ac:dyDescent="0.25">
      <c r="A250" s="82" t="str">
        <f>TDCTRIBE!I259</f>
        <v>Eastern/Woodlands</v>
      </c>
      <c r="B250" s="82" t="str">
        <f>TDCTRIBE!B259</f>
        <v>FL</v>
      </c>
      <c r="C250" s="82" t="str">
        <f>TDCTRIBE!F259</f>
        <v>Fort Pierce (St. Lucie Co.)</v>
      </c>
      <c r="D250" s="83">
        <f>TDCTRIBE!Y259</f>
        <v>270718.76646499999</v>
      </c>
      <c r="E250" s="83">
        <f>TDCTRIBE!Z259</f>
        <v>300340.08283299999</v>
      </c>
      <c r="F250" s="83">
        <f>TDCTRIBE!AA259</f>
        <v>348386.83502699999</v>
      </c>
      <c r="G250" s="83">
        <f>TDCTRIBE!AB259</f>
        <v>376462.53912399994</v>
      </c>
      <c r="H250" s="83">
        <f>TDCTRIBE!AC259</f>
        <v>405986.56341599999</v>
      </c>
      <c r="O250" s="9"/>
      <c r="P250" s="1"/>
      <c r="Q250" s="1"/>
      <c r="R250" s="1"/>
      <c r="S250" s="1"/>
      <c r="T250" s="1"/>
      <c r="U250" s="1"/>
      <c r="V250" s="9"/>
      <c r="W250" s="3"/>
      <c r="X250" s="4"/>
      <c r="Y250" s="1"/>
      <c r="Z250" s="1"/>
      <c r="AA250" s="1"/>
      <c r="AB250" s="1"/>
      <c r="AC250" s="1"/>
      <c r="AD250" s="3"/>
      <c r="AE250" s="3"/>
      <c r="AF250" s="5"/>
      <c r="AG250" s="5"/>
      <c r="AH250" s="5"/>
      <c r="AI250" s="5"/>
      <c r="AJ250" s="6"/>
      <c r="AK250" s="6"/>
      <c r="AL250" s="12"/>
      <c r="AM250" s="12"/>
      <c r="AN250" s="12"/>
      <c r="AO250" s="12"/>
      <c r="AP250" s="12"/>
    </row>
    <row r="251" spans="1:42" ht="15" x14ac:dyDescent="0.25">
      <c r="A251" s="82" t="str">
        <f>TDCTRIBE!I260</f>
        <v>Eastern/Woodlands</v>
      </c>
      <c r="B251" s="82" t="str">
        <f>TDCTRIBE!B260</f>
        <v>IA</v>
      </c>
      <c r="C251" s="82" t="str">
        <f>TDCTRIBE!F260</f>
        <v>Sac &amp; Fox Tribe</v>
      </c>
      <c r="D251" s="83">
        <f>TDCTRIBE!Y260</f>
        <v>302435.02789500001</v>
      </c>
      <c r="E251" s="83">
        <f>TDCTRIBE!Z260</f>
        <v>334113.76569899998</v>
      </c>
      <c r="F251" s="83">
        <f>TDCTRIBE!AA260</f>
        <v>374787.74185650004</v>
      </c>
      <c r="G251" s="83">
        <f>TDCTRIBE!AB260</f>
        <v>405872.391603</v>
      </c>
      <c r="H251" s="83">
        <f>TDCTRIBE!AC260</f>
        <v>437525.74432699999</v>
      </c>
      <c r="O251" s="9"/>
      <c r="P251" s="1"/>
      <c r="Q251" s="1"/>
      <c r="R251" s="1"/>
      <c r="S251" s="1"/>
      <c r="T251" s="1"/>
      <c r="U251" s="1"/>
      <c r="V251" s="9"/>
      <c r="W251" s="3"/>
      <c r="X251" s="4"/>
      <c r="Y251" s="1"/>
      <c r="Z251" s="1"/>
      <c r="AA251" s="1"/>
      <c r="AB251" s="1"/>
      <c r="AC251" s="1"/>
      <c r="AD251" s="3"/>
      <c r="AE251" s="3"/>
      <c r="AF251" s="5"/>
      <c r="AG251" s="5"/>
      <c r="AH251" s="5"/>
      <c r="AI251" s="5"/>
      <c r="AJ251" s="6"/>
      <c r="AK251" s="6"/>
      <c r="AL251" s="12"/>
      <c r="AM251" s="12"/>
      <c r="AN251" s="12"/>
      <c r="AO251" s="12"/>
      <c r="AP251" s="12"/>
    </row>
    <row r="252" spans="1:42" ht="15" x14ac:dyDescent="0.25">
      <c r="A252" s="82" t="str">
        <f>TDCTRIBE!I261</f>
        <v>Eastern/Woodlands</v>
      </c>
      <c r="B252" s="82" t="str">
        <f>TDCTRIBE!B261</f>
        <v>IN</v>
      </c>
      <c r="C252" s="82" t="str">
        <f>TDCTRIBE!F261</f>
        <v>Pokagon Band of Potawatomi</v>
      </c>
      <c r="D252" s="83">
        <f>TDCTRIBE!Y261</f>
        <v>354862.64352000004</v>
      </c>
      <c r="E252" s="83">
        <f>TDCTRIBE!Z261</f>
        <v>392425.43957400002</v>
      </c>
      <c r="F252" s="83">
        <f>TDCTRIBE!AA261</f>
        <v>440466.64036900009</v>
      </c>
      <c r="G252" s="83">
        <f>TDCTRIBE!AB261</f>
        <v>477314.27312799997</v>
      </c>
      <c r="H252" s="83">
        <f>TDCTRIBE!AC261</f>
        <v>514594.53805200005</v>
      </c>
      <c r="O252" s="9"/>
      <c r="P252" s="1"/>
      <c r="Q252" s="1"/>
      <c r="R252" s="1"/>
      <c r="S252" s="1"/>
      <c r="T252" s="1"/>
      <c r="U252" s="1"/>
      <c r="V252" s="9"/>
      <c r="W252" s="3"/>
      <c r="X252" s="4"/>
      <c r="Y252" s="1"/>
      <c r="Z252" s="1"/>
      <c r="AA252" s="1"/>
      <c r="AB252" s="1"/>
      <c r="AC252" s="1"/>
      <c r="AD252" s="3"/>
      <c r="AE252" s="3"/>
      <c r="AF252" s="5"/>
      <c r="AG252" s="5"/>
      <c r="AH252" s="5"/>
      <c r="AI252" s="5"/>
      <c r="AJ252" s="6"/>
      <c r="AK252" s="6"/>
      <c r="AL252" s="12"/>
      <c r="AM252" s="12"/>
      <c r="AN252" s="12"/>
      <c r="AO252" s="12"/>
      <c r="AP252" s="12"/>
    </row>
    <row r="253" spans="1:42" ht="15" x14ac:dyDescent="0.25">
      <c r="A253" s="82" t="str">
        <f>TDCTRIBE!I262</f>
        <v>Eastern/Woodlands</v>
      </c>
      <c r="B253" s="82" t="str">
        <f>TDCTRIBE!B262</f>
        <v>MA</v>
      </c>
      <c r="C253" s="82" t="str">
        <f>TDCTRIBE!F262</f>
        <v>Wampanoag Tribe - Aquinnah</v>
      </c>
      <c r="D253" s="83">
        <f>TDCTRIBE!Y262</f>
        <v>450090.92060625</v>
      </c>
      <c r="E253" s="83">
        <f>TDCTRIBE!Z262</f>
        <v>497566.47588374995</v>
      </c>
      <c r="F253" s="83">
        <f>TDCTRIBE!AA262</f>
        <v>576105.28374437499</v>
      </c>
      <c r="G253" s="83">
        <f>TDCTRIBE!AB262</f>
        <v>624340.77871375007</v>
      </c>
      <c r="H253" s="83">
        <f>TDCTRIBE!AC262</f>
        <v>673111.59192375001</v>
      </c>
      <c r="O253" s="9"/>
      <c r="P253" s="1"/>
      <c r="Q253" s="1"/>
      <c r="R253" s="1"/>
      <c r="S253" s="7"/>
      <c r="T253" s="1"/>
      <c r="U253" s="1"/>
      <c r="V253" s="9"/>
      <c r="W253" s="3"/>
      <c r="X253" s="4"/>
      <c r="Y253" s="1"/>
      <c r="Z253" s="1"/>
      <c r="AA253" s="1"/>
      <c r="AB253" s="1"/>
      <c r="AC253" s="7"/>
      <c r="AD253" s="3"/>
      <c r="AE253" s="3"/>
      <c r="AF253" s="5"/>
      <c r="AG253" s="5"/>
      <c r="AH253" s="5"/>
      <c r="AI253" s="5"/>
      <c r="AJ253" s="6"/>
      <c r="AK253" s="6"/>
      <c r="AL253" s="12"/>
      <c r="AM253" s="12"/>
      <c r="AN253" s="12"/>
      <c r="AO253" s="12"/>
      <c r="AP253" s="12"/>
    </row>
    <row r="254" spans="1:42" ht="15" x14ac:dyDescent="0.25">
      <c r="A254" s="82" t="str">
        <f>TDCTRIBE!I263</f>
        <v>Eastern/Woodlands</v>
      </c>
      <c r="B254" s="82" t="str">
        <f>TDCTRIBE!B263</f>
        <v>MA</v>
      </c>
      <c r="C254" s="82" t="str">
        <f>TDCTRIBE!F263</f>
        <v>Wampanoag Tribe - Mashpee</v>
      </c>
      <c r="D254" s="83">
        <f>TDCTRIBE!Y263</f>
        <v>358761.18316499999</v>
      </c>
      <c r="E254" s="83">
        <f>TDCTRIBE!Z263</f>
        <v>396528.51237299998</v>
      </c>
      <c r="F254" s="83">
        <f>TDCTRIBE!AA263</f>
        <v>458887.54802450002</v>
      </c>
      <c r="G254" s="83">
        <f>TDCTRIBE!AB263</f>
        <v>497246.95451900002</v>
      </c>
      <c r="H254" s="83">
        <f>TDCTRIBE!AC263</f>
        <v>536078.92837099999</v>
      </c>
      <c r="O254" s="9"/>
      <c r="P254" s="1"/>
      <c r="Q254" s="1"/>
      <c r="R254" s="1"/>
      <c r="S254" s="7"/>
      <c r="T254" s="1"/>
      <c r="U254" s="1"/>
      <c r="V254" s="9"/>
      <c r="W254" s="3"/>
      <c r="X254" s="4"/>
      <c r="Y254" s="1"/>
      <c r="Z254" s="1"/>
      <c r="AA254" s="1"/>
      <c r="AB254" s="1"/>
      <c r="AC254" s="1"/>
      <c r="AD254" s="3"/>
      <c r="AE254" s="3"/>
      <c r="AF254" s="5"/>
      <c r="AG254" s="5"/>
      <c r="AH254" s="5"/>
      <c r="AI254" s="5"/>
      <c r="AJ254" s="6"/>
      <c r="AK254" s="6"/>
      <c r="AL254" s="12"/>
      <c r="AM254" s="12"/>
      <c r="AN254" s="12"/>
      <c r="AO254" s="12"/>
      <c r="AP254" s="12"/>
    </row>
    <row r="255" spans="1:42" ht="15" x14ac:dyDescent="0.25">
      <c r="A255" s="82" t="str">
        <f>TDCTRIBE!I264</f>
        <v>Eastern/Woodlands</v>
      </c>
      <c r="B255" s="82" t="str">
        <f>TDCTRIBE!B264</f>
        <v>ME</v>
      </c>
      <c r="C255" s="82" t="str">
        <f>TDCTRIBE!F264</f>
        <v>Aroostook Band of Micmac</v>
      </c>
      <c r="D255" s="83">
        <f>TDCTRIBE!Y264</f>
        <v>289391.73532500002</v>
      </c>
      <c r="E255" s="83">
        <f>TDCTRIBE!Z264</f>
        <v>319808.94676499994</v>
      </c>
      <c r="F255" s="83">
        <f>TDCTRIBE!AA264</f>
        <v>369955.90917250002</v>
      </c>
      <c r="G255" s="83">
        <f>TDCTRIBE!AB264</f>
        <v>400842.038695</v>
      </c>
      <c r="H255" s="83">
        <f>TDCTRIBE!AC264</f>
        <v>432138.49675499997</v>
      </c>
      <c r="O255" s="9"/>
      <c r="P255" s="1"/>
      <c r="Q255" s="1"/>
      <c r="R255" s="1"/>
      <c r="S255" s="1"/>
      <c r="T255" s="1"/>
      <c r="U255" s="1"/>
      <c r="V255" s="9"/>
      <c r="W255" s="3"/>
      <c r="X255" s="4"/>
      <c r="Y255" s="1"/>
      <c r="Z255" s="1"/>
      <c r="AA255" s="1"/>
      <c r="AB255" s="1"/>
      <c r="AC255" s="1"/>
      <c r="AD255" s="3"/>
      <c r="AE255" s="3"/>
      <c r="AF255" s="5"/>
      <c r="AG255" s="5"/>
      <c r="AH255" s="5"/>
      <c r="AI255" s="5"/>
      <c r="AJ255" s="6"/>
      <c r="AK255" s="6"/>
      <c r="AL255" s="12"/>
      <c r="AM255" s="12"/>
      <c r="AN255" s="12"/>
      <c r="AO255" s="12"/>
      <c r="AP255" s="12"/>
    </row>
    <row r="256" spans="1:42" ht="15" x14ac:dyDescent="0.25">
      <c r="A256" s="82" t="str">
        <f>TDCTRIBE!I265</f>
        <v>Eastern/Woodlands</v>
      </c>
      <c r="B256" s="82" t="str">
        <f>TDCTRIBE!B265</f>
        <v>ME</v>
      </c>
      <c r="C256" s="82" t="str">
        <f>TDCTRIBE!F265</f>
        <v>Houlton Band of Maliseets</v>
      </c>
      <c r="D256" s="83">
        <f>TDCTRIBE!Y265</f>
        <v>289391.73532500002</v>
      </c>
      <c r="E256" s="83">
        <f>TDCTRIBE!Z265</f>
        <v>319808.94676499994</v>
      </c>
      <c r="F256" s="83">
        <f>TDCTRIBE!AA265</f>
        <v>369955.90917250002</v>
      </c>
      <c r="G256" s="83">
        <f>TDCTRIBE!AB265</f>
        <v>400842.038695</v>
      </c>
      <c r="H256" s="83">
        <f>TDCTRIBE!AC265</f>
        <v>432138.49675499997</v>
      </c>
      <c r="O256" s="9"/>
      <c r="P256" s="1"/>
      <c r="Q256" s="1"/>
      <c r="R256" s="1"/>
      <c r="S256" s="1"/>
      <c r="T256" s="1"/>
      <c r="U256" s="1"/>
      <c r="V256" s="9"/>
      <c r="W256" s="3"/>
      <c r="X256" s="4"/>
      <c r="Y256" s="1"/>
      <c r="Z256" s="1"/>
      <c r="AA256" s="1"/>
      <c r="AB256" s="1"/>
      <c r="AC256" s="1"/>
      <c r="AD256" s="3"/>
      <c r="AE256" s="3"/>
      <c r="AF256" s="5"/>
      <c r="AG256" s="5"/>
      <c r="AH256" s="5"/>
      <c r="AI256" s="5"/>
      <c r="AJ256" s="6"/>
      <c r="AK256" s="6"/>
      <c r="AL256" s="12"/>
      <c r="AM256" s="12"/>
      <c r="AN256" s="12"/>
      <c r="AO256" s="12"/>
      <c r="AP256" s="12"/>
    </row>
    <row r="257" spans="1:42" ht="15" x14ac:dyDescent="0.25">
      <c r="A257" s="82" t="str">
        <f>TDCTRIBE!I266</f>
        <v>Eastern/Woodlands</v>
      </c>
      <c r="B257" s="82" t="str">
        <f>TDCTRIBE!B266</f>
        <v>ME</v>
      </c>
      <c r="C257" s="82" t="str">
        <f>TDCTRIBE!F266</f>
        <v>Indian Township Passamaquody</v>
      </c>
      <c r="D257" s="83">
        <f>TDCTRIBE!Y266</f>
        <v>300212.451</v>
      </c>
      <c r="E257" s="83">
        <f>TDCTRIBE!Z266</f>
        <v>331836.42870000005</v>
      </c>
      <c r="F257" s="83">
        <f>TDCTRIBE!AA266</f>
        <v>384084.22255000006</v>
      </c>
      <c r="G257" s="83">
        <f>TDCTRIBE!AB266</f>
        <v>416207.33560000005</v>
      </c>
      <c r="H257" s="83">
        <f>TDCTRIBE!AC266</f>
        <v>448713.52540000004</v>
      </c>
      <c r="O257" s="9"/>
      <c r="P257" s="1"/>
      <c r="Q257" s="1"/>
      <c r="R257" s="1"/>
      <c r="S257" s="7"/>
      <c r="T257" s="1"/>
      <c r="U257" s="1"/>
      <c r="V257" s="9"/>
      <c r="W257" s="3"/>
      <c r="X257" s="4"/>
      <c r="Y257" s="1"/>
      <c r="Z257" s="1"/>
      <c r="AA257" s="1"/>
      <c r="AB257" s="1"/>
      <c r="AC257" s="1"/>
      <c r="AD257" s="3"/>
      <c r="AE257" s="3"/>
      <c r="AF257" s="5"/>
      <c r="AG257" s="5"/>
      <c r="AH257" s="5"/>
      <c r="AI257" s="5"/>
      <c r="AJ257" s="6"/>
      <c r="AK257" s="6"/>
      <c r="AL257" s="12"/>
      <c r="AM257" s="12"/>
      <c r="AN257" s="12"/>
      <c r="AO257" s="12"/>
      <c r="AP257" s="12"/>
    </row>
    <row r="258" spans="1:42" ht="15" x14ac:dyDescent="0.25">
      <c r="A258" s="82" t="str">
        <f>TDCTRIBE!I267</f>
        <v>Eastern/Woodlands</v>
      </c>
      <c r="B258" s="82" t="str">
        <f>TDCTRIBE!B267</f>
        <v>ME</v>
      </c>
      <c r="C258" s="82" t="str">
        <f>TDCTRIBE!F267</f>
        <v>Penobscot Tribe</v>
      </c>
      <c r="D258" s="83">
        <f>TDCTRIBE!Y267</f>
        <v>300212.451</v>
      </c>
      <c r="E258" s="83">
        <f>TDCTRIBE!Z267</f>
        <v>331836.42870000005</v>
      </c>
      <c r="F258" s="83">
        <f>TDCTRIBE!AA267</f>
        <v>384084.22255000006</v>
      </c>
      <c r="G258" s="83">
        <f>TDCTRIBE!AB267</f>
        <v>416207.33560000005</v>
      </c>
      <c r="H258" s="83">
        <f>TDCTRIBE!AC267</f>
        <v>448713.52540000004</v>
      </c>
      <c r="O258" s="9"/>
      <c r="P258" s="1"/>
      <c r="Q258" s="1"/>
      <c r="R258" s="1"/>
      <c r="S258" s="1"/>
      <c r="T258" s="1"/>
      <c r="U258" s="1"/>
      <c r="V258" s="9"/>
      <c r="W258" s="3"/>
      <c r="X258" s="4"/>
      <c r="Y258" s="1"/>
      <c r="Z258" s="1"/>
      <c r="AA258" s="1"/>
      <c r="AB258" s="1"/>
      <c r="AC258" s="1"/>
      <c r="AD258" s="3"/>
      <c r="AE258" s="3"/>
      <c r="AF258" s="5"/>
      <c r="AG258" s="5"/>
      <c r="AH258" s="5"/>
      <c r="AI258" s="5"/>
      <c r="AJ258" s="6"/>
      <c r="AK258" s="6"/>
      <c r="AL258" s="12"/>
      <c r="AM258" s="12"/>
      <c r="AN258" s="12"/>
      <c r="AO258" s="12"/>
      <c r="AP258" s="12"/>
    </row>
    <row r="259" spans="1:42" ht="15" x14ac:dyDescent="0.25">
      <c r="A259" s="82" t="str">
        <f>TDCTRIBE!I268</f>
        <v>Eastern/Woodlands</v>
      </c>
      <c r="B259" s="82" t="str">
        <f>TDCTRIBE!B268</f>
        <v>ME</v>
      </c>
      <c r="C259" s="82" t="str">
        <f>TDCTRIBE!F268</f>
        <v>Pleasant Point Passamaquody</v>
      </c>
      <c r="D259" s="83">
        <f>TDCTRIBE!Y268</f>
        <v>300212.451</v>
      </c>
      <c r="E259" s="83">
        <f>TDCTRIBE!Z268</f>
        <v>331836.42870000005</v>
      </c>
      <c r="F259" s="83">
        <f>TDCTRIBE!AA268</f>
        <v>384084.22255000006</v>
      </c>
      <c r="G259" s="83">
        <f>TDCTRIBE!AB268</f>
        <v>416207.33560000005</v>
      </c>
      <c r="H259" s="83">
        <f>TDCTRIBE!AC268</f>
        <v>448713.52540000004</v>
      </c>
      <c r="O259" s="9"/>
      <c r="P259" s="1"/>
      <c r="Q259" s="1"/>
      <c r="R259" s="1"/>
      <c r="S259" s="7"/>
      <c r="T259" s="1"/>
      <c r="U259" s="1"/>
      <c r="V259" s="9"/>
      <c r="W259" s="3"/>
      <c r="X259" s="4"/>
      <c r="Y259" s="1"/>
      <c r="Z259" s="1"/>
      <c r="AA259" s="1"/>
      <c r="AB259" s="1"/>
      <c r="AC259" s="1"/>
      <c r="AD259" s="3"/>
      <c r="AE259" s="3"/>
      <c r="AF259" s="5"/>
      <c r="AG259" s="5"/>
      <c r="AH259" s="5"/>
      <c r="AI259" s="5"/>
      <c r="AJ259" s="6"/>
      <c r="AK259" s="6"/>
      <c r="AL259" s="12"/>
      <c r="AM259" s="12"/>
      <c r="AN259" s="12"/>
      <c r="AO259" s="12"/>
      <c r="AP259" s="12"/>
    </row>
    <row r="260" spans="1:42" ht="15" x14ac:dyDescent="0.25">
      <c r="A260" s="82" t="str">
        <f>TDCTRIBE!I269</f>
        <v>Eastern/Woodlands</v>
      </c>
      <c r="B260" s="82" t="str">
        <f>TDCTRIBE!B269</f>
        <v>MI</v>
      </c>
      <c r="C260" s="82" t="str">
        <f>TDCTRIBE!F269</f>
        <v>Bay Mills Indian Community</v>
      </c>
      <c r="D260" s="83">
        <f>TDCTRIBE!Y269</f>
        <v>292014.84196499997</v>
      </c>
      <c r="E260" s="83">
        <f>TDCTRIBE!Z269</f>
        <v>322858.28343300003</v>
      </c>
      <c r="F260" s="83">
        <f>TDCTRIBE!AA269</f>
        <v>362337.32238550007</v>
      </c>
      <c r="G260" s="83">
        <f>TDCTRIBE!AB269</f>
        <v>392595.33840100002</v>
      </c>
      <c r="H260" s="83">
        <f>TDCTRIBE!AC269</f>
        <v>423249.30890899996</v>
      </c>
      <c r="O260" s="9"/>
      <c r="P260" s="1"/>
      <c r="Q260" s="1"/>
      <c r="R260" s="1"/>
      <c r="S260" s="1"/>
      <c r="T260" s="1"/>
      <c r="U260" s="1"/>
      <c r="V260" s="9"/>
      <c r="W260" s="3"/>
      <c r="X260" s="4"/>
      <c r="Y260" s="1"/>
      <c r="Z260" s="1"/>
      <c r="AA260" s="1"/>
      <c r="AB260" s="1"/>
      <c r="AC260" s="1"/>
      <c r="AD260" s="3"/>
      <c r="AE260" s="3"/>
      <c r="AF260" s="5"/>
      <c r="AG260" s="5"/>
      <c r="AH260" s="5"/>
      <c r="AI260" s="5"/>
      <c r="AJ260" s="6"/>
      <c r="AK260" s="6"/>
      <c r="AL260" s="12"/>
      <c r="AM260" s="12"/>
      <c r="AN260" s="12"/>
      <c r="AO260" s="12"/>
      <c r="AP260" s="12"/>
    </row>
    <row r="261" spans="1:42" ht="15" x14ac:dyDescent="0.25">
      <c r="A261" s="82" t="str">
        <f>TDCTRIBE!I270</f>
        <v>Eastern/Woodlands</v>
      </c>
      <c r="B261" s="82" t="str">
        <f>TDCTRIBE!B270</f>
        <v>MI</v>
      </c>
      <c r="C261" s="82" t="str">
        <f>TDCTRIBE!F270</f>
        <v>Grand Traverse Band</v>
      </c>
      <c r="D261" s="83">
        <f>TDCTRIBE!Y270</f>
        <v>286804.74900000001</v>
      </c>
      <c r="E261" s="83">
        <f>TDCTRIBE!Z270</f>
        <v>317230.54229999997</v>
      </c>
      <c r="F261" s="83">
        <f>TDCTRIBE!AA270</f>
        <v>356112.11264999997</v>
      </c>
      <c r="G261" s="83">
        <f>TDCTRIBE!AB270</f>
        <v>385956.81179999997</v>
      </c>
      <c r="H261" s="83">
        <f>TDCTRIBE!AC270</f>
        <v>416111.09119999997</v>
      </c>
      <c r="O261" s="9"/>
      <c r="P261" s="1"/>
      <c r="Q261" s="1"/>
      <c r="R261" s="1"/>
      <c r="S261" s="1"/>
      <c r="T261" s="1"/>
      <c r="U261" s="1"/>
      <c r="V261" s="9"/>
      <c r="W261" s="3"/>
      <c r="X261" s="4"/>
      <c r="Y261" s="1"/>
      <c r="Z261" s="1"/>
      <c r="AA261" s="1"/>
      <c r="AB261" s="1"/>
      <c r="AC261" s="1"/>
      <c r="AD261" s="3"/>
      <c r="AE261" s="3"/>
      <c r="AF261" s="5"/>
      <c r="AG261" s="5"/>
      <c r="AH261" s="5"/>
      <c r="AI261" s="5"/>
      <c r="AJ261" s="6"/>
      <c r="AK261" s="6"/>
      <c r="AL261" s="12"/>
      <c r="AM261" s="12"/>
      <c r="AN261" s="12"/>
      <c r="AO261" s="12"/>
      <c r="AP261" s="12"/>
    </row>
    <row r="262" spans="1:42" ht="15" x14ac:dyDescent="0.25">
      <c r="A262" s="82" t="str">
        <f>TDCTRIBE!I271</f>
        <v>Eastern/Woodlands</v>
      </c>
      <c r="B262" s="82" t="str">
        <f>TDCTRIBE!B271</f>
        <v>MI</v>
      </c>
      <c r="C262" s="82" t="str">
        <f>TDCTRIBE!F271</f>
        <v>Hannahville Community</v>
      </c>
      <c r="D262" s="83">
        <f>TDCTRIBE!Y271</f>
        <v>289027.32589500002</v>
      </c>
      <c r="E262" s="83">
        <f>TDCTRIBE!Z271</f>
        <v>319507.87929899996</v>
      </c>
      <c r="F262" s="83">
        <f>TDCTRIBE!AA271</f>
        <v>358544.86905650003</v>
      </c>
      <c r="G262" s="83">
        <f>TDCTRIBE!AB271</f>
        <v>388448.16800300003</v>
      </c>
      <c r="H262" s="83">
        <f>TDCTRIBE!AC271</f>
        <v>418771.67192699999</v>
      </c>
      <c r="O262" s="9"/>
      <c r="P262" s="1"/>
      <c r="Q262" s="1"/>
      <c r="R262" s="1"/>
      <c r="S262" s="1"/>
      <c r="T262" s="1"/>
      <c r="U262" s="1"/>
      <c r="V262" s="9"/>
      <c r="W262" s="3"/>
      <c r="X262" s="4"/>
      <c r="Y262" s="1"/>
      <c r="Z262" s="1"/>
      <c r="AA262" s="1"/>
      <c r="AB262" s="1"/>
      <c r="AC262" s="1"/>
      <c r="AD262" s="3"/>
      <c r="AE262" s="3"/>
      <c r="AF262" s="5"/>
      <c r="AG262" s="5"/>
      <c r="AH262" s="5"/>
      <c r="AI262" s="5"/>
      <c r="AJ262" s="6"/>
      <c r="AK262" s="6"/>
      <c r="AL262" s="12"/>
      <c r="AM262" s="12"/>
      <c r="AN262" s="12"/>
      <c r="AO262" s="12"/>
      <c r="AP262" s="12"/>
    </row>
    <row r="263" spans="1:42" ht="15" x14ac:dyDescent="0.25">
      <c r="A263" s="82" t="str">
        <f>TDCTRIBE!I272</f>
        <v>Eastern/Woodlands</v>
      </c>
      <c r="B263" s="82" t="str">
        <f>TDCTRIBE!B272</f>
        <v>MI</v>
      </c>
      <c r="C263" s="82" t="str">
        <f>TDCTRIBE!F272</f>
        <v>Huron Band of Potawatomi</v>
      </c>
      <c r="D263" s="83">
        <f>TDCTRIBE!Y272</f>
        <v>298354.283535</v>
      </c>
      <c r="E263" s="83">
        <f>TDCTRIBE!Z272</f>
        <v>329860.15916699998</v>
      </c>
      <c r="F263" s="83">
        <f>TDCTRIBE!AA272</f>
        <v>370190.4939145</v>
      </c>
      <c r="G263" s="83">
        <f>TDCTRIBE!AB272</f>
        <v>401098.56469900004</v>
      </c>
      <c r="H263" s="83">
        <f>TDCTRIBE!AC272</f>
        <v>432415.46399100003</v>
      </c>
      <c r="O263" s="9"/>
      <c r="P263" s="1"/>
      <c r="Q263" s="1"/>
      <c r="R263" s="1"/>
      <c r="S263" s="1"/>
      <c r="T263" s="1"/>
      <c r="U263" s="1"/>
      <c r="V263" s="9"/>
      <c r="W263" s="3"/>
      <c r="X263" s="4"/>
      <c r="Y263" s="1"/>
      <c r="Z263" s="1"/>
      <c r="AA263" s="1"/>
      <c r="AB263" s="1"/>
      <c r="AC263" s="1"/>
      <c r="AD263" s="3"/>
      <c r="AE263" s="3"/>
      <c r="AF263" s="5"/>
      <c r="AG263" s="5"/>
      <c r="AH263" s="5"/>
      <c r="AI263" s="5"/>
      <c r="AJ263" s="6"/>
      <c r="AK263" s="6"/>
      <c r="AL263" s="12"/>
      <c r="AM263" s="12"/>
      <c r="AN263" s="12"/>
      <c r="AO263" s="12"/>
      <c r="AP263" s="12"/>
    </row>
    <row r="264" spans="1:42" ht="15" x14ac:dyDescent="0.25">
      <c r="A264" s="82" t="str">
        <f>TDCTRIBE!I273</f>
        <v>Eastern/Woodlands</v>
      </c>
      <c r="B264" s="82" t="str">
        <f>TDCTRIBE!B273</f>
        <v>MI</v>
      </c>
      <c r="C264" s="82" t="str">
        <f>TDCTRIBE!F273</f>
        <v>Keweenaw Bay Indian Community</v>
      </c>
      <c r="D264" s="83">
        <f>TDCTRIBE!Y273</f>
        <v>292014.84196499997</v>
      </c>
      <c r="E264" s="83">
        <f>TDCTRIBE!Z273</f>
        <v>322858.28343300003</v>
      </c>
      <c r="F264" s="83">
        <f>TDCTRIBE!AA273</f>
        <v>362337.32238550007</v>
      </c>
      <c r="G264" s="83">
        <f>TDCTRIBE!AB273</f>
        <v>392595.33840100002</v>
      </c>
      <c r="H264" s="83">
        <f>TDCTRIBE!AC273</f>
        <v>423249.30890899996</v>
      </c>
      <c r="O264" s="9"/>
      <c r="P264" s="1"/>
      <c r="Q264" s="1"/>
      <c r="R264" s="1"/>
      <c r="S264" s="1"/>
      <c r="T264" s="1"/>
      <c r="U264" s="1"/>
      <c r="V264" s="9"/>
      <c r="W264" s="3"/>
      <c r="X264" s="4"/>
      <c r="Y264" s="1"/>
      <c r="Z264" s="7"/>
      <c r="AA264" s="1"/>
      <c r="AB264" s="1"/>
      <c r="AC264" s="1"/>
      <c r="AD264" s="3"/>
      <c r="AE264" s="3"/>
      <c r="AF264" s="5"/>
      <c r="AG264" s="5"/>
      <c r="AH264" s="5"/>
      <c r="AI264" s="5"/>
      <c r="AJ264" s="6"/>
      <c r="AK264" s="6"/>
      <c r="AL264" s="12"/>
      <c r="AM264" s="12"/>
      <c r="AN264" s="12"/>
      <c r="AO264" s="12"/>
      <c r="AP264" s="12"/>
    </row>
    <row r="265" spans="1:42" ht="15" x14ac:dyDescent="0.25">
      <c r="A265" s="82" t="str">
        <f>TDCTRIBE!I274</f>
        <v>Eastern/Woodlands</v>
      </c>
      <c r="B265" s="82" t="str">
        <f>TDCTRIBE!B274</f>
        <v>MI</v>
      </c>
      <c r="C265" s="82" t="str">
        <f>TDCTRIBE!F274</f>
        <v>Lac Vieux Desert Band</v>
      </c>
      <c r="D265" s="83">
        <f>TDCTRIBE!Y274</f>
        <v>292014.84196499997</v>
      </c>
      <c r="E265" s="83">
        <f>TDCTRIBE!Z274</f>
        <v>322858.28343300003</v>
      </c>
      <c r="F265" s="83">
        <f>TDCTRIBE!AA274</f>
        <v>362337.32238550007</v>
      </c>
      <c r="G265" s="83">
        <f>TDCTRIBE!AB274</f>
        <v>392595.33840100002</v>
      </c>
      <c r="H265" s="83">
        <f>TDCTRIBE!AC274</f>
        <v>423249.30890899996</v>
      </c>
      <c r="O265" s="9"/>
      <c r="P265" s="1"/>
      <c r="Q265" s="1"/>
      <c r="R265" s="1"/>
      <c r="S265" s="1"/>
      <c r="T265" s="1"/>
      <c r="U265" s="1"/>
      <c r="V265" s="9"/>
      <c r="W265" s="3"/>
      <c r="X265" s="4"/>
      <c r="Y265" s="1"/>
      <c r="Z265" s="1"/>
      <c r="AA265" s="1"/>
      <c r="AB265" s="1"/>
      <c r="AC265" s="1"/>
      <c r="AD265" s="3"/>
      <c r="AE265" s="3"/>
      <c r="AF265" s="5"/>
      <c r="AG265" s="5"/>
      <c r="AH265" s="5"/>
      <c r="AI265" s="5"/>
      <c r="AJ265" s="6"/>
      <c r="AK265" s="6"/>
      <c r="AL265" s="12"/>
      <c r="AM265" s="12"/>
      <c r="AN265" s="12"/>
      <c r="AO265" s="12"/>
      <c r="AP265" s="12"/>
    </row>
    <row r="266" spans="1:42" ht="15" x14ac:dyDescent="0.25">
      <c r="A266" s="82" t="str">
        <f>TDCTRIBE!I275</f>
        <v>Eastern/Woodlands</v>
      </c>
      <c r="B266" s="82" t="str">
        <f>TDCTRIBE!B275</f>
        <v>MI</v>
      </c>
      <c r="C266" s="82" t="str">
        <f>TDCTRIBE!F275</f>
        <v>Little River Band of Ottawa</v>
      </c>
      <c r="D266" s="83">
        <f>TDCTRIBE!Y275</f>
        <v>286804.74900000001</v>
      </c>
      <c r="E266" s="83">
        <f>TDCTRIBE!Z275</f>
        <v>317230.54229999997</v>
      </c>
      <c r="F266" s="83">
        <f>TDCTRIBE!AA275</f>
        <v>356112.11264999997</v>
      </c>
      <c r="G266" s="83">
        <f>TDCTRIBE!AB275</f>
        <v>385956.81179999997</v>
      </c>
      <c r="H266" s="83">
        <f>TDCTRIBE!AC275</f>
        <v>416111.09119999997</v>
      </c>
      <c r="O266" s="9"/>
      <c r="P266" s="1"/>
      <c r="Q266" s="1"/>
      <c r="R266" s="1"/>
      <c r="S266" s="1"/>
      <c r="T266" s="1"/>
      <c r="U266" s="1"/>
      <c r="V266" s="9"/>
      <c r="W266" s="3"/>
      <c r="X266" s="4"/>
      <c r="Y266" s="7"/>
      <c r="Z266" s="1"/>
      <c r="AA266" s="1"/>
      <c r="AB266" s="1"/>
      <c r="AC266" s="1"/>
      <c r="AD266" s="3"/>
      <c r="AE266" s="3"/>
      <c r="AF266" s="5"/>
      <c r="AG266" s="5"/>
      <c r="AH266" s="5"/>
      <c r="AI266" s="5"/>
      <c r="AJ266" s="6"/>
      <c r="AK266" s="6"/>
      <c r="AL266" s="12"/>
      <c r="AM266" s="12"/>
      <c r="AN266" s="12"/>
      <c r="AO266" s="12"/>
      <c r="AP266" s="12"/>
    </row>
    <row r="267" spans="1:42" ht="15" x14ac:dyDescent="0.25">
      <c r="A267" s="82" t="str">
        <f>TDCTRIBE!I276</f>
        <v>Eastern/Woodlands</v>
      </c>
      <c r="B267" s="82" t="str">
        <f>TDCTRIBE!B276</f>
        <v>MI</v>
      </c>
      <c r="C267" s="82" t="str">
        <f>TDCTRIBE!F276</f>
        <v>Little Traverse Bay Band</v>
      </c>
      <c r="D267" s="83">
        <f>TDCTRIBE!Y276</f>
        <v>293508.60000000003</v>
      </c>
      <c r="E267" s="83">
        <f>TDCTRIBE!Z276</f>
        <v>324533.48550000001</v>
      </c>
      <c r="F267" s="83">
        <f>TDCTRIBE!AA276</f>
        <v>364233.54905000003</v>
      </c>
      <c r="G267" s="83">
        <f>TDCTRIBE!AB276</f>
        <v>394668.92359999998</v>
      </c>
      <c r="H267" s="83">
        <f>TDCTRIBE!AC276</f>
        <v>425488.1274</v>
      </c>
      <c r="O267" s="9"/>
      <c r="P267" s="1"/>
      <c r="Q267" s="1"/>
      <c r="R267" s="1"/>
      <c r="S267" s="1"/>
      <c r="T267" s="1"/>
      <c r="U267" s="1"/>
      <c r="V267" s="9"/>
      <c r="W267" s="3"/>
      <c r="X267" s="4"/>
      <c r="Y267" s="1"/>
      <c r="Z267" s="1"/>
      <c r="AA267" s="1"/>
      <c r="AB267" s="1"/>
      <c r="AC267" s="1"/>
      <c r="AD267" s="3"/>
      <c r="AE267" s="3"/>
      <c r="AF267" s="5"/>
      <c r="AG267" s="5"/>
      <c r="AH267" s="5"/>
      <c r="AI267" s="5"/>
      <c r="AJ267" s="6"/>
      <c r="AK267" s="6"/>
      <c r="AL267" s="12"/>
      <c r="AM267" s="12"/>
      <c r="AN267" s="12"/>
      <c r="AO267" s="12"/>
      <c r="AP267" s="12"/>
    </row>
    <row r="268" spans="1:42" ht="15" x14ac:dyDescent="0.25">
      <c r="A268" s="82" t="str">
        <f>TDCTRIBE!I277</f>
        <v>Eastern/Woodlands</v>
      </c>
      <c r="B268" s="82" t="str">
        <f>TDCTRIBE!B277</f>
        <v>MI</v>
      </c>
      <c r="C268" s="82" t="str">
        <f>TDCTRIBE!F277</f>
        <v>Match-E-Be-NASH-She-Wish Band</v>
      </c>
      <c r="D268" s="83">
        <f>TDCTRIBE!Y277</f>
        <v>296860.52549999999</v>
      </c>
      <c r="E268" s="83">
        <f>TDCTRIBE!Z277</f>
        <v>328184.9571</v>
      </c>
      <c r="F268" s="83">
        <f>TDCTRIBE!AA277</f>
        <v>368294.26725000003</v>
      </c>
      <c r="G268" s="83">
        <f>TDCTRIBE!AB277</f>
        <v>399024.97950000002</v>
      </c>
      <c r="H268" s="83">
        <f>TDCTRIBE!AC277</f>
        <v>430176.64549999998</v>
      </c>
      <c r="O268" s="9"/>
      <c r="P268" s="1"/>
      <c r="Q268" s="1"/>
      <c r="R268" s="1"/>
      <c r="S268" s="1"/>
      <c r="T268" s="1"/>
      <c r="U268" s="1"/>
      <c r="V268" s="9"/>
      <c r="W268" s="3"/>
      <c r="X268" s="4"/>
      <c r="Y268" s="1"/>
      <c r="Z268" s="1"/>
      <c r="AA268" s="1"/>
      <c r="AB268" s="1"/>
      <c r="AC268" s="1"/>
      <c r="AD268" s="3"/>
      <c r="AE268" s="3"/>
      <c r="AF268" s="5"/>
      <c r="AG268" s="5"/>
      <c r="AH268" s="5"/>
      <c r="AI268" s="5"/>
      <c r="AJ268" s="6"/>
      <c r="AK268" s="6"/>
      <c r="AL268" s="12"/>
      <c r="AM268" s="12"/>
      <c r="AN268" s="12"/>
      <c r="AO268" s="12"/>
      <c r="AP268" s="12"/>
    </row>
    <row r="269" spans="1:42" ht="15" x14ac:dyDescent="0.25">
      <c r="A269" s="82" t="str">
        <f>TDCTRIBE!I278</f>
        <v>Eastern/Woodlands</v>
      </c>
      <c r="B269" s="82" t="str">
        <f>TDCTRIBE!B278</f>
        <v>MI</v>
      </c>
      <c r="C269" s="82" t="str">
        <f>TDCTRIBE!F278</f>
        <v>Pokagon Band of Potawatomi</v>
      </c>
      <c r="D269" s="83">
        <f>TDCTRIBE!Y278</f>
        <v>307316.83174499997</v>
      </c>
      <c r="E269" s="83">
        <f>TDCTRIBE!Z278</f>
        <v>339911.37156900001</v>
      </c>
      <c r="F269" s="83">
        <f>TDCTRIBE!AA278</f>
        <v>381567.85390150012</v>
      </c>
      <c r="G269" s="83">
        <f>TDCTRIBE!AB278</f>
        <v>413540.075893</v>
      </c>
      <c r="H269" s="83">
        <f>TDCTRIBE!AC278</f>
        <v>445848.37493700004</v>
      </c>
      <c r="O269" s="9"/>
      <c r="P269" s="1"/>
      <c r="Q269" s="1"/>
      <c r="R269" s="1"/>
      <c r="S269" s="1"/>
      <c r="T269" s="1"/>
      <c r="U269" s="1"/>
      <c r="V269" s="9"/>
      <c r="W269" s="3"/>
      <c r="X269" s="4"/>
      <c r="Y269" s="1"/>
      <c r="Z269" s="1"/>
      <c r="AA269" s="1"/>
      <c r="AB269" s="1"/>
      <c r="AC269" s="1"/>
      <c r="AD269" s="3"/>
      <c r="AE269" s="3"/>
      <c r="AF269" s="5"/>
      <c r="AG269" s="5"/>
      <c r="AH269" s="5"/>
      <c r="AI269" s="5"/>
      <c r="AJ269" s="6"/>
      <c r="AK269" s="6"/>
      <c r="AL269" s="12"/>
      <c r="AM269" s="12"/>
      <c r="AN269" s="12"/>
      <c r="AO269" s="12"/>
      <c r="AP269" s="12"/>
    </row>
    <row r="270" spans="1:42" ht="15" x14ac:dyDescent="0.25">
      <c r="A270" s="82" t="str">
        <f>TDCTRIBE!I279</f>
        <v>Eastern/Woodlands</v>
      </c>
      <c r="B270" s="82" t="str">
        <f>TDCTRIBE!B279</f>
        <v>MI</v>
      </c>
      <c r="C270" s="82" t="str">
        <f>TDCTRIBE!F279</f>
        <v>Saginaw Chippewa</v>
      </c>
      <c r="D270" s="83">
        <f>TDCTRIBE!Y279</f>
        <v>304511.52039000002</v>
      </c>
      <c r="E270" s="83">
        <f>TDCTRIBE!Z279</f>
        <v>336711.50116799999</v>
      </c>
      <c r="F270" s="83">
        <f>TDCTRIBE!AA279</f>
        <v>377909.53300800006</v>
      </c>
      <c r="G270" s="83">
        <f>TDCTRIBE!AB279</f>
        <v>409497.34824600001</v>
      </c>
      <c r="H270" s="83">
        <f>TDCTRIBE!AC279</f>
        <v>441476.17851400003</v>
      </c>
      <c r="O270" s="9"/>
      <c r="P270" s="1"/>
      <c r="Q270" s="1"/>
      <c r="R270" s="1"/>
      <c r="S270" s="1"/>
      <c r="T270" s="1"/>
      <c r="U270" s="1"/>
      <c r="V270" s="9"/>
      <c r="W270" s="3"/>
      <c r="X270" s="4"/>
      <c r="Y270" s="1"/>
      <c r="Z270" s="1"/>
      <c r="AA270" s="1"/>
      <c r="AB270" s="1"/>
      <c r="AC270" s="1"/>
      <c r="AD270" s="3"/>
      <c r="AE270" s="3"/>
      <c r="AF270" s="5"/>
      <c r="AG270" s="5"/>
      <c r="AH270" s="5"/>
      <c r="AI270" s="5"/>
      <c r="AJ270" s="6"/>
      <c r="AK270" s="6"/>
      <c r="AL270" s="12"/>
      <c r="AM270" s="12"/>
      <c r="AN270" s="12"/>
      <c r="AO270" s="12"/>
      <c r="AP270" s="12"/>
    </row>
    <row r="271" spans="1:42" ht="15" x14ac:dyDescent="0.25">
      <c r="A271" s="82" t="str">
        <f>TDCTRIBE!I280</f>
        <v>Eastern/Woodlands</v>
      </c>
      <c r="B271" s="82" t="str">
        <f>TDCTRIBE!B280</f>
        <v>MI</v>
      </c>
      <c r="C271" s="82" t="str">
        <f>TDCTRIBE!F280</f>
        <v>Sault Ste. Marie Tribe</v>
      </c>
      <c r="D271" s="83">
        <f>TDCTRIBE!Y280</f>
        <v>292014.84196499997</v>
      </c>
      <c r="E271" s="83">
        <f>TDCTRIBE!Z280</f>
        <v>322858.28343300003</v>
      </c>
      <c r="F271" s="83">
        <f>TDCTRIBE!AA280</f>
        <v>362337.32238550007</v>
      </c>
      <c r="G271" s="83">
        <f>TDCTRIBE!AB280</f>
        <v>392595.33840100002</v>
      </c>
      <c r="H271" s="83">
        <f>TDCTRIBE!AC280</f>
        <v>423249.30890899996</v>
      </c>
      <c r="O271" s="9"/>
      <c r="P271" s="1"/>
      <c r="Q271" s="1"/>
      <c r="R271" s="1"/>
      <c r="S271" s="7"/>
      <c r="T271" s="1"/>
      <c r="U271" s="1"/>
      <c r="V271" s="9"/>
      <c r="W271" s="3"/>
      <c r="X271" s="4"/>
      <c r="Y271" s="1"/>
      <c r="Z271" s="1"/>
      <c r="AA271" s="1"/>
      <c r="AB271" s="1"/>
      <c r="AC271" s="1"/>
      <c r="AD271" s="3"/>
      <c r="AE271" s="3"/>
      <c r="AF271" s="5"/>
      <c r="AG271" s="5"/>
      <c r="AH271" s="5"/>
      <c r="AI271" s="5"/>
      <c r="AJ271" s="6"/>
      <c r="AK271" s="6"/>
      <c r="AL271" s="12"/>
      <c r="AM271" s="12"/>
      <c r="AN271" s="12"/>
      <c r="AO271" s="12"/>
      <c r="AP271" s="12"/>
    </row>
    <row r="272" spans="1:42" ht="15" x14ac:dyDescent="0.25">
      <c r="A272" s="82" t="str">
        <f>TDCTRIBE!I281</f>
        <v>Eastern/Woodlands</v>
      </c>
      <c r="B272" s="82" t="str">
        <f>TDCTRIBE!B281</f>
        <v>MI</v>
      </c>
      <c r="C272" s="82" t="str">
        <f>TDCTRIBE!F281</f>
        <v>Sault Ste. Marie Tribe - Marquette</v>
      </c>
      <c r="D272" s="83">
        <f>TDCTRIBE!Y281</f>
        <v>292014.84196499997</v>
      </c>
      <c r="E272" s="83">
        <f>TDCTRIBE!Z281</f>
        <v>322858.28343300003</v>
      </c>
      <c r="F272" s="83">
        <f>TDCTRIBE!AA281</f>
        <v>362337.32238550007</v>
      </c>
      <c r="G272" s="83">
        <f>TDCTRIBE!AB281</f>
        <v>392595.33840100002</v>
      </c>
      <c r="H272" s="83">
        <f>TDCTRIBE!AC281</f>
        <v>423249.30890899996</v>
      </c>
      <c r="O272" s="9"/>
      <c r="P272" s="1"/>
      <c r="Q272" s="1"/>
      <c r="R272" s="1"/>
      <c r="S272" s="7"/>
      <c r="T272" s="1"/>
      <c r="U272" s="1"/>
      <c r="V272" s="9"/>
      <c r="W272" s="3"/>
      <c r="X272" s="4"/>
      <c r="Y272" s="1"/>
      <c r="Z272" s="1"/>
      <c r="AA272" s="1"/>
      <c r="AB272" s="1"/>
      <c r="AC272" s="1"/>
      <c r="AD272" s="3"/>
      <c r="AE272" s="3"/>
      <c r="AF272" s="5"/>
      <c r="AG272" s="5"/>
      <c r="AH272" s="5"/>
      <c r="AI272" s="5"/>
      <c r="AJ272" s="6"/>
      <c r="AK272" s="6"/>
      <c r="AL272" s="12"/>
      <c r="AM272" s="12"/>
      <c r="AN272" s="12"/>
      <c r="AO272" s="12"/>
      <c r="AP272" s="12"/>
    </row>
    <row r="273" spans="1:42" ht="15" x14ac:dyDescent="0.25">
      <c r="A273" s="82" t="str">
        <f>TDCTRIBE!I282</f>
        <v>Eastern/Woodlands</v>
      </c>
      <c r="B273" s="82" t="str">
        <f>TDCTRIBE!B282</f>
        <v>MI</v>
      </c>
      <c r="C273" s="82" t="str">
        <f>TDCTRIBE!F282</f>
        <v>Sault Ste. Marie Tribe -Escanaba</v>
      </c>
      <c r="D273" s="83">
        <f>TDCTRIBE!Y282</f>
        <v>289027.32589500002</v>
      </c>
      <c r="E273" s="83">
        <f>TDCTRIBE!Z282</f>
        <v>319507.87929899996</v>
      </c>
      <c r="F273" s="83">
        <f>TDCTRIBE!AA282</f>
        <v>358544.86905650003</v>
      </c>
      <c r="G273" s="83">
        <f>TDCTRIBE!AB282</f>
        <v>388448.16800300003</v>
      </c>
      <c r="H273" s="83">
        <f>TDCTRIBE!AC282</f>
        <v>418771.67192699999</v>
      </c>
      <c r="O273" s="9"/>
      <c r="P273" s="1"/>
      <c r="Q273" s="1"/>
      <c r="R273" s="1"/>
      <c r="S273" s="1"/>
      <c r="T273" s="1"/>
      <c r="U273" s="1"/>
      <c r="V273" s="9"/>
      <c r="W273" s="3"/>
      <c r="X273" s="4"/>
      <c r="Y273" s="1"/>
      <c r="Z273" s="1"/>
      <c r="AA273" s="1"/>
      <c r="AB273" s="1"/>
      <c r="AC273" s="1"/>
      <c r="AD273" s="3"/>
      <c r="AE273" s="3"/>
      <c r="AF273" s="5"/>
      <c r="AG273" s="5"/>
      <c r="AH273" s="5"/>
      <c r="AI273" s="5"/>
      <c r="AJ273" s="6"/>
      <c r="AK273" s="6"/>
      <c r="AL273" s="12"/>
      <c r="AM273" s="12"/>
      <c r="AN273" s="12"/>
      <c r="AO273" s="12"/>
      <c r="AP273" s="12"/>
    </row>
    <row r="274" spans="1:42" ht="15" x14ac:dyDescent="0.25">
      <c r="A274" s="82" t="str">
        <f>TDCTRIBE!I283</f>
        <v>Eastern/Woodlands</v>
      </c>
      <c r="B274" s="82" t="str">
        <f>TDCTRIBE!B283</f>
        <v>MN</v>
      </c>
      <c r="C274" s="82" t="str">
        <f>TDCTRIBE!F283</f>
        <v>Bois Forte Band of Minnesota Chippewa</v>
      </c>
      <c r="D274" s="83">
        <f>TDCTRIBE!Y283</f>
        <v>321271.14789000002</v>
      </c>
      <c r="E274" s="83">
        <f>TDCTRIBE!Z283</f>
        <v>354968.85916799994</v>
      </c>
      <c r="F274" s="83">
        <f>TDCTRIBE!AA283</f>
        <v>398213.12400800007</v>
      </c>
      <c r="G274" s="83">
        <f>TDCTRIBE!AB283</f>
        <v>431277.62774600001</v>
      </c>
      <c r="H274" s="83">
        <f>TDCTRIBE!AC283</f>
        <v>464918.76901400002</v>
      </c>
      <c r="O274" s="9"/>
      <c r="P274" s="1"/>
      <c r="Q274" s="1"/>
      <c r="R274" s="1"/>
      <c r="S274" s="1"/>
      <c r="T274" s="1"/>
      <c r="U274" s="1"/>
      <c r="V274" s="9"/>
      <c r="W274" s="3"/>
      <c r="X274" s="4"/>
      <c r="Y274" s="1"/>
      <c r="Z274" s="1"/>
      <c r="AA274" s="1"/>
      <c r="AB274" s="1"/>
      <c r="AC274" s="1"/>
      <c r="AD274" s="3"/>
      <c r="AE274" s="3"/>
      <c r="AF274" s="5"/>
      <c r="AG274" s="5"/>
      <c r="AH274" s="5"/>
      <c r="AI274" s="5"/>
      <c r="AJ274" s="6"/>
      <c r="AK274" s="6"/>
      <c r="AL274" s="12"/>
      <c r="AM274" s="12"/>
      <c r="AN274" s="12"/>
      <c r="AO274" s="12"/>
      <c r="AP274" s="12"/>
    </row>
    <row r="275" spans="1:42" ht="15" x14ac:dyDescent="0.25">
      <c r="A275" s="82" t="str">
        <f>TDCTRIBE!I284</f>
        <v>Eastern/Woodlands</v>
      </c>
      <c r="B275" s="82" t="str">
        <f>TDCTRIBE!B284</f>
        <v>MN</v>
      </c>
      <c r="C275" s="82" t="str">
        <f>TDCTRIBE!F284</f>
        <v>Fond Du Lac Band of Minn. Chippewa</v>
      </c>
      <c r="D275" s="83">
        <f>TDCTRIBE!Y284</f>
        <v>327246.18002999999</v>
      </c>
      <c r="E275" s="83">
        <f>TDCTRIBE!Z284</f>
        <v>361669.66743600002</v>
      </c>
      <c r="F275" s="83">
        <f>TDCTRIBE!AA284</f>
        <v>405798.03066600004</v>
      </c>
      <c r="G275" s="83">
        <f>TDCTRIBE!AB284</f>
        <v>439571.96854200005</v>
      </c>
      <c r="H275" s="83">
        <f>TDCTRIBE!AC284</f>
        <v>473874.04297800007</v>
      </c>
      <c r="O275" s="9"/>
      <c r="P275" s="1"/>
      <c r="Q275" s="1"/>
      <c r="R275" s="1"/>
      <c r="S275" s="1"/>
      <c r="T275" s="1"/>
      <c r="U275" s="1"/>
      <c r="V275" s="9"/>
      <c r="W275" s="3"/>
      <c r="X275" s="4"/>
      <c r="Y275" s="1"/>
      <c r="Z275" s="1"/>
      <c r="AA275" s="1"/>
      <c r="AB275" s="1"/>
      <c r="AC275" s="1"/>
      <c r="AD275" s="3"/>
      <c r="AE275" s="3"/>
      <c r="AF275" s="5"/>
      <c r="AG275" s="5"/>
      <c r="AH275" s="5"/>
      <c r="AI275" s="5"/>
      <c r="AJ275" s="6"/>
      <c r="AK275" s="6"/>
      <c r="AL275" s="12"/>
      <c r="AM275" s="12"/>
      <c r="AN275" s="12"/>
      <c r="AO275" s="12"/>
      <c r="AP275" s="12"/>
    </row>
    <row r="276" spans="1:42" ht="15" x14ac:dyDescent="0.25">
      <c r="A276" s="82" t="str">
        <f>TDCTRIBE!I285</f>
        <v>Eastern/Woodlands</v>
      </c>
      <c r="B276" s="82" t="str">
        <f>TDCTRIBE!B285</f>
        <v>MN</v>
      </c>
      <c r="C276" s="82" t="str">
        <f>TDCTRIBE!F285</f>
        <v>Grand Portage Band of Minn. Chippewa</v>
      </c>
      <c r="D276" s="83">
        <f>TDCTRIBE!Y285</f>
        <v>327246.18002999999</v>
      </c>
      <c r="E276" s="83">
        <f>TDCTRIBE!Z285</f>
        <v>361669.66743600002</v>
      </c>
      <c r="F276" s="83">
        <f>TDCTRIBE!AA285</f>
        <v>405798.03066600004</v>
      </c>
      <c r="G276" s="83">
        <f>TDCTRIBE!AB285</f>
        <v>439571.96854200005</v>
      </c>
      <c r="H276" s="83">
        <f>TDCTRIBE!AC285</f>
        <v>473874.04297800007</v>
      </c>
      <c r="O276" s="9"/>
      <c r="P276" s="1"/>
      <c r="Q276" s="1"/>
      <c r="R276" s="1"/>
      <c r="S276" s="1"/>
      <c r="T276" s="1"/>
      <c r="U276" s="1"/>
      <c r="V276" s="9"/>
      <c r="W276" s="3"/>
      <c r="X276" s="4"/>
      <c r="Y276" s="1"/>
      <c r="Z276" s="1"/>
      <c r="AA276" s="1"/>
      <c r="AB276" s="1"/>
      <c r="AC276" s="1"/>
      <c r="AD276" s="3"/>
      <c r="AE276" s="3"/>
      <c r="AF276" s="5"/>
      <c r="AG276" s="5"/>
      <c r="AH276" s="5"/>
      <c r="AI276" s="5"/>
      <c r="AJ276" s="6"/>
      <c r="AK276" s="6"/>
      <c r="AL276" s="12"/>
      <c r="AM276" s="12"/>
      <c r="AN276" s="12"/>
      <c r="AO276" s="12"/>
      <c r="AP276" s="12"/>
    </row>
    <row r="277" spans="1:42" ht="15" x14ac:dyDescent="0.25">
      <c r="A277" s="82" t="str">
        <f>TDCTRIBE!I286</f>
        <v>Eastern/Woodlands</v>
      </c>
      <c r="B277" s="82" t="str">
        <f>TDCTRIBE!B286</f>
        <v>MN</v>
      </c>
      <c r="C277" s="82" t="str">
        <f>TDCTRIBE!F286</f>
        <v>Leech Lake Band of Minnesota Chippewa</v>
      </c>
      <c r="D277" s="83">
        <f>TDCTRIBE!Y286</f>
        <v>307863.44589000003</v>
      </c>
      <c r="E277" s="83">
        <f>TDCTRIBE!Z286</f>
        <v>340362.97276799998</v>
      </c>
      <c r="F277" s="83">
        <f>TDCTRIBE!AA286</f>
        <v>381970.251208</v>
      </c>
      <c r="G277" s="83">
        <f>TDCTRIBE!AB286</f>
        <v>413853.40414600004</v>
      </c>
      <c r="H277" s="83">
        <f>TDCTRIBE!AC286</f>
        <v>446164.69661400001</v>
      </c>
      <c r="O277" s="9"/>
      <c r="P277" s="1"/>
      <c r="Q277" s="1"/>
      <c r="R277" s="1"/>
      <c r="S277" s="1"/>
      <c r="T277" s="1"/>
      <c r="U277" s="1"/>
      <c r="V277" s="9"/>
      <c r="W277" s="3"/>
      <c r="X277" s="4"/>
      <c r="Y277" s="1"/>
      <c r="Z277" s="1"/>
      <c r="AA277" s="1"/>
      <c r="AB277" s="1"/>
      <c r="AC277" s="1"/>
      <c r="AD277" s="3"/>
      <c r="AE277" s="3"/>
      <c r="AF277" s="5"/>
      <c r="AG277" s="5"/>
      <c r="AH277" s="5"/>
      <c r="AI277" s="5"/>
      <c r="AJ277" s="6"/>
      <c r="AK277" s="6"/>
      <c r="AL277" s="12"/>
      <c r="AM277" s="12"/>
      <c r="AN277" s="12"/>
      <c r="AO277" s="12"/>
      <c r="AP277" s="12"/>
    </row>
    <row r="278" spans="1:42" ht="15" x14ac:dyDescent="0.25">
      <c r="A278" s="82" t="str">
        <f>TDCTRIBE!I287</f>
        <v>Eastern/Woodlands</v>
      </c>
      <c r="B278" s="82" t="str">
        <f>TDCTRIBE!B287</f>
        <v>MN</v>
      </c>
      <c r="C278" s="82" t="str">
        <f>TDCTRIBE!F287</f>
        <v>Lower Sioux</v>
      </c>
      <c r="D278" s="83">
        <f>TDCTRIBE!Y287</f>
        <v>312891.33413999993</v>
      </c>
      <c r="E278" s="83">
        <f>TDCTRIBE!Z287</f>
        <v>345840.18016799999</v>
      </c>
      <c r="F278" s="83">
        <f>TDCTRIBE!AA287</f>
        <v>388061.32850800006</v>
      </c>
      <c r="G278" s="83">
        <f>TDCTRIBE!AB287</f>
        <v>420387.48799599998</v>
      </c>
      <c r="H278" s="83">
        <f>TDCTRIBE!AC287</f>
        <v>453197.47376400005</v>
      </c>
      <c r="O278" s="9"/>
      <c r="P278" s="1"/>
      <c r="Q278" s="1"/>
      <c r="R278" s="1"/>
      <c r="S278" s="1"/>
      <c r="T278" s="1"/>
      <c r="U278" s="1"/>
      <c r="V278" s="9"/>
      <c r="W278" s="3"/>
      <c r="X278" s="4"/>
      <c r="Y278" s="1"/>
      <c r="Z278" s="1"/>
      <c r="AA278" s="1"/>
      <c r="AB278" s="1"/>
      <c r="AC278" s="1"/>
      <c r="AD278" s="3"/>
      <c r="AE278" s="3"/>
      <c r="AF278" s="5"/>
      <c r="AG278" s="5"/>
      <c r="AH278" s="5"/>
      <c r="AI278" s="5"/>
      <c r="AJ278" s="6"/>
      <c r="AK278" s="6"/>
      <c r="AL278" s="12"/>
      <c r="AM278" s="12"/>
      <c r="AN278" s="12"/>
      <c r="AO278" s="12"/>
      <c r="AP278" s="12"/>
    </row>
    <row r="279" spans="1:42" ht="15" x14ac:dyDescent="0.25">
      <c r="A279" s="82" t="str">
        <f>TDCTRIBE!I288</f>
        <v>Eastern/Woodlands</v>
      </c>
      <c r="B279" s="82" t="str">
        <f>TDCTRIBE!B288</f>
        <v>MN</v>
      </c>
      <c r="C279" s="82" t="str">
        <f>TDCTRIBE!F288</f>
        <v>Mille Lacs Band of Minnesota Chippewa</v>
      </c>
      <c r="D279" s="83">
        <f>TDCTRIBE!Y288</f>
        <v>332274.06828000001</v>
      </c>
      <c r="E279" s="83">
        <f>TDCTRIBE!Z288</f>
        <v>367146.87483599997</v>
      </c>
      <c r="F279" s="83">
        <f>TDCTRIBE!AA288</f>
        <v>411889.1079660001</v>
      </c>
      <c r="G279" s="83">
        <f>TDCTRIBE!AB288</f>
        <v>446106.05239200004</v>
      </c>
      <c r="H279" s="83">
        <f>TDCTRIBE!AC288</f>
        <v>480906.82012799999</v>
      </c>
      <c r="O279" s="9"/>
      <c r="P279" s="1"/>
      <c r="Q279" s="1"/>
      <c r="R279" s="1"/>
      <c r="S279" s="1"/>
      <c r="T279" s="1"/>
      <c r="U279" s="1"/>
      <c r="V279" s="9"/>
      <c r="W279" s="3"/>
      <c r="X279" s="4"/>
      <c r="Y279" s="1"/>
      <c r="Z279" s="1"/>
      <c r="AA279" s="1"/>
      <c r="AB279" s="1"/>
      <c r="AC279" s="1"/>
      <c r="AD279" s="3"/>
      <c r="AE279" s="3"/>
      <c r="AF279" s="5"/>
      <c r="AG279" s="5"/>
      <c r="AH279" s="5"/>
      <c r="AI279" s="5"/>
      <c r="AJ279" s="6"/>
      <c r="AK279" s="6"/>
      <c r="AL279" s="12"/>
      <c r="AM279" s="12"/>
      <c r="AN279" s="12"/>
      <c r="AO279" s="12"/>
      <c r="AP279" s="12"/>
    </row>
    <row r="280" spans="1:42" ht="15" x14ac:dyDescent="0.25">
      <c r="A280" s="82" t="str">
        <f>TDCTRIBE!I289</f>
        <v>Eastern/Woodlands</v>
      </c>
      <c r="B280" s="82" t="str">
        <f>TDCTRIBE!B289</f>
        <v>MN</v>
      </c>
      <c r="C280" s="82" t="str">
        <f>TDCTRIBE!F289</f>
        <v>Prairie Island Sioux</v>
      </c>
      <c r="D280" s="83">
        <f>TDCTRIBE!Y289</f>
        <v>351110.18827499996</v>
      </c>
      <c r="E280" s="83">
        <f>TDCTRIBE!Z289</f>
        <v>388001.96830499999</v>
      </c>
      <c r="F280" s="83">
        <f>TDCTRIBE!AA289</f>
        <v>435314.49011750001</v>
      </c>
      <c r="G280" s="83">
        <f>TDCTRIBE!AB289</f>
        <v>471511.28853499994</v>
      </c>
      <c r="H280" s="83">
        <f>TDCTRIBE!AC289</f>
        <v>508299.84481499996</v>
      </c>
      <c r="O280" s="9"/>
      <c r="P280" s="1"/>
      <c r="Q280" s="1"/>
      <c r="R280" s="1"/>
      <c r="S280" s="1"/>
      <c r="T280" s="1"/>
      <c r="U280" s="1"/>
      <c r="V280" s="9"/>
      <c r="W280" s="3"/>
      <c r="X280" s="4"/>
      <c r="Y280" s="1"/>
      <c r="Z280" s="1"/>
      <c r="AA280" s="1"/>
      <c r="AB280" s="1"/>
      <c r="AC280" s="1"/>
      <c r="AD280" s="3"/>
      <c r="AE280" s="3"/>
      <c r="AF280" s="5"/>
      <c r="AG280" s="5"/>
      <c r="AH280" s="5"/>
      <c r="AI280" s="5"/>
      <c r="AJ280" s="6"/>
      <c r="AK280" s="6"/>
      <c r="AL280" s="12"/>
      <c r="AM280" s="12"/>
      <c r="AN280" s="12"/>
      <c r="AO280" s="12"/>
      <c r="AP280" s="12"/>
    </row>
    <row r="281" spans="1:42" ht="15" x14ac:dyDescent="0.25">
      <c r="A281" s="82" t="str">
        <f>TDCTRIBE!I290</f>
        <v>Eastern/Woodlands</v>
      </c>
      <c r="B281" s="82" t="str">
        <f>TDCTRIBE!B290</f>
        <v>MN</v>
      </c>
      <c r="C281" s="82" t="str">
        <f>TDCTRIBE!F290</f>
        <v>Red Lake Band of Chippewa</v>
      </c>
      <c r="D281" s="83">
        <f>TDCTRIBE!Y290</f>
        <v>307863.44589000003</v>
      </c>
      <c r="E281" s="83">
        <f>TDCTRIBE!Z290</f>
        <v>340362.97276799998</v>
      </c>
      <c r="F281" s="83">
        <f>TDCTRIBE!AA290</f>
        <v>381970.251208</v>
      </c>
      <c r="G281" s="83">
        <f>TDCTRIBE!AB290</f>
        <v>413853.40414600004</v>
      </c>
      <c r="H281" s="83">
        <f>TDCTRIBE!AC290</f>
        <v>446164.69661400001</v>
      </c>
      <c r="O281" s="9"/>
      <c r="P281" s="1"/>
      <c r="Q281" s="1"/>
      <c r="R281" s="1"/>
      <c r="S281" s="1"/>
      <c r="T281" s="1"/>
      <c r="U281" s="1"/>
      <c r="V281" s="9"/>
      <c r="W281" s="3"/>
      <c r="X281" s="4"/>
      <c r="Y281" s="1"/>
      <c r="Z281" s="1"/>
      <c r="AA281" s="1"/>
      <c r="AB281" s="1"/>
      <c r="AC281" s="1"/>
      <c r="AD281" s="3"/>
      <c r="AE281" s="3"/>
      <c r="AF281" s="5"/>
      <c r="AG281" s="5"/>
      <c r="AH281" s="5"/>
      <c r="AI281" s="5"/>
      <c r="AJ281" s="6"/>
      <c r="AK281" s="6"/>
      <c r="AL281" s="12"/>
      <c r="AM281" s="12"/>
      <c r="AN281" s="12"/>
      <c r="AO281" s="12"/>
      <c r="AP281" s="12"/>
    </row>
    <row r="282" spans="1:42" ht="15" x14ac:dyDescent="0.25">
      <c r="A282" s="82" t="str">
        <f>TDCTRIBE!I291</f>
        <v>Eastern/Woodlands</v>
      </c>
      <c r="B282" s="82" t="str">
        <f>TDCTRIBE!B291</f>
        <v>MN</v>
      </c>
      <c r="C282" s="82" t="str">
        <f>TDCTRIBE!F291</f>
        <v>Shakopee Sioux</v>
      </c>
      <c r="D282" s="83">
        <f>TDCTRIBE!Y291</f>
        <v>352786.15102499997</v>
      </c>
      <c r="E282" s="83">
        <f>TDCTRIBE!Z291</f>
        <v>389827.70410499995</v>
      </c>
      <c r="F282" s="83">
        <f>TDCTRIBE!AA291</f>
        <v>437344.84921750001</v>
      </c>
      <c r="G282" s="83">
        <f>TDCTRIBE!AB291</f>
        <v>473689.31648499996</v>
      </c>
      <c r="H282" s="83">
        <f>TDCTRIBE!AC291</f>
        <v>510644.10386500001</v>
      </c>
      <c r="O282" s="9"/>
      <c r="P282" s="1"/>
      <c r="Q282" s="1"/>
      <c r="R282" s="1"/>
      <c r="S282" s="1"/>
      <c r="T282" s="1"/>
      <c r="U282" s="1"/>
      <c r="V282" s="9"/>
      <c r="W282" s="3"/>
      <c r="X282" s="4"/>
      <c r="Y282" s="1"/>
      <c r="Z282" s="1"/>
      <c r="AA282" s="1"/>
      <c r="AB282" s="1"/>
      <c r="AC282" s="1"/>
      <c r="AD282" s="3"/>
      <c r="AE282" s="3"/>
      <c r="AF282" s="5"/>
      <c r="AG282" s="5"/>
      <c r="AH282" s="5"/>
      <c r="AI282" s="5"/>
      <c r="AJ282" s="6"/>
      <c r="AK282" s="6"/>
      <c r="AL282" s="12"/>
      <c r="AM282" s="12"/>
      <c r="AN282" s="12"/>
      <c r="AO282" s="12"/>
      <c r="AP282" s="12"/>
    </row>
    <row r="283" spans="1:42" ht="15" x14ac:dyDescent="0.25">
      <c r="A283" s="82" t="str">
        <f>TDCTRIBE!I292</f>
        <v>Eastern/Woodlands</v>
      </c>
      <c r="B283" s="82" t="str">
        <f>TDCTRIBE!B292</f>
        <v>MN</v>
      </c>
      <c r="C283" s="82" t="str">
        <f>TDCTRIBE!F292</f>
        <v>Upper Sioux Indian Community</v>
      </c>
      <c r="D283" s="83">
        <f>TDCTRIBE!Y292</f>
        <v>340836.08674500004</v>
      </c>
      <c r="E283" s="83">
        <f>TDCTRIBE!Z292</f>
        <v>376426.08756899997</v>
      </c>
      <c r="F283" s="83">
        <f>TDCTRIBE!AA292</f>
        <v>422175.03590150009</v>
      </c>
      <c r="G283" s="83">
        <f>TDCTRIBE!AB292</f>
        <v>457100.63489300007</v>
      </c>
      <c r="H283" s="83">
        <f>TDCTRIBE!AC292</f>
        <v>492733.55593700003</v>
      </c>
      <c r="O283" s="9"/>
      <c r="P283" s="1"/>
      <c r="Q283" s="1"/>
      <c r="R283" s="1"/>
      <c r="S283" s="1"/>
      <c r="T283" s="1"/>
      <c r="U283" s="1"/>
      <c r="V283" s="9"/>
      <c r="W283" s="3"/>
      <c r="X283" s="4"/>
      <c r="Y283" s="1"/>
      <c r="Z283" s="1"/>
      <c r="AA283" s="1"/>
      <c r="AB283" s="1"/>
      <c r="AC283" s="1"/>
      <c r="AD283" s="3"/>
      <c r="AE283" s="3"/>
      <c r="AF283" s="5"/>
      <c r="AG283" s="5"/>
      <c r="AH283" s="5"/>
      <c r="AI283" s="5"/>
      <c r="AJ283" s="6"/>
      <c r="AK283" s="6"/>
      <c r="AL283" s="12"/>
      <c r="AM283" s="12"/>
      <c r="AN283" s="12"/>
      <c r="AO283" s="12"/>
      <c r="AP283" s="12"/>
    </row>
    <row r="284" spans="1:42" ht="15" x14ac:dyDescent="0.25">
      <c r="A284" s="82" t="str">
        <f>TDCTRIBE!I293</f>
        <v>Eastern/Woodlands</v>
      </c>
      <c r="B284" s="82" t="str">
        <f>TDCTRIBE!B293</f>
        <v>MN</v>
      </c>
      <c r="C284" s="82" t="str">
        <f>TDCTRIBE!F293</f>
        <v>White Earth Band of Minnesota Chippewa</v>
      </c>
      <c r="D284" s="83">
        <f>TDCTRIBE!Y293</f>
        <v>301706.20903500001</v>
      </c>
      <c r="E284" s="83">
        <f>TDCTRIBE!Z293</f>
        <v>333511.63076700002</v>
      </c>
      <c r="F284" s="83">
        <f>TDCTRIBE!AA293</f>
        <v>374251.21211450006</v>
      </c>
      <c r="G284" s="83">
        <f>TDCTRIBE!AB293</f>
        <v>405454.62059900002</v>
      </c>
      <c r="H284" s="83">
        <f>TDCTRIBE!AC293</f>
        <v>437103.98209100001</v>
      </c>
      <c r="O284" s="9"/>
      <c r="P284" s="1"/>
      <c r="Q284" s="1"/>
      <c r="R284" s="1"/>
      <c r="S284" s="1"/>
      <c r="T284" s="1"/>
      <c r="U284" s="1"/>
      <c r="V284" s="9"/>
      <c r="W284" s="3"/>
      <c r="X284" s="4"/>
      <c r="Y284" s="1"/>
      <c r="Z284" s="1"/>
      <c r="AA284" s="1"/>
      <c r="AB284" s="1"/>
      <c r="AC284" s="1"/>
      <c r="AD284" s="3"/>
      <c r="AE284" s="3"/>
      <c r="AF284" s="5"/>
      <c r="AG284" s="5"/>
      <c r="AH284" s="5"/>
      <c r="AI284" s="5"/>
      <c r="AJ284" s="6"/>
      <c r="AK284" s="6"/>
      <c r="AL284" s="12"/>
      <c r="AM284" s="12"/>
      <c r="AN284" s="12"/>
      <c r="AO284" s="12"/>
      <c r="AP284" s="12"/>
    </row>
    <row r="285" spans="1:42" ht="15" x14ac:dyDescent="0.25">
      <c r="A285" s="82" t="str">
        <f>TDCTRIBE!I294</f>
        <v>Eastern/Woodlands</v>
      </c>
      <c r="B285" s="82" t="str">
        <f>TDCTRIBE!B294</f>
        <v>MS</v>
      </c>
      <c r="C285" s="82" t="str">
        <f>TDCTRIBE!F294</f>
        <v>Mississippi Choctaw Tribe</v>
      </c>
      <c r="D285" s="83">
        <f>TDCTRIBE!Y294</f>
        <v>251693.79861500001</v>
      </c>
      <c r="E285" s="83">
        <f>TDCTRIBE!Z294</f>
        <v>279105.53131300001</v>
      </c>
      <c r="F285" s="83">
        <f>TDCTRIBE!AA294</f>
        <v>313312.18925300008</v>
      </c>
      <c r="G285" s="83">
        <f>TDCTRIBE!AB294</f>
        <v>338345.42523600004</v>
      </c>
      <c r="H285" s="83">
        <f>TDCTRIBE!AC294</f>
        <v>364855.65082400001</v>
      </c>
      <c r="O285" s="9"/>
      <c r="P285" s="1"/>
      <c r="Q285" s="1"/>
      <c r="R285" s="1"/>
      <c r="S285" s="1"/>
      <c r="T285" s="1"/>
      <c r="U285" s="1"/>
      <c r="V285" s="9"/>
      <c r="W285" s="3"/>
      <c r="X285" s="4"/>
      <c r="Y285" s="1"/>
      <c r="Z285" s="1"/>
      <c r="AA285" s="1"/>
      <c r="AB285" s="1"/>
      <c r="AC285" s="1"/>
      <c r="AD285" s="3"/>
      <c r="AE285" s="3"/>
      <c r="AF285" s="5"/>
      <c r="AG285" s="5"/>
      <c r="AH285" s="5"/>
      <c r="AI285" s="5"/>
      <c r="AJ285" s="6"/>
      <c r="AK285" s="6"/>
      <c r="AL285" s="12"/>
      <c r="AM285" s="12"/>
      <c r="AN285" s="12"/>
      <c r="AO285" s="12"/>
      <c r="AP285" s="12"/>
    </row>
    <row r="286" spans="1:42" ht="15" x14ac:dyDescent="0.25">
      <c r="A286" s="82" t="str">
        <f>TDCTRIBE!I295</f>
        <v>Eastern/Woodlands</v>
      </c>
      <c r="B286" s="82" t="str">
        <f>TDCTRIBE!B295</f>
        <v>NC</v>
      </c>
      <c r="C286" s="82" t="str">
        <f>TDCTRIBE!F295</f>
        <v>Coharie State Tribe</v>
      </c>
      <c r="D286" s="83">
        <f>TDCTRIBE!Y295</f>
        <v>276603.55768500001</v>
      </c>
      <c r="E286" s="83">
        <f>TDCTRIBE!Z295</f>
        <v>306441.95414700004</v>
      </c>
      <c r="F286" s="83">
        <f>TDCTRIBE!AA295</f>
        <v>354026.14309300005</v>
      </c>
      <c r="G286" s="83">
        <f>TDCTRIBE!AB295</f>
        <v>382158.98131600005</v>
      </c>
      <c r="H286" s="83">
        <f>TDCTRIBE!AC295</f>
        <v>412084.713544</v>
      </c>
      <c r="O286" s="9"/>
      <c r="P286" s="1"/>
      <c r="Q286" s="1"/>
      <c r="R286" s="1"/>
      <c r="S286" s="1"/>
      <c r="T286" s="1"/>
      <c r="U286" s="1"/>
      <c r="V286" s="9"/>
      <c r="W286" s="3"/>
      <c r="X286" s="4"/>
      <c r="Y286" s="1"/>
      <c r="Z286" s="1"/>
      <c r="AA286" s="1"/>
      <c r="AB286" s="1"/>
      <c r="AC286" s="1"/>
      <c r="AD286" s="3"/>
      <c r="AE286" s="3"/>
      <c r="AF286" s="5"/>
      <c r="AG286" s="5"/>
      <c r="AH286" s="5"/>
      <c r="AI286" s="5"/>
      <c r="AJ286" s="6"/>
      <c r="AK286" s="6"/>
      <c r="AL286" s="12"/>
      <c r="AM286" s="12"/>
      <c r="AN286" s="12"/>
      <c r="AO286" s="12"/>
      <c r="AP286" s="12"/>
    </row>
    <row r="287" spans="1:42" ht="15" x14ac:dyDescent="0.25">
      <c r="A287" s="82" t="str">
        <f>TDCTRIBE!I296</f>
        <v>Eastern/Woodlands</v>
      </c>
      <c r="B287" s="82" t="str">
        <f>TDCTRIBE!B296</f>
        <v>NC</v>
      </c>
      <c r="C287" s="82" t="str">
        <f>TDCTRIBE!F296</f>
        <v>Eastern Cherokee</v>
      </c>
      <c r="D287" s="83">
        <f>TDCTRIBE!Y296</f>
        <v>279608.54222</v>
      </c>
      <c r="E287" s="83">
        <f>TDCTRIBE!Z296</f>
        <v>309771.57786399999</v>
      </c>
      <c r="F287" s="83">
        <f>TDCTRIBE!AA296</f>
        <v>357874.40561600006</v>
      </c>
      <c r="G287" s="83">
        <f>TDCTRIBE!AB296</f>
        <v>386313.49579200003</v>
      </c>
      <c r="H287" s="83">
        <f>TDCTRIBE!AC296</f>
        <v>416564.60652800003</v>
      </c>
      <c r="O287" s="9"/>
      <c r="P287" s="1"/>
      <c r="Q287" s="1"/>
      <c r="R287" s="1"/>
      <c r="S287" s="1"/>
      <c r="T287" s="1"/>
      <c r="U287" s="1"/>
      <c r="V287" s="9"/>
      <c r="W287" s="3"/>
      <c r="X287" s="4"/>
      <c r="Y287" s="1"/>
      <c r="Z287" s="1"/>
      <c r="AA287" s="1"/>
      <c r="AB287" s="1"/>
      <c r="AC287" s="1"/>
      <c r="AD287" s="3"/>
      <c r="AE287" s="3"/>
      <c r="AF287" s="5"/>
      <c r="AG287" s="5"/>
      <c r="AH287" s="5"/>
      <c r="AI287" s="5"/>
      <c r="AJ287" s="6"/>
      <c r="AK287" s="6"/>
      <c r="AL287" s="12"/>
      <c r="AM287" s="12"/>
      <c r="AN287" s="12"/>
      <c r="AO287" s="12"/>
      <c r="AP287" s="12"/>
    </row>
    <row r="288" spans="1:42" ht="15" x14ac:dyDescent="0.25">
      <c r="A288" s="82" t="str">
        <f>TDCTRIBE!I297</f>
        <v>Eastern/Woodlands</v>
      </c>
      <c r="B288" s="82" t="str">
        <f>TDCTRIBE!B297</f>
        <v>NC</v>
      </c>
      <c r="C288" s="82" t="str">
        <f>TDCTRIBE!F297</f>
        <v>Haliwa-Saponi State Tribe</v>
      </c>
      <c r="D288" s="83">
        <f>TDCTRIBE!Y297</f>
        <v>279463.56175500003</v>
      </c>
      <c r="E288" s="83">
        <f>TDCTRIBE!Z297</f>
        <v>309655.00568099995</v>
      </c>
      <c r="F288" s="83">
        <f>TDCTRIBE!AA297</f>
        <v>357888.41463900008</v>
      </c>
      <c r="G288" s="83">
        <f>TDCTRIBE!AB297</f>
        <v>386369.84626800002</v>
      </c>
      <c r="H288" s="83">
        <f>TDCTRIBE!AC297</f>
        <v>416630.04751200002</v>
      </c>
      <c r="O288" s="9"/>
      <c r="P288" s="1"/>
      <c r="Q288" s="1"/>
      <c r="R288" s="1"/>
      <c r="S288" s="1"/>
      <c r="T288" s="1"/>
      <c r="U288" s="1"/>
      <c r="V288" s="9"/>
      <c r="W288" s="3"/>
      <c r="X288" s="4"/>
      <c r="Y288" s="1"/>
      <c r="Z288" s="1"/>
      <c r="AA288" s="1"/>
      <c r="AB288" s="1"/>
      <c r="AC288" s="1"/>
      <c r="AD288" s="3"/>
      <c r="AE288" s="3"/>
      <c r="AF288" s="5"/>
      <c r="AG288" s="5"/>
      <c r="AH288" s="5"/>
      <c r="AI288" s="5"/>
      <c r="AJ288" s="6"/>
      <c r="AK288" s="6"/>
      <c r="AL288" s="12"/>
      <c r="AM288" s="12"/>
      <c r="AN288" s="12"/>
      <c r="AO288" s="12"/>
      <c r="AP288" s="12"/>
    </row>
    <row r="289" spans="1:42" ht="15" x14ac:dyDescent="0.25">
      <c r="A289" s="82" t="str">
        <f>TDCTRIBE!I298</f>
        <v>Eastern/Woodlands</v>
      </c>
      <c r="B289" s="82" t="str">
        <f>TDCTRIBE!B298</f>
        <v>NC</v>
      </c>
      <c r="C289" s="82" t="str">
        <f>TDCTRIBE!F298</f>
        <v>Lumbee State Tribe</v>
      </c>
      <c r="D289" s="83">
        <f>TDCTRIBE!Y298</f>
        <v>276603.55768500001</v>
      </c>
      <c r="E289" s="83">
        <f>TDCTRIBE!Z298</f>
        <v>306441.95414700004</v>
      </c>
      <c r="F289" s="83">
        <f>TDCTRIBE!AA298</f>
        <v>354026.14309300005</v>
      </c>
      <c r="G289" s="83">
        <f>TDCTRIBE!AB298</f>
        <v>382158.98131600005</v>
      </c>
      <c r="H289" s="83">
        <f>TDCTRIBE!AC298</f>
        <v>412084.713544</v>
      </c>
      <c r="O289" s="9"/>
      <c r="P289" s="1"/>
      <c r="Q289" s="1"/>
      <c r="R289" s="1"/>
      <c r="S289" s="1"/>
      <c r="T289" s="1"/>
      <c r="U289" s="1"/>
      <c r="V289" s="9"/>
      <c r="W289" s="3"/>
      <c r="X289" s="4"/>
      <c r="Y289" s="1"/>
      <c r="Z289" s="1"/>
      <c r="AA289" s="1"/>
      <c r="AB289" s="1"/>
      <c r="AC289" s="1"/>
      <c r="AD289" s="3"/>
      <c r="AE289" s="3"/>
      <c r="AF289" s="5"/>
      <c r="AG289" s="5"/>
      <c r="AH289" s="5"/>
      <c r="AI289" s="5"/>
      <c r="AJ289" s="6"/>
      <c r="AK289" s="6"/>
      <c r="AL289" s="12"/>
      <c r="AM289" s="12"/>
      <c r="AN289" s="12"/>
      <c r="AO289" s="12"/>
      <c r="AP289" s="12"/>
    </row>
    <row r="290" spans="1:42" ht="15" x14ac:dyDescent="0.25">
      <c r="A290" s="82" t="str">
        <f>TDCTRIBE!I299</f>
        <v>Eastern/Woodlands</v>
      </c>
      <c r="B290" s="82" t="str">
        <f>TDCTRIBE!B299</f>
        <v>NC</v>
      </c>
      <c r="C290" s="82" t="str">
        <f>TDCTRIBE!F299</f>
        <v>Meherrin State Tribe</v>
      </c>
      <c r="D290" s="83">
        <f>TDCTRIBE!Y299</f>
        <v>276603.55768500001</v>
      </c>
      <c r="E290" s="83">
        <f>TDCTRIBE!Z299</f>
        <v>306441.95414700004</v>
      </c>
      <c r="F290" s="83">
        <f>TDCTRIBE!AA299</f>
        <v>354026.14309300005</v>
      </c>
      <c r="G290" s="83">
        <f>TDCTRIBE!AB299</f>
        <v>382158.98131600005</v>
      </c>
      <c r="H290" s="83">
        <f>TDCTRIBE!AC299</f>
        <v>412084.713544</v>
      </c>
      <c r="O290" s="9"/>
      <c r="P290" s="1"/>
      <c r="Q290" s="1"/>
      <c r="R290" s="1"/>
      <c r="S290" s="1"/>
      <c r="T290" s="1"/>
      <c r="U290" s="1"/>
      <c r="V290" s="9"/>
      <c r="W290" s="3"/>
      <c r="X290" s="4"/>
      <c r="Y290" s="1"/>
      <c r="Z290" s="1"/>
      <c r="AA290" s="1"/>
      <c r="AB290" s="1"/>
      <c r="AC290" s="1"/>
      <c r="AD290" s="3"/>
      <c r="AE290" s="3"/>
      <c r="AF290" s="5"/>
      <c r="AG290" s="5"/>
      <c r="AH290" s="5"/>
      <c r="AI290" s="5"/>
      <c r="AJ290" s="6"/>
      <c r="AK290" s="6"/>
      <c r="AL290" s="12"/>
      <c r="AM290" s="12"/>
      <c r="AN290" s="12"/>
      <c r="AO290" s="12"/>
      <c r="AP290" s="12"/>
    </row>
    <row r="291" spans="1:42" ht="15" x14ac:dyDescent="0.25">
      <c r="A291" s="82" t="str">
        <f>TDCTRIBE!I300</f>
        <v>Eastern/Woodlands</v>
      </c>
      <c r="B291" s="82" t="str">
        <f>TDCTRIBE!B300</f>
        <v>NC</v>
      </c>
      <c r="C291" s="82" t="str">
        <f>TDCTRIBE!F300</f>
        <v>Waccamaw Siouan State Tribe</v>
      </c>
      <c r="D291" s="83">
        <f>TDCTRIBE!Y300</f>
        <v>276603.55768500001</v>
      </c>
      <c r="E291" s="83">
        <f>TDCTRIBE!Z300</f>
        <v>306441.95414700004</v>
      </c>
      <c r="F291" s="83">
        <f>TDCTRIBE!AA300</f>
        <v>354026.14309300005</v>
      </c>
      <c r="G291" s="83">
        <f>TDCTRIBE!AB300</f>
        <v>382158.98131600005</v>
      </c>
      <c r="H291" s="83">
        <f>TDCTRIBE!AC300</f>
        <v>412084.713544</v>
      </c>
      <c r="O291" s="9"/>
      <c r="P291" s="1"/>
      <c r="Q291" s="1"/>
      <c r="R291" s="1"/>
      <c r="S291" s="1"/>
      <c r="T291" s="1"/>
      <c r="U291" s="1"/>
      <c r="V291" s="9"/>
      <c r="W291" s="3"/>
      <c r="X291" s="4"/>
      <c r="Y291" s="1"/>
      <c r="Z291" s="1"/>
      <c r="AA291" s="1"/>
      <c r="AB291" s="1"/>
      <c r="AC291" s="1"/>
      <c r="AD291" s="3"/>
      <c r="AE291" s="3"/>
      <c r="AF291" s="5"/>
      <c r="AG291" s="5"/>
      <c r="AH291" s="5"/>
      <c r="AI291" s="5"/>
      <c r="AJ291" s="6"/>
      <c r="AK291" s="6"/>
      <c r="AL291" s="12"/>
      <c r="AM291" s="12"/>
      <c r="AN291" s="12"/>
      <c r="AO291" s="12"/>
      <c r="AP291" s="12"/>
    </row>
    <row r="292" spans="1:42" ht="15" x14ac:dyDescent="0.25">
      <c r="A292" s="82" t="str">
        <f>TDCTRIBE!I301</f>
        <v>Eastern/Woodlands</v>
      </c>
      <c r="B292" s="82" t="str">
        <f>TDCTRIBE!B301</f>
        <v>NY</v>
      </c>
      <c r="C292" s="82" t="str">
        <f>TDCTRIBE!F301</f>
        <v>Cayuga Nation</v>
      </c>
      <c r="D292" s="83">
        <f>TDCTRIBE!Y301</f>
        <v>355955.87180999998</v>
      </c>
      <c r="E292" s="83">
        <f>TDCTRIBE!Z301</f>
        <v>393328.64197199995</v>
      </c>
      <c r="F292" s="83">
        <f>TDCTRIBE!AA301</f>
        <v>454877.35001800006</v>
      </c>
      <c r="G292" s="83">
        <f>TDCTRIBE!AB301</f>
        <v>492819.43786600005</v>
      </c>
      <c r="H292" s="83">
        <f>TDCTRIBE!AC301</f>
        <v>531291.28109399998</v>
      </c>
      <c r="O292" s="9"/>
      <c r="P292" s="1"/>
      <c r="Q292" s="1"/>
      <c r="R292" s="1"/>
      <c r="S292" s="1"/>
      <c r="T292" s="1"/>
      <c r="U292" s="1"/>
      <c r="V292" s="9"/>
      <c r="W292" s="3"/>
      <c r="X292" s="4"/>
      <c r="Y292" s="1"/>
      <c r="Z292" s="1"/>
      <c r="AA292" s="1"/>
      <c r="AB292" s="1"/>
      <c r="AC292" s="1"/>
      <c r="AD292" s="3"/>
      <c r="AE292" s="3"/>
      <c r="AF292" s="5"/>
      <c r="AG292" s="5"/>
      <c r="AH292" s="5"/>
      <c r="AI292" s="5"/>
      <c r="AJ292" s="6"/>
      <c r="AK292" s="6"/>
      <c r="AL292" s="12"/>
      <c r="AM292" s="12"/>
      <c r="AN292" s="12"/>
      <c r="AO292" s="12"/>
      <c r="AP292" s="12"/>
    </row>
    <row r="293" spans="1:42" ht="15" x14ac:dyDescent="0.25">
      <c r="A293" s="82" t="str">
        <f>TDCTRIBE!I302</f>
        <v>Eastern/Woodlands</v>
      </c>
      <c r="B293" s="82" t="str">
        <f>TDCTRIBE!B302</f>
        <v>NY</v>
      </c>
      <c r="C293" s="82" t="str">
        <f>TDCTRIBE!F302</f>
        <v>Oneida Nation of New York</v>
      </c>
      <c r="D293" s="83">
        <f>TDCTRIBE!Y302</f>
        <v>330051.491385</v>
      </c>
      <c r="E293" s="83">
        <f>TDCTRIBE!Z302</f>
        <v>364869.53783699998</v>
      </c>
      <c r="F293" s="83">
        <f>TDCTRIBE!AA302</f>
        <v>422475.80474050005</v>
      </c>
      <c r="G293" s="83">
        <f>TDCTRIBE!AB302</f>
        <v>457851.88941100001</v>
      </c>
      <c r="H293" s="83">
        <f>TDCTRIBE!AC302</f>
        <v>493617.92099900008</v>
      </c>
      <c r="O293" s="9"/>
      <c r="P293" s="1"/>
      <c r="Q293" s="1"/>
      <c r="R293" s="1"/>
      <c r="S293" s="1"/>
      <c r="T293" s="1"/>
      <c r="U293" s="1"/>
      <c r="V293" s="9"/>
      <c r="W293" s="3"/>
      <c r="X293" s="4"/>
      <c r="Y293" s="1"/>
      <c r="Z293" s="1"/>
      <c r="AA293" s="1"/>
      <c r="AB293" s="1"/>
      <c r="AC293" s="1"/>
      <c r="AD293" s="3"/>
      <c r="AE293" s="3"/>
      <c r="AF293" s="5"/>
      <c r="AG293" s="5"/>
      <c r="AH293" s="5"/>
      <c r="AI293" s="5"/>
      <c r="AJ293" s="6"/>
      <c r="AK293" s="6"/>
      <c r="AL293" s="12"/>
      <c r="AM293" s="12"/>
      <c r="AN293" s="12"/>
      <c r="AO293" s="12"/>
      <c r="AP293" s="12"/>
    </row>
    <row r="294" spans="1:42" ht="15" x14ac:dyDescent="0.25">
      <c r="A294" s="82" t="str">
        <f>TDCTRIBE!I303</f>
        <v>Eastern/Woodlands</v>
      </c>
      <c r="B294" s="82" t="str">
        <f>TDCTRIBE!B303</f>
        <v>NY</v>
      </c>
      <c r="C294" s="82" t="str">
        <f>TDCTRIBE!F303</f>
        <v>Onondaga Nation</v>
      </c>
      <c r="D294" s="83">
        <f>TDCTRIBE!Y303</f>
        <v>330051.491385</v>
      </c>
      <c r="E294" s="83">
        <f>TDCTRIBE!Z303</f>
        <v>364869.53783699998</v>
      </c>
      <c r="F294" s="83">
        <f>TDCTRIBE!AA303</f>
        <v>422475.80474050005</v>
      </c>
      <c r="G294" s="83">
        <f>TDCTRIBE!AB303</f>
        <v>457851.88941100001</v>
      </c>
      <c r="H294" s="83">
        <f>TDCTRIBE!AC303</f>
        <v>493617.92099900008</v>
      </c>
      <c r="O294" s="9"/>
      <c r="P294" s="1"/>
      <c r="Q294" s="1"/>
      <c r="R294" s="1"/>
      <c r="S294" s="1"/>
      <c r="T294" s="1"/>
      <c r="U294" s="1"/>
      <c r="V294" s="9"/>
      <c r="W294" s="3"/>
      <c r="X294" s="4"/>
      <c r="Y294" s="1"/>
      <c r="Z294" s="1"/>
      <c r="AA294" s="1"/>
      <c r="AB294" s="1"/>
      <c r="AC294" s="1"/>
      <c r="AD294" s="3"/>
      <c r="AE294" s="3"/>
      <c r="AF294" s="5"/>
      <c r="AG294" s="5"/>
      <c r="AH294" s="5"/>
      <c r="AI294" s="5"/>
      <c r="AJ294" s="6"/>
      <c r="AK294" s="6"/>
      <c r="AL294" s="12"/>
      <c r="AM294" s="12"/>
      <c r="AN294" s="12"/>
      <c r="AO294" s="12"/>
      <c r="AP294" s="12"/>
    </row>
    <row r="295" spans="1:42" ht="15" x14ac:dyDescent="0.25">
      <c r="A295" s="82" t="str">
        <f>TDCTRIBE!I304</f>
        <v>Eastern/Woodlands</v>
      </c>
      <c r="B295" s="82" t="str">
        <f>TDCTRIBE!B304</f>
        <v>NY</v>
      </c>
      <c r="C295" s="82" t="str">
        <f>TDCTRIBE!F304</f>
        <v>Seneca Nation of New York</v>
      </c>
      <c r="D295" s="83">
        <f>TDCTRIBE!Y304</f>
        <v>355955.87180999998</v>
      </c>
      <c r="E295" s="83">
        <f>TDCTRIBE!Z304</f>
        <v>393328.64197199995</v>
      </c>
      <c r="F295" s="83">
        <f>TDCTRIBE!AA304</f>
        <v>454877.35001800006</v>
      </c>
      <c r="G295" s="83">
        <f>TDCTRIBE!AB304</f>
        <v>492819.43786600005</v>
      </c>
      <c r="H295" s="83">
        <f>TDCTRIBE!AC304</f>
        <v>531291.28109399998</v>
      </c>
      <c r="O295" s="9"/>
      <c r="P295" s="1"/>
      <c r="Q295" s="1"/>
      <c r="R295" s="1"/>
      <c r="S295" s="1"/>
      <c r="T295" s="1"/>
      <c r="U295" s="1"/>
      <c r="V295" s="9"/>
      <c r="W295" s="3"/>
      <c r="X295" s="4"/>
      <c r="Y295" s="1"/>
      <c r="Z295" s="1"/>
      <c r="AA295" s="1"/>
      <c r="AB295" s="1"/>
      <c r="AC295" s="1"/>
      <c r="AD295" s="3"/>
      <c r="AE295" s="3"/>
      <c r="AF295" s="5"/>
      <c r="AG295" s="5"/>
      <c r="AH295" s="5"/>
      <c r="AI295" s="5"/>
      <c r="AJ295" s="6"/>
      <c r="AK295" s="6"/>
      <c r="AL295" s="12"/>
      <c r="AM295" s="12"/>
      <c r="AN295" s="12"/>
      <c r="AO295" s="12"/>
      <c r="AP295" s="12"/>
    </row>
    <row r="296" spans="1:42" ht="15" x14ac:dyDescent="0.25">
      <c r="A296" s="82" t="str">
        <f>TDCTRIBE!I305</f>
        <v>Eastern/Woodlands</v>
      </c>
      <c r="B296" s="82" t="str">
        <f>TDCTRIBE!B305</f>
        <v>NY</v>
      </c>
      <c r="C296" s="82" t="str">
        <f>TDCTRIBE!F305</f>
        <v>Shinnecock</v>
      </c>
      <c r="D296" s="83">
        <f>TDCTRIBE!Y305</f>
        <v>416398.89175499999</v>
      </c>
      <c r="E296" s="83">
        <f>TDCTRIBE!Z305</f>
        <v>460467.92738099996</v>
      </c>
      <c r="F296" s="83">
        <f>TDCTRIBE!AA305</f>
        <v>533606.67317650001</v>
      </c>
      <c r="G296" s="83">
        <f>TDCTRIBE!AB305</f>
        <v>578405.67469300004</v>
      </c>
      <c r="H296" s="83">
        <f>TDCTRIBE!AC305</f>
        <v>623609.54663700005</v>
      </c>
      <c r="O296" s="9"/>
      <c r="P296" s="1"/>
      <c r="Q296" s="1"/>
      <c r="R296" s="1"/>
      <c r="S296" s="1"/>
      <c r="T296" s="1"/>
      <c r="U296" s="1"/>
      <c r="V296" s="9"/>
      <c r="W296" s="3"/>
      <c r="X296" s="4"/>
      <c r="Y296" s="1"/>
      <c r="Z296" s="1"/>
      <c r="AA296" s="1"/>
      <c r="AB296" s="1"/>
      <c r="AC296" s="1"/>
      <c r="AD296" s="3"/>
      <c r="AE296" s="3"/>
      <c r="AF296" s="5"/>
      <c r="AG296" s="5"/>
      <c r="AH296" s="5"/>
      <c r="AI296" s="5"/>
      <c r="AJ296" s="6"/>
      <c r="AK296" s="6"/>
      <c r="AL296" s="12"/>
      <c r="AM296" s="12"/>
      <c r="AN296" s="12"/>
      <c r="AO296" s="12"/>
      <c r="AP296" s="12"/>
    </row>
    <row r="297" spans="1:42" ht="15" x14ac:dyDescent="0.25">
      <c r="A297" s="82" t="str">
        <f>TDCTRIBE!I306</f>
        <v>Eastern/Woodlands</v>
      </c>
      <c r="B297" s="82" t="str">
        <f>TDCTRIBE!B306</f>
        <v>NY</v>
      </c>
      <c r="C297" s="82" t="str">
        <f>TDCTRIBE!F306</f>
        <v>St. Regis Mohawk Tribe</v>
      </c>
      <c r="D297" s="83">
        <f>TDCTRIBE!Y306</f>
        <v>316243.25964</v>
      </c>
      <c r="E297" s="83">
        <f>TDCTRIBE!Z306</f>
        <v>349491.65176799998</v>
      </c>
      <c r="F297" s="83">
        <f>TDCTRIBE!AA306</f>
        <v>404320.45329200005</v>
      </c>
      <c r="G297" s="83">
        <f>TDCTRIBE!AB306</f>
        <v>438082.89610400004</v>
      </c>
      <c r="H297" s="83">
        <f>TDCTRIBE!AC306</f>
        <v>472288.28813600005</v>
      </c>
      <c r="O297" s="9"/>
      <c r="P297" s="1"/>
      <c r="Q297" s="1"/>
      <c r="R297" s="1"/>
      <c r="S297" s="1"/>
      <c r="T297" s="1"/>
      <c r="U297" s="1"/>
      <c r="V297" s="9"/>
      <c r="W297" s="3"/>
      <c r="X297" s="4"/>
      <c r="Y297" s="1"/>
      <c r="Z297" s="1"/>
      <c r="AA297" s="1"/>
      <c r="AB297" s="1"/>
      <c r="AC297" s="1"/>
      <c r="AD297" s="3"/>
      <c r="AE297" s="3"/>
      <c r="AF297" s="5"/>
      <c r="AG297" s="5"/>
      <c r="AH297" s="5"/>
      <c r="AI297" s="5"/>
      <c r="AJ297" s="6"/>
      <c r="AK297" s="6"/>
      <c r="AL297" s="12"/>
      <c r="AM297" s="12"/>
      <c r="AN297" s="12"/>
      <c r="AO297" s="12"/>
      <c r="AP297" s="12"/>
    </row>
    <row r="298" spans="1:42" ht="15" x14ac:dyDescent="0.25">
      <c r="A298" s="82" t="str">
        <f>TDCTRIBE!I307</f>
        <v>Eastern/Woodlands</v>
      </c>
      <c r="B298" s="82" t="str">
        <f>TDCTRIBE!B307</f>
        <v>NY</v>
      </c>
      <c r="C298" s="82" t="str">
        <f>TDCTRIBE!F307</f>
        <v>Tonawanda Band of Senecas</v>
      </c>
      <c r="D298" s="83">
        <f>TDCTRIBE!Y307</f>
        <v>355955.87180999998</v>
      </c>
      <c r="E298" s="83">
        <f>TDCTRIBE!Z307</f>
        <v>393328.64197199995</v>
      </c>
      <c r="F298" s="83">
        <f>TDCTRIBE!AA307</f>
        <v>454877.35001800006</v>
      </c>
      <c r="G298" s="83">
        <f>TDCTRIBE!AB307</f>
        <v>492819.43786600005</v>
      </c>
      <c r="H298" s="83">
        <f>TDCTRIBE!AC307</f>
        <v>531291.28109399998</v>
      </c>
      <c r="O298" s="9"/>
      <c r="P298" s="1"/>
      <c r="Q298" s="1"/>
      <c r="R298" s="1"/>
      <c r="S298" s="1"/>
      <c r="T298" s="1"/>
      <c r="U298" s="1"/>
      <c r="V298" s="9"/>
      <c r="W298" s="3"/>
      <c r="X298" s="4"/>
      <c r="Y298" s="1"/>
      <c r="Z298" s="1"/>
      <c r="AA298" s="1"/>
      <c r="AB298" s="1"/>
      <c r="AC298" s="1"/>
      <c r="AD298" s="3"/>
      <c r="AE298" s="3"/>
      <c r="AF298" s="5"/>
      <c r="AG298" s="5"/>
      <c r="AH298" s="5"/>
      <c r="AI298" s="5"/>
      <c r="AJ298" s="6"/>
      <c r="AK298" s="6"/>
      <c r="AL298" s="12"/>
      <c r="AM298" s="12"/>
      <c r="AN298" s="12"/>
      <c r="AO298" s="12"/>
      <c r="AP298" s="12"/>
    </row>
    <row r="299" spans="1:42" ht="15" x14ac:dyDescent="0.25">
      <c r="A299" s="82" t="str">
        <f>TDCTRIBE!I308</f>
        <v>Eastern/Woodlands</v>
      </c>
      <c r="B299" s="82" t="str">
        <f>TDCTRIBE!B308</f>
        <v>NY</v>
      </c>
      <c r="C299" s="82" t="str">
        <f>TDCTRIBE!F308</f>
        <v>Tuscarora Nation</v>
      </c>
      <c r="D299" s="83">
        <f>TDCTRIBE!Y308</f>
        <v>344588.54199</v>
      </c>
      <c r="E299" s="83">
        <f>TDCTRIBE!Z308</f>
        <v>380849.558838</v>
      </c>
      <c r="F299" s="83">
        <f>TDCTRIBE!AA308</f>
        <v>440698.51644700003</v>
      </c>
      <c r="G299" s="83">
        <f>TDCTRIBE!AB308</f>
        <v>477525.60171400005</v>
      </c>
      <c r="H299" s="83">
        <f>TDCTRIBE!AC308</f>
        <v>514815.38162599993</v>
      </c>
      <c r="O299" s="9"/>
      <c r="P299" s="1"/>
      <c r="Q299" s="1"/>
      <c r="R299" s="1"/>
      <c r="S299" s="1"/>
      <c r="T299" s="1"/>
      <c r="U299" s="1"/>
      <c r="V299" s="9"/>
      <c r="W299" s="3"/>
      <c r="X299" s="4"/>
      <c r="Y299" s="1"/>
      <c r="Z299" s="1"/>
      <c r="AA299" s="1"/>
      <c r="AB299" s="1"/>
      <c r="AC299" s="1"/>
      <c r="AD299" s="3"/>
      <c r="AE299" s="3"/>
      <c r="AF299" s="5"/>
      <c r="AG299" s="5"/>
      <c r="AH299" s="5"/>
      <c r="AI299" s="5"/>
      <c r="AJ299" s="6"/>
      <c r="AK299" s="6"/>
      <c r="AL299" s="12"/>
      <c r="AM299" s="12"/>
      <c r="AN299" s="12"/>
      <c r="AO299" s="12"/>
      <c r="AP299" s="12"/>
    </row>
    <row r="300" spans="1:42" ht="15" x14ac:dyDescent="0.25">
      <c r="A300" s="82" t="str">
        <f>TDCTRIBE!I309</f>
        <v>Eastern/Woodlands</v>
      </c>
      <c r="B300" s="82" t="str">
        <f>TDCTRIBE!B309</f>
        <v>RI</v>
      </c>
      <c r="C300" s="82" t="str">
        <f>TDCTRIBE!F309</f>
        <v>Narragansett Tribe</v>
      </c>
      <c r="D300" s="83">
        <f>TDCTRIBE!Y309</f>
        <v>346628.91417</v>
      </c>
      <c r="E300" s="83">
        <f>TDCTRIBE!Z309</f>
        <v>382976.362104</v>
      </c>
      <c r="F300" s="83">
        <f>TDCTRIBE!AA309</f>
        <v>442762.55567600008</v>
      </c>
      <c r="G300" s="83">
        <f>TDCTRIBE!AB309</f>
        <v>479655.98916200001</v>
      </c>
      <c r="H300" s="83">
        <f>TDCTRIBE!AC309</f>
        <v>517093.55455800006</v>
      </c>
      <c r="O300" s="9"/>
      <c r="P300" s="1"/>
      <c r="Q300" s="1"/>
      <c r="R300" s="1"/>
      <c r="S300" s="1"/>
      <c r="T300" s="1"/>
      <c r="U300" s="1"/>
      <c r="V300" s="9"/>
      <c r="W300" s="3"/>
      <c r="X300" s="4"/>
      <c r="Y300" s="1"/>
      <c r="Z300" s="1"/>
      <c r="AA300" s="1"/>
      <c r="AB300" s="1"/>
      <c r="AC300" s="1"/>
      <c r="AD300" s="3"/>
      <c r="AE300" s="3"/>
      <c r="AF300" s="5"/>
      <c r="AG300" s="5"/>
      <c r="AH300" s="5"/>
      <c r="AI300" s="5"/>
      <c r="AJ300" s="6"/>
      <c r="AK300" s="6"/>
      <c r="AL300" s="12"/>
      <c r="AM300" s="12"/>
      <c r="AN300" s="12"/>
      <c r="AO300" s="12"/>
      <c r="AP300" s="12"/>
    </row>
    <row r="301" spans="1:42" ht="15" x14ac:dyDescent="0.25">
      <c r="A301" s="82" t="str">
        <f>TDCTRIBE!I310</f>
        <v>Eastern/Woodlands</v>
      </c>
      <c r="B301" s="82" t="str">
        <f>TDCTRIBE!B310</f>
        <v>SC</v>
      </c>
      <c r="C301" s="82" t="str">
        <f>TDCTRIBE!F310</f>
        <v>Catawba Indian Tribe</v>
      </c>
      <c r="D301" s="83">
        <f>TDCTRIBE!Y310</f>
        <v>278033.55972000002</v>
      </c>
      <c r="E301" s="83">
        <f>TDCTRIBE!Z310</f>
        <v>308048.47991400003</v>
      </c>
      <c r="F301" s="83">
        <f>TDCTRIBE!AA310</f>
        <v>345607.89103400009</v>
      </c>
      <c r="G301" s="83">
        <f>TDCTRIBE!AB310</f>
        <v>372980.93100800004</v>
      </c>
      <c r="H301" s="83">
        <f>TDCTRIBE!AC310</f>
        <v>402177.65067200002</v>
      </c>
      <c r="O301" s="9"/>
      <c r="P301" s="1"/>
      <c r="Q301" s="1"/>
      <c r="R301" s="1"/>
      <c r="S301" s="1"/>
      <c r="T301" s="1"/>
      <c r="U301" s="1"/>
      <c r="V301" s="9"/>
      <c r="W301" s="3"/>
      <c r="X301" s="4"/>
      <c r="Y301" s="1"/>
      <c r="Z301" s="1"/>
      <c r="AA301" s="1"/>
      <c r="AB301" s="1"/>
      <c r="AC301" s="1"/>
      <c r="AD301" s="3"/>
      <c r="AE301" s="3"/>
      <c r="AF301" s="5"/>
      <c r="AG301" s="5"/>
      <c r="AH301" s="5"/>
      <c r="AI301" s="5"/>
      <c r="AJ301" s="6"/>
      <c r="AK301" s="6"/>
      <c r="AL301" s="12"/>
      <c r="AM301" s="12"/>
      <c r="AN301" s="12"/>
      <c r="AO301" s="12"/>
      <c r="AP301" s="12"/>
    </row>
    <row r="302" spans="1:42" ht="15" x14ac:dyDescent="0.25">
      <c r="A302" s="82" t="str">
        <f>TDCTRIBE!I311</f>
        <v>Eastern/Woodlands</v>
      </c>
      <c r="B302" s="82" t="str">
        <f>TDCTRIBE!B311</f>
        <v>VA</v>
      </c>
      <c r="C302" s="82" t="str">
        <f>TDCTRIBE!F311</f>
        <v>Nansemond Indian Tribe</v>
      </c>
      <c r="D302" s="83">
        <f>TDCTRIBE!Y311</f>
        <v>285473.53082500002</v>
      </c>
      <c r="E302" s="83">
        <f>TDCTRIBE!Z311</f>
        <v>316314.25311499997</v>
      </c>
      <c r="F302" s="83">
        <f>TDCTRIBE!AA311</f>
        <v>365584.93968500005</v>
      </c>
      <c r="G302" s="83">
        <f>TDCTRIBE!AB311</f>
        <v>394678.87521999999</v>
      </c>
      <c r="H302" s="83">
        <f>TDCTRIBE!AC311</f>
        <v>425589.83348000003</v>
      </c>
      <c r="O302" s="9"/>
      <c r="P302" s="1"/>
      <c r="Q302" s="1"/>
      <c r="R302" s="1"/>
      <c r="S302" s="1"/>
      <c r="T302" s="1"/>
      <c r="U302" s="1"/>
      <c r="V302" s="9"/>
      <c r="W302" s="3"/>
      <c r="X302" s="4"/>
      <c r="Y302" s="1"/>
      <c r="Z302" s="1"/>
      <c r="AA302" s="1"/>
      <c r="AB302" s="1"/>
      <c r="AC302" s="1"/>
      <c r="AD302" s="3"/>
      <c r="AE302" s="3"/>
      <c r="AF302" s="5"/>
      <c r="AG302" s="5"/>
      <c r="AH302" s="5"/>
      <c r="AI302" s="5"/>
      <c r="AJ302" s="6"/>
      <c r="AK302" s="6"/>
      <c r="AL302" s="12"/>
      <c r="AM302" s="12"/>
      <c r="AN302" s="12"/>
      <c r="AO302" s="12"/>
      <c r="AP302" s="12"/>
    </row>
    <row r="303" spans="1:42" ht="15" x14ac:dyDescent="0.25">
      <c r="A303" s="82" t="str">
        <f>TDCTRIBE!I312</f>
        <v>Eastern/Woodlands</v>
      </c>
      <c r="B303" s="82" t="str">
        <f>TDCTRIBE!B312</f>
        <v>VA</v>
      </c>
      <c r="C303" s="82" t="str">
        <f>TDCTRIBE!F312</f>
        <v>Monacan Indian Tribe</v>
      </c>
      <c r="D303" s="83">
        <f>TDCTRIBE!Y312</f>
        <v>281618.46611500002</v>
      </c>
      <c r="E303" s="83">
        <f>TDCTRIBE!Z312</f>
        <v>311844.39236299996</v>
      </c>
      <c r="F303" s="83">
        <f>TDCTRIBE!AA312</f>
        <v>359749.505297</v>
      </c>
      <c r="G303" s="83">
        <f>TDCTRIBE!AB312</f>
        <v>388193.52636399999</v>
      </c>
      <c r="H303" s="83">
        <f>TDCTRIBE!AC312</f>
        <v>418575.50957599998</v>
      </c>
      <c r="O303" s="9"/>
      <c r="P303" s="1"/>
      <c r="Q303" s="1"/>
      <c r="R303" s="1"/>
      <c r="S303" s="1"/>
      <c r="T303" s="1"/>
      <c r="U303" s="1"/>
      <c r="V303" s="9"/>
      <c r="W303" s="3"/>
      <c r="X303" s="4"/>
      <c r="Y303" s="1"/>
      <c r="Z303" s="1"/>
      <c r="AA303" s="1"/>
      <c r="AB303" s="1"/>
      <c r="AC303" s="1"/>
      <c r="AD303" s="3"/>
      <c r="AE303" s="3"/>
      <c r="AF303" s="5"/>
      <c r="AG303" s="5"/>
      <c r="AH303" s="5"/>
      <c r="AI303" s="5"/>
      <c r="AJ303" s="6"/>
      <c r="AK303" s="6"/>
      <c r="AL303" s="12"/>
      <c r="AM303" s="12"/>
      <c r="AN303" s="12"/>
      <c r="AO303" s="12"/>
      <c r="AP303" s="12"/>
    </row>
    <row r="304" spans="1:42" ht="15" x14ac:dyDescent="0.25">
      <c r="A304" s="82" t="str">
        <f>TDCTRIBE!I313</f>
        <v>Eastern/Woodlands</v>
      </c>
      <c r="B304" s="82" t="str">
        <f>TDCTRIBE!B313</f>
        <v>VA</v>
      </c>
      <c r="C304" s="82" t="str">
        <f>TDCTRIBE!F313</f>
        <v>Chickahominy Tribe</v>
      </c>
      <c r="D304" s="83">
        <f>TDCTRIBE!Y313</f>
        <v>299503.39286000002</v>
      </c>
      <c r="E304" s="83">
        <f>TDCTRIBE!Z313</f>
        <v>331705.56248200004</v>
      </c>
      <c r="F304" s="83">
        <f>TDCTRIBE!AA313</f>
        <v>382853.08945800003</v>
      </c>
      <c r="G304" s="83">
        <f>TDCTRIBE!AB313</f>
        <v>413176.96369600005</v>
      </c>
      <c r="H304" s="83">
        <f>TDCTRIBE!AC313</f>
        <v>445520.308464</v>
      </c>
      <c r="O304" s="9"/>
      <c r="P304" s="1"/>
      <c r="Q304" s="1"/>
      <c r="R304" s="1"/>
      <c r="S304" s="1"/>
      <c r="T304" s="1"/>
      <c r="U304" s="1"/>
      <c r="V304" s="9"/>
      <c r="W304" s="3"/>
      <c r="X304" s="4"/>
      <c r="Y304" s="1"/>
      <c r="Z304" s="1"/>
      <c r="AA304" s="1"/>
      <c r="AB304" s="1"/>
      <c r="AC304" s="1"/>
      <c r="AD304" s="3"/>
      <c r="AE304" s="3"/>
      <c r="AF304" s="5"/>
      <c r="AG304" s="5"/>
      <c r="AH304" s="5"/>
      <c r="AI304" s="5"/>
      <c r="AJ304" s="6"/>
      <c r="AK304" s="6"/>
      <c r="AL304" s="12"/>
      <c r="AM304" s="12"/>
      <c r="AN304" s="12"/>
      <c r="AO304" s="12"/>
      <c r="AP304" s="12"/>
    </row>
    <row r="305" spans="1:42" ht="15" x14ac:dyDescent="0.25">
      <c r="A305" s="82" t="str">
        <f>TDCTRIBE!I314</f>
        <v>Eastern/Woodlands</v>
      </c>
      <c r="B305" s="82" t="str">
        <f>TDCTRIBE!B314</f>
        <v>VA</v>
      </c>
      <c r="C305" s="82" t="str">
        <f>TDCTRIBE!F314</f>
        <v>Eastern Chickahominy Tribe</v>
      </c>
      <c r="D305" s="83">
        <f>TDCTRIBE!Y314</f>
        <v>299503.39286000002</v>
      </c>
      <c r="E305" s="83">
        <f>TDCTRIBE!Z314</f>
        <v>331705.56248200004</v>
      </c>
      <c r="F305" s="83">
        <f>TDCTRIBE!AA314</f>
        <v>382853.08945800003</v>
      </c>
      <c r="G305" s="83">
        <f>TDCTRIBE!AB314</f>
        <v>413176.96369600005</v>
      </c>
      <c r="H305" s="83">
        <f>TDCTRIBE!AC314</f>
        <v>445520.308464</v>
      </c>
      <c r="O305" s="9"/>
      <c r="P305" s="1"/>
      <c r="Q305" s="1"/>
      <c r="R305" s="1"/>
      <c r="S305" s="1"/>
      <c r="T305" s="1"/>
      <c r="U305" s="1"/>
      <c r="V305" s="9"/>
      <c r="W305" s="3"/>
      <c r="X305" s="4"/>
      <c r="Y305" s="1"/>
      <c r="Z305" s="1"/>
      <c r="AA305" s="1"/>
      <c r="AB305" s="1"/>
      <c r="AC305" s="1"/>
      <c r="AD305" s="3"/>
      <c r="AE305" s="3"/>
      <c r="AF305" s="5"/>
      <c r="AG305" s="5"/>
      <c r="AH305" s="5"/>
      <c r="AI305" s="5"/>
      <c r="AJ305" s="6"/>
      <c r="AK305" s="6"/>
      <c r="AL305" s="12"/>
      <c r="AM305" s="12"/>
      <c r="AN305" s="12"/>
      <c r="AO305" s="12"/>
      <c r="AP305" s="12"/>
    </row>
    <row r="306" spans="1:42" ht="15" x14ac:dyDescent="0.25">
      <c r="A306" s="82" t="str">
        <f>TDCTRIBE!I315</f>
        <v>Eastern/Woodlands</v>
      </c>
      <c r="B306" s="82" t="str">
        <f>TDCTRIBE!B315</f>
        <v>VA</v>
      </c>
      <c r="C306" s="82" t="str">
        <f>TDCTRIBE!F315</f>
        <v>Upper Mattaponi Tribe</v>
      </c>
      <c r="D306" s="83">
        <f>TDCTRIBE!Y315</f>
        <v>299503.39286000002</v>
      </c>
      <c r="E306" s="83">
        <f>TDCTRIBE!Z315</f>
        <v>331705.56248200004</v>
      </c>
      <c r="F306" s="83">
        <f>TDCTRIBE!AA315</f>
        <v>382853.08945800003</v>
      </c>
      <c r="G306" s="83">
        <f>TDCTRIBE!AB315</f>
        <v>413176.96369600005</v>
      </c>
      <c r="H306" s="83">
        <f>TDCTRIBE!AC315</f>
        <v>445520.308464</v>
      </c>
      <c r="O306" s="9"/>
      <c r="P306" s="1"/>
      <c r="Q306" s="1"/>
      <c r="R306" s="1"/>
      <c r="S306" s="1"/>
      <c r="T306" s="1"/>
      <c r="U306" s="1"/>
      <c r="V306" s="9"/>
      <c r="W306" s="3"/>
      <c r="X306" s="4"/>
      <c r="Y306" s="1"/>
      <c r="Z306" s="1"/>
      <c r="AA306" s="1"/>
      <c r="AB306" s="1"/>
      <c r="AC306" s="1"/>
      <c r="AD306" s="3"/>
      <c r="AE306" s="3"/>
      <c r="AF306" s="5"/>
      <c r="AG306" s="5"/>
      <c r="AH306" s="5"/>
      <c r="AI306" s="5"/>
      <c r="AJ306" s="6"/>
      <c r="AK306" s="6"/>
      <c r="AL306" s="12"/>
      <c r="AM306" s="12"/>
      <c r="AN306" s="12"/>
      <c r="AO306" s="12"/>
      <c r="AP306" s="12"/>
    </row>
    <row r="307" spans="1:42" ht="15" x14ac:dyDescent="0.25">
      <c r="A307" s="82" t="str">
        <f>TDCTRIBE!I316</f>
        <v>Eastern/Woodlands</v>
      </c>
      <c r="B307" s="82" t="str">
        <f>TDCTRIBE!B316</f>
        <v>VA</v>
      </c>
      <c r="C307" s="82" t="str">
        <f>TDCTRIBE!F316</f>
        <v>Pamunkey</v>
      </c>
      <c r="D307" s="83">
        <f>TDCTRIBE!Y316</f>
        <v>299503.39286000002</v>
      </c>
      <c r="E307" s="83">
        <f>TDCTRIBE!Z316</f>
        <v>331705.56248200004</v>
      </c>
      <c r="F307" s="83">
        <f>TDCTRIBE!AA316</f>
        <v>382853.08945800003</v>
      </c>
      <c r="G307" s="83">
        <f>TDCTRIBE!AB316</f>
        <v>413176.96369600005</v>
      </c>
      <c r="H307" s="83">
        <f>TDCTRIBE!AC316</f>
        <v>445520.308464</v>
      </c>
      <c r="O307" s="9"/>
      <c r="P307" s="1"/>
      <c r="Q307" s="1"/>
      <c r="R307" s="1"/>
      <c r="S307" s="1"/>
      <c r="T307" s="1"/>
      <c r="U307" s="1"/>
      <c r="V307" s="9"/>
      <c r="W307" s="3"/>
      <c r="X307" s="4"/>
      <c r="Y307" s="1"/>
      <c r="Z307" s="1"/>
      <c r="AA307" s="1"/>
      <c r="AB307" s="1"/>
      <c r="AC307" s="1"/>
      <c r="AD307" s="3"/>
      <c r="AE307" s="3"/>
      <c r="AF307" s="5"/>
      <c r="AG307" s="5"/>
      <c r="AH307" s="5"/>
      <c r="AI307" s="5"/>
      <c r="AJ307" s="6"/>
      <c r="AK307" s="6"/>
      <c r="AL307" s="12"/>
      <c r="AM307" s="12"/>
      <c r="AN307" s="12"/>
      <c r="AO307" s="12"/>
      <c r="AP307" s="12"/>
    </row>
    <row r="308" spans="1:42" ht="15" x14ac:dyDescent="0.25">
      <c r="A308" s="82" t="str">
        <f>TDCTRIBE!I317</f>
        <v>Eastern/Woodlands</v>
      </c>
      <c r="B308" s="82" t="str">
        <f>TDCTRIBE!B317</f>
        <v>VA</v>
      </c>
      <c r="C308" s="82" t="str">
        <f>TDCTRIBE!F317</f>
        <v>Rappahonock Tribe</v>
      </c>
      <c r="D308" s="83">
        <f>TDCTRIBE!Y317</f>
        <v>299503.39286000002</v>
      </c>
      <c r="E308" s="83">
        <f>TDCTRIBE!Z317</f>
        <v>331705.56248200004</v>
      </c>
      <c r="F308" s="83">
        <f>TDCTRIBE!AA317</f>
        <v>382853.08945800003</v>
      </c>
      <c r="G308" s="83">
        <f>TDCTRIBE!AB317</f>
        <v>413176.96369600005</v>
      </c>
      <c r="H308" s="83">
        <f>TDCTRIBE!AC317</f>
        <v>445520.308464</v>
      </c>
      <c r="O308" s="9"/>
      <c r="P308" s="1"/>
      <c r="Q308" s="1"/>
      <c r="R308" s="1"/>
      <c r="S308" s="1"/>
      <c r="T308" s="1"/>
      <c r="U308" s="1"/>
      <c r="V308" s="9"/>
      <c r="W308" s="3"/>
      <c r="X308" s="4"/>
      <c r="Y308" s="1"/>
      <c r="Z308" s="1"/>
      <c r="AA308" s="1"/>
      <c r="AB308" s="1"/>
      <c r="AC308" s="1"/>
      <c r="AD308" s="3"/>
      <c r="AE308" s="3"/>
      <c r="AF308" s="5"/>
      <c r="AG308" s="5"/>
      <c r="AH308" s="5"/>
      <c r="AI308" s="5"/>
      <c r="AJ308" s="6"/>
      <c r="AK308" s="6"/>
      <c r="AL308" s="12"/>
      <c r="AM308" s="12"/>
      <c r="AN308" s="12"/>
      <c r="AO308" s="12"/>
      <c r="AP308" s="12"/>
    </row>
    <row r="309" spans="1:42" ht="15" x14ac:dyDescent="0.25">
      <c r="A309" s="82" t="str">
        <f>TDCTRIBE!I318</f>
        <v>Eastern/Woodlands</v>
      </c>
      <c r="B309" s="82" t="str">
        <f>TDCTRIBE!B318</f>
        <v>WI</v>
      </c>
      <c r="C309" s="82" t="str">
        <f>TDCTRIBE!F318</f>
        <v>Bad River Band</v>
      </c>
      <c r="D309" s="83">
        <f>TDCTRIBE!Y318</f>
        <v>317737.01767500001</v>
      </c>
      <c r="E309" s="83">
        <f>TDCTRIBE!Z318</f>
        <v>351166.85383499996</v>
      </c>
      <c r="F309" s="83">
        <f>TDCTRIBE!AA318</f>
        <v>394018.27337250003</v>
      </c>
      <c r="G309" s="83">
        <f>TDCTRIBE!AB318</f>
        <v>426817.12909499998</v>
      </c>
      <c r="H309" s="83">
        <f>TDCTRIBE!AC318</f>
        <v>460124.81035499997</v>
      </c>
      <c r="O309" s="9"/>
      <c r="P309" s="1"/>
      <c r="Q309" s="1"/>
      <c r="R309" s="1"/>
      <c r="S309" s="1"/>
      <c r="T309" s="1"/>
      <c r="U309" s="1"/>
      <c r="V309" s="9"/>
      <c r="W309" s="3"/>
      <c r="X309" s="4"/>
      <c r="Y309" s="1"/>
      <c r="Z309" s="1"/>
      <c r="AA309" s="1"/>
      <c r="AB309" s="1"/>
      <c r="AC309" s="1"/>
      <c r="AD309" s="3"/>
      <c r="AE309" s="3"/>
      <c r="AF309" s="5"/>
      <c r="AG309" s="5"/>
      <c r="AH309" s="5"/>
      <c r="AI309" s="5"/>
      <c r="AJ309" s="6"/>
      <c r="AK309" s="6"/>
      <c r="AL309" s="12"/>
      <c r="AM309" s="12"/>
      <c r="AN309" s="12"/>
      <c r="AO309" s="12"/>
      <c r="AP309" s="12"/>
    </row>
    <row r="310" spans="1:42" ht="15" x14ac:dyDescent="0.25">
      <c r="A310" s="82" t="str">
        <f>TDCTRIBE!I319</f>
        <v>Eastern/Woodlands</v>
      </c>
      <c r="B310" s="82" t="str">
        <f>TDCTRIBE!B319</f>
        <v>WI</v>
      </c>
      <c r="C310" s="82" t="str">
        <f>TDCTRIBE!F319</f>
        <v>Forest County Potawatami</v>
      </c>
      <c r="D310" s="83">
        <f>TDCTRIBE!Y319</f>
        <v>316061.05492499995</v>
      </c>
      <c r="E310" s="83">
        <f>TDCTRIBE!Z319</f>
        <v>349341.11803499999</v>
      </c>
      <c r="F310" s="83">
        <f>TDCTRIBE!AA319</f>
        <v>391987.91427250003</v>
      </c>
      <c r="G310" s="83">
        <f>TDCTRIBE!AB319</f>
        <v>424639.10114499996</v>
      </c>
      <c r="H310" s="83">
        <f>TDCTRIBE!AC319</f>
        <v>457780.55130500003</v>
      </c>
      <c r="O310" s="9"/>
      <c r="P310" s="1"/>
      <c r="Q310" s="1"/>
      <c r="R310" s="1"/>
      <c r="S310" s="1"/>
      <c r="T310" s="1"/>
      <c r="U310" s="1"/>
      <c r="V310" s="9"/>
      <c r="W310" s="3"/>
      <c r="X310" s="4"/>
      <c r="Y310" s="1"/>
      <c r="Z310" s="1"/>
      <c r="AA310" s="1"/>
      <c r="AB310" s="1"/>
      <c r="AC310" s="1"/>
      <c r="AD310" s="3"/>
      <c r="AE310" s="3"/>
      <c r="AF310" s="5"/>
      <c r="AG310" s="5"/>
      <c r="AH310" s="5"/>
      <c r="AI310" s="5"/>
      <c r="AJ310" s="6"/>
      <c r="AK310" s="6"/>
      <c r="AL310" s="12"/>
      <c r="AM310" s="12"/>
      <c r="AN310" s="12"/>
      <c r="AO310" s="12"/>
      <c r="AP310" s="12"/>
    </row>
    <row r="311" spans="1:42" ht="15" x14ac:dyDescent="0.25">
      <c r="A311" s="82" t="str">
        <f>TDCTRIBE!I320</f>
        <v>Eastern/Woodlands</v>
      </c>
      <c r="B311" s="82" t="str">
        <f>TDCTRIBE!B320</f>
        <v>WI</v>
      </c>
      <c r="C311" s="82" t="str">
        <f>TDCTRIBE!F320</f>
        <v>Ho-Chunk Nation</v>
      </c>
      <c r="D311" s="83">
        <f>TDCTRIBE!Y320</f>
        <v>317554.81296000001</v>
      </c>
      <c r="E311" s="83">
        <f>TDCTRIBE!Z320</f>
        <v>351016.32010199997</v>
      </c>
      <c r="F311" s="83">
        <f>TDCTRIBE!AA320</f>
        <v>393884.14093700005</v>
      </c>
      <c r="G311" s="83">
        <f>TDCTRIBE!AB320</f>
        <v>426712.68634399999</v>
      </c>
      <c r="H311" s="83">
        <f>TDCTRIBE!AC320</f>
        <v>460019.36979600007</v>
      </c>
      <c r="O311" s="9"/>
      <c r="P311" s="1"/>
      <c r="Q311" s="1"/>
      <c r="R311" s="1"/>
      <c r="S311" s="1"/>
      <c r="T311" s="1"/>
      <c r="U311" s="1"/>
      <c r="V311" s="9"/>
      <c r="W311" s="3"/>
      <c r="X311" s="4"/>
      <c r="Y311" s="1"/>
      <c r="Z311" s="1"/>
      <c r="AA311" s="1"/>
      <c r="AB311" s="1"/>
      <c r="AC311" s="1"/>
      <c r="AD311" s="3"/>
      <c r="AE311" s="3"/>
      <c r="AF311" s="5"/>
      <c r="AG311" s="5"/>
      <c r="AH311" s="5"/>
      <c r="AI311" s="5"/>
      <c r="AJ311" s="6"/>
      <c r="AK311" s="6"/>
      <c r="AL311" s="12"/>
      <c r="AM311" s="12"/>
      <c r="AN311" s="12"/>
      <c r="AO311" s="12"/>
      <c r="AP311" s="12"/>
    </row>
    <row r="312" spans="1:42" ht="15" x14ac:dyDescent="0.25">
      <c r="A312" s="82" t="str">
        <f>TDCTRIBE!I321</f>
        <v>Eastern/Woodlands</v>
      </c>
      <c r="B312" s="82" t="str">
        <f>TDCTRIBE!B321</f>
        <v>WI</v>
      </c>
      <c r="C312" s="82" t="str">
        <f>TDCTRIBE!F321</f>
        <v>Lac Courte Oreilles</v>
      </c>
      <c r="D312" s="83">
        <f>TDCTRIBE!Y321</f>
        <v>317737.01767500001</v>
      </c>
      <c r="E312" s="83">
        <f>TDCTRIBE!Z321</f>
        <v>351166.85383499996</v>
      </c>
      <c r="F312" s="83">
        <f>TDCTRIBE!AA321</f>
        <v>394018.27337250003</v>
      </c>
      <c r="G312" s="83">
        <f>TDCTRIBE!AB321</f>
        <v>426817.12909499998</v>
      </c>
      <c r="H312" s="83">
        <f>TDCTRIBE!AC321</f>
        <v>460124.81035499997</v>
      </c>
      <c r="O312" s="9"/>
      <c r="P312" s="1"/>
      <c r="Q312" s="1"/>
      <c r="R312" s="1"/>
      <c r="S312" s="1"/>
      <c r="T312" s="1"/>
      <c r="U312" s="1"/>
      <c r="V312" s="9"/>
      <c r="W312" s="3"/>
      <c r="X312" s="4"/>
      <c r="Y312" s="7"/>
      <c r="Z312" s="1"/>
      <c r="AA312" s="1"/>
      <c r="AB312" s="1"/>
      <c r="AC312" s="1"/>
      <c r="AD312" s="3"/>
      <c r="AE312" s="3"/>
      <c r="AF312" s="5"/>
      <c r="AG312" s="5"/>
      <c r="AH312" s="5"/>
      <c r="AI312" s="5"/>
      <c r="AJ312" s="6"/>
      <c r="AK312" s="6"/>
      <c r="AL312" s="12"/>
      <c r="AM312" s="12"/>
      <c r="AN312" s="12"/>
      <c r="AO312" s="12"/>
      <c r="AP312" s="12"/>
    </row>
    <row r="313" spans="1:42" ht="15" x14ac:dyDescent="0.25">
      <c r="A313" s="82" t="str">
        <f>TDCTRIBE!I322</f>
        <v>Eastern/Woodlands</v>
      </c>
      <c r="B313" s="82" t="str">
        <f>TDCTRIBE!B322</f>
        <v>WI</v>
      </c>
      <c r="C313" s="82" t="str">
        <f>TDCTRIBE!F322</f>
        <v>Lac Du Flambeau Band</v>
      </c>
      <c r="D313" s="83">
        <f>TDCTRIBE!Y322</f>
        <v>316061.05492499995</v>
      </c>
      <c r="E313" s="83">
        <f>TDCTRIBE!Z322</f>
        <v>349341.11803499999</v>
      </c>
      <c r="F313" s="83">
        <f>TDCTRIBE!AA322</f>
        <v>391987.91427250003</v>
      </c>
      <c r="G313" s="83">
        <f>TDCTRIBE!AB322</f>
        <v>424639.10114499996</v>
      </c>
      <c r="H313" s="83">
        <f>TDCTRIBE!AC322</f>
        <v>457780.55130500003</v>
      </c>
      <c r="O313" s="9"/>
      <c r="P313" s="1"/>
      <c r="Q313" s="1"/>
      <c r="R313" s="1"/>
      <c r="S313" s="1"/>
      <c r="T313" s="1"/>
      <c r="U313" s="1"/>
      <c r="V313" s="9"/>
      <c r="W313" s="3"/>
      <c r="X313" s="4"/>
      <c r="Y313" s="7"/>
      <c r="Z313" s="1"/>
      <c r="AA313" s="1"/>
      <c r="AB313" s="1"/>
      <c r="AC313" s="1"/>
      <c r="AD313" s="3"/>
      <c r="AE313" s="3"/>
      <c r="AF313" s="5"/>
      <c r="AG313" s="5"/>
      <c r="AH313" s="5"/>
      <c r="AI313" s="5"/>
      <c r="AJ313" s="6"/>
      <c r="AK313" s="6"/>
      <c r="AL313" s="12"/>
      <c r="AM313" s="12"/>
      <c r="AN313" s="12"/>
      <c r="AO313" s="12"/>
      <c r="AP313" s="12"/>
    </row>
    <row r="314" spans="1:42" ht="15" x14ac:dyDescent="0.25">
      <c r="A314" s="82" t="str">
        <f>TDCTRIBE!I323</f>
        <v>Eastern/Woodlands</v>
      </c>
      <c r="B314" s="82" t="str">
        <f>TDCTRIBE!B323</f>
        <v>WI</v>
      </c>
      <c r="C314" s="82" t="str">
        <f>TDCTRIBE!F323</f>
        <v>Menominee Indian Tribe</v>
      </c>
      <c r="D314" s="83">
        <f>TDCTRIBE!Y323</f>
        <v>327792.79417500005</v>
      </c>
      <c r="E314" s="83">
        <f>TDCTRIBE!Z323</f>
        <v>362121.26863499999</v>
      </c>
      <c r="F314" s="83">
        <f>TDCTRIBE!AA323</f>
        <v>406200.4279725001</v>
      </c>
      <c r="G314" s="83">
        <f>TDCTRIBE!AB323</f>
        <v>439885.29679499997</v>
      </c>
      <c r="H314" s="83">
        <f>TDCTRIBE!AC323</f>
        <v>474190.36465500004</v>
      </c>
      <c r="O314" s="9"/>
      <c r="P314" s="1"/>
      <c r="Q314" s="1"/>
      <c r="R314" s="1"/>
      <c r="S314" s="1"/>
      <c r="T314" s="1"/>
      <c r="U314" s="1"/>
      <c r="V314" s="9"/>
      <c r="W314" s="3"/>
      <c r="X314" s="4"/>
      <c r="Y314" s="1"/>
      <c r="Z314" s="1"/>
      <c r="AA314" s="1"/>
      <c r="AB314" s="1"/>
      <c r="AC314" s="1"/>
      <c r="AD314" s="3"/>
      <c r="AE314" s="3"/>
      <c r="AF314" s="5"/>
      <c r="AG314" s="5"/>
      <c r="AH314" s="5"/>
      <c r="AI314" s="5"/>
      <c r="AJ314" s="6"/>
      <c r="AK314" s="6"/>
      <c r="AL314" s="12"/>
      <c r="AM314" s="12"/>
      <c r="AN314" s="12"/>
      <c r="AO314" s="12"/>
      <c r="AP314" s="12"/>
    </row>
    <row r="315" spans="1:42" ht="15" x14ac:dyDescent="0.25">
      <c r="A315" s="82" t="str">
        <f>TDCTRIBE!I324</f>
        <v>Eastern/Woodlands</v>
      </c>
      <c r="B315" s="82" t="str">
        <f>TDCTRIBE!B324</f>
        <v>WI</v>
      </c>
      <c r="C315" s="82" t="str">
        <f>TDCTRIBE!F324</f>
        <v>Oneida Tribe</v>
      </c>
      <c r="D315" s="83">
        <f>TDCTRIBE!Y324</f>
        <v>327792.79417500005</v>
      </c>
      <c r="E315" s="83">
        <f>TDCTRIBE!Z324</f>
        <v>362121.26863499999</v>
      </c>
      <c r="F315" s="83">
        <f>TDCTRIBE!AA324</f>
        <v>406200.4279725001</v>
      </c>
      <c r="G315" s="83">
        <f>TDCTRIBE!AB324</f>
        <v>439885.29679499997</v>
      </c>
      <c r="H315" s="83">
        <f>TDCTRIBE!AC324</f>
        <v>474190.36465500004</v>
      </c>
      <c r="O315" s="9"/>
      <c r="P315" s="1"/>
      <c r="Q315" s="1"/>
      <c r="R315" s="1"/>
      <c r="S315" s="1"/>
      <c r="T315" s="1"/>
      <c r="U315" s="1"/>
      <c r="V315" s="9"/>
      <c r="W315" s="3"/>
      <c r="X315" s="4"/>
      <c r="Y315" s="1"/>
      <c r="Z315" s="1"/>
      <c r="AA315" s="1"/>
      <c r="AB315" s="1"/>
      <c r="AC315" s="1"/>
      <c r="AD315" s="3"/>
      <c r="AE315" s="3"/>
      <c r="AF315" s="5"/>
      <c r="AG315" s="5"/>
      <c r="AH315" s="5"/>
      <c r="AI315" s="5"/>
      <c r="AJ315" s="6"/>
      <c r="AK315" s="6"/>
      <c r="AL315" s="12"/>
      <c r="AM315" s="12"/>
      <c r="AN315" s="12"/>
      <c r="AO315" s="12"/>
      <c r="AP315" s="12"/>
    </row>
    <row r="316" spans="1:42" ht="15" x14ac:dyDescent="0.25">
      <c r="A316" s="82" t="str">
        <f>TDCTRIBE!I325</f>
        <v>Eastern/Woodlands</v>
      </c>
      <c r="B316" s="82" t="str">
        <f>TDCTRIBE!B325</f>
        <v>WI</v>
      </c>
      <c r="C316" s="82" t="str">
        <f>TDCTRIBE!F325</f>
        <v>Red Cliff Band of Lake Superior Chippewa</v>
      </c>
      <c r="D316" s="83">
        <f>TDCTRIBE!Y325</f>
        <v>317737.01767500001</v>
      </c>
      <c r="E316" s="83">
        <f>TDCTRIBE!Z325</f>
        <v>351166.85383499996</v>
      </c>
      <c r="F316" s="83">
        <f>TDCTRIBE!AA325</f>
        <v>394018.27337250003</v>
      </c>
      <c r="G316" s="83">
        <f>TDCTRIBE!AB325</f>
        <v>426817.12909499998</v>
      </c>
      <c r="H316" s="83">
        <f>TDCTRIBE!AC325</f>
        <v>460124.81035499997</v>
      </c>
      <c r="O316" s="9"/>
      <c r="P316" s="1"/>
      <c r="Q316" s="1"/>
      <c r="R316" s="1"/>
      <c r="S316" s="1"/>
      <c r="T316" s="1"/>
      <c r="U316" s="1"/>
      <c r="V316" s="9"/>
      <c r="W316" s="3"/>
      <c r="X316" s="4"/>
      <c r="Y316" s="1"/>
      <c r="Z316" s="1"/>
      <c r="AA316" s="1"/>
      <c r="AB316" s="1"/>
      <c r="AC316" s="1"/>
      <c r="AD316" s="3"/>
      <c r="AE316" s="3"/>
      <c r="AF316" s="5"/>
      <c r="AG316" s="5"/>
      <c r="AH316" s="5"/>
      <c r="AI316" s="5"/>
      <c r="AJ316" s="6"/>
      <c r="AK316" s="6"/>
      <c r="AL316" s="12"/>
      <c r="AM316" s="12"/>
      <c r="AN316" s="12"/>
      <c r="AO316" s="12"/>
      <c r="AP316" s="12"/>
    </row>
    <row r="317" spans="1:42" ht="15" x14ac:dyDescent="0.25">
      <c r="A317" s="82" t="str">
        <f>TDCTRIBE!I326</f>
        <v>Eastern/Woodlands</v>
      </c>
      <c r="B317" s="82" t="str">
        <f>TDCTRIBE!B326</f>
        <v>WI</v>
      </c>
      <c r="C317" s="82" t="str">
        <f>TDCTRIBE!F326</f>
        <v>Saint Croix Chippewa</v>
      </c>
      <c r="D317" s="83">
        <f>TDCTRIBE!Y326</f>
        <v>317737.01767500001</v>
      </c>
      <c r="E317" s="83">
        <f>TDCTRIBE!Z326</f>
        <v>351166.85383499996</v>
      </c>
      <c r="F317" s="83">
        <f>TDCTRIBE!AA326</f>
        <v>394018.27337250003</v>
      </c>
      <c r="G317" s="83">
        <f>TDCTRIBE!AB326</f>
        <v>426817.12909499998</v>
      </c>
      <c r="H317" s="83">
        <f>TDCTRIBE!AC326</f>
        <v>460124.81035499997</v>
      </c>
      <c r="O317" s="9"/>
      <c r="P317" s="1"/>
      <c r="Q317" s="1"/>
      <c r="R317" s="1"/>
      <c r="S317" s="1"/>
      <c r="T317" s="1"/>
      <c r="U317" s="1"/>
      <c r="V317" s="9"/>
      <c r="W317" s="3"/>
      <c r="X317" s="4"/>
      <c r="Y317" s="1"/>
      <c r="Z317" s="1"/>
      <c r="AA317" s="1"/>
      <c r="AB317" s="1"/>
      <c r="AC317" s="1"/>
      <c r="AD317" s="3"/>
      <c r="AE317" s="3"/>
      <c r="AF317" s="5"/>
      <c r="AG317" s="5"/>
      <c r="AH317" s="5"/>
      <c r="AI317" s="5"/>
      <c r="AJ317" s="6"/>
      <c r="AK317" s="6"/>
      <c r="AL317" s="12"/>
      <c r="AM317" s="12"/>
      <c r="AN317" s="12"/>
      <c r="AO317" s="12"/>
      <c r="AP317" s="12"/>
    </row>
    <row r="318" spans="1:42" ht="15" x14ac:dyDescent="0.25">
      <c r="A318" s="82" t="str">
        <f>TDCTRIBE!I327</f>
        <v>Eastern/Woodlands</v>
      </c>
      <c r="B318" s="82" t="str">
        <f>TDCTRIBE!B327</f>
        <v>WI</v>
      </c>
      <c r="C318" s="82" t="str">
        <f>TDCTRIBE!F327</f>
        <v>Sokagoan Chippewa Tribe</v>
      </c>
      <c r="D318" s="83">
        <f>TDCTRIBE!Y327</f>
        <v>316061.05492499995</v>
      </c>
      <c r="E318" s="83">
        <f>TDCTRIBE!Z327</f>
        <v>349341.11803499999</v>
      </c>
      <c r="F318" s="83">
        <f>TDCTRIBE!AA327</f>
        <v>391987.91427250003</v>
      </c>
      <c r="G318" s="83">
        <f>TDCTRIBE!AB327</f>
        <v>424639.10114499996</v>
      </c>
      <c r="H318" s="83">
        <f>TDCTRIBE!AC327</f>
        <v>457780.55130500003</v>
      </c>
      <c r="O318" s="9"/>
      <c r="P318" s="1"/>
      <c r="Q318" s="1"/>
      <c r="R318" s="1"/>
      <c r="S318" s="1"/>
      <c r="T318" s="1"/>
      <c r="U318" s="1"/>
      <c r="V318" s="9"/>
      <c r="W318" s="3"/>
      <c r="X318" s="4"/>
      <c r="Y318" s="1"/>
      <c r="Z318" s="1"/>
      <c r="AA318" s="1"/>
      <c r="AB318" s="1"/>
      <c r="AC318" s="1"/>
      <c r="AD318" s="3"/>
      <c r="AE318" s="3"/>
      <c r="AF318" s="5"/>
      <c r="AG318" s="5"/>
      <c r="AH318" s="5"/>
      <c r="AI318" s="5"/>
      <c r="AJ318" s="6"/>
      <c r="AK318" s="6"/>
      <c r="AL318" s="12"/>
      <c r="AM318" s="12"/>
      <c r="AN318" s="12"/>
      <c r="AO318" s="12"/>
      <c r="AP318" s="12"/>
    </row>
    <row r="319" spans="1:42" ht="15" x14ac:dyDescent="0.25">
      <c r="A319" s="82" t="str">
        <f>TDCTRIBE!I328</f>
        <v>Eastern/Woodlands</v>
      </c>
      <c r="B319" s="82" t="str">
        <f>TDCTRIBE!B328</f>
        <v>WI</v>
      </c>
      <c r="C319" s="82" t="str">
        <f>TDCTRIBE!F328</f>
        <v>Stockbridge-Munsee Tribe</v>
      </c>
      <c r="D319" s="83">
        <f>TDCTRIBE!Y328</f>
        <v>319412.98042500002</v>
      </c>
      <c r="E319" s="83">
        <f>TDCTRIBE!Z328</f>
        <v>352992.58963499998</v>
      </c>
      <c r="F319" s="83">
        <f>TDCTRIBE!AA328</f>
        <v>400153.8654575001</v>
      </c>
      <c r="G319" s="83">
        <f>TDCTRIBE!AB328</f>
        <v>433484.36211500003</v>
      </c>
      <c r="H319" s="83">
        <f>TDCTRIBE!AC328</f>
        <v>467315.99603499996</v>
      </c>
      <c r="O319" s="9"/>
      <c r="P319" s="1"/>
      <c r="Q319" s="1"/>
      <c r="R319" s="1"/>
      <c r="S319" s="1"/>
      <c r="T319" s="1"/>
      <c r="U319" s="1"/>
      <c r="V319" s="9"/>
      <c r="W319" s="3"/>
      <c r="X319" s="4"/>
      <c r="Y319" s="1"/>
      <c r="Z319" s="1"/>
      <c r="AA319" s="1"/>
      <c r="AB319" s="1"/>
      <c r="AC319" s="1"/>
      <c r="AD319" s="3"/>
      <c r="AE319" s="3"/>
      <c r="AF319" s="5"/>
      <c r="AG319" s="5"/>
      <c r="AH319" s="5"/>
      <c r="AI319" s="5"/>
      <c r="AJ319" s="6"/>
      <c r="AK319" s="6"/>
      <c r="AL319" s="12"/>
      <c r="AM319" s="12"/>
      <c r="AN319" s="12"/>
      <c r="AO319" s="12"/>
      <c r="AP319" s="12"/>
    </row>
    <row r="320" spans="1:42" ht="15" x14ac:dyDescent="0.25">
      <c r="A320" s="82" t="str">
        <f>TDCTRIBE!I329</f>
        <v>Northern Plains</v>
      </c>
      <c r="B320" s="82" t="str">
        <f>TDCTRIBE!B329</f>
        <v>CO</v>
      </c>
      <c r="C320" s="82" t="str">
        <f>TDCTRIBE!F329</f>
        <v>Southern Ute Tribe</v>
      </c>
      <c r="D320" s="83">
        <f>TDCTRIBE!Y329</f>
        <v>275219.09415000002</v>
      </c>
      <c r="E320" s="83">
        <f>TDCTRIBE!Z329</f>
        <v>304129.99323000002</v>
      </c>
      <c r="F320" s="83">
        <f>TDCTRIBE!AA329</f>
        <v>344729.33533500001</v>
      </c>
      <c r="G320" s="83">
        <f>TDCTRIBE!AB329</f>
        <v>373424.90577000001</v>
      </c>
      <c r="H320" s="83">
        <f>TDCTRIBE!AC329</f>
        <v>402565.93293000001</v>
      </c>
      <c r="O320" s="9"/>
      <c r="P320" s="1"/>
      <c r="Q320" s="1"/>
      <c r="R320" s="1"/>
      <c r="S320" s="1"/>
      <c r="T320" s="1"/>
      <c r="U320" s="1"/>
      <c r="V320" s="9"/>
      <c r="W320" s="3"/>
      <c r="X320" s="4"/>
      <c r="Y320" s="1"/>
      <c r="Z320" s="1"/>
      <c r="AA320" s="1"/>
      <c r="AB320" s="1"/>
      <c r="AC320" s="1"/>
      <c r="AD320" s="3"/>
      <c r="AE320" s="3"/>
      <c r="AF320" s="5"/>
      <c r="AG320" s="5"/>
      <c r="AH320" s="5"/>
      <c r="AI320" s="5"/>
      <c r="AJ320" s="6"/>
      <c r="AK320" s="6"/>
      <c r="AL320" s="12"/>
      <c r="AM320" s="12"/>
      <c r="AN320" s="12"/>
      <c r="AO320" s="12"/>
      <c r="AP320" s="12"/>
    </row>
    <row r="321" spans="1:42" ht="15" x14ac:dyDescent="0.25">
      <c r="A321" s="82" t="str">
        <f>TDCTRIBE!I330</f>
        <v>Northern Plains</v>
      </c>
      <c r="B321" s="82" t="str">
        <f>TDCTRIBE!B330</f>
        <v>CO</v>
      </c>
      <c r="C321" s="82" t="str">
        <f>TDCTRIBE!F330</f>
        <v>Ute Mountain Tribe</v>
      </c>
      <c r="D321" s="83">
        <f>TDCTRIBE!Y330</f>
        <v>280246.98240000004</v>
      </c>
      <c r="E321" s="83">
        <f>TDCTRIBE!Z330</f>
        <v>309607.20062999998</v>
      </c>
      <c r="F321" s="83">
        <f>TDCTRIBE!AA330</f>
        <v>350820.41263500002</v>
      </c>
      <c r="G321" s="83">
        <f>TDCTRIBE!AB330</f>
        <v>379958.98962000001</v>
      </c>
      <c r="H321" s="83">
        <f>TDCTRIBE!AC330</f>
        <v>409598.71007999999</v>
      </c>
      <c r="O321" s="9"/>
      <c r="P321" s="1"/>
      <c r="Q321" s="1"/>
      <c r="R321" s="1"/>
      <c r="S321" s="1"/>
      <c r="T321" s="1"/>
      <c r="U321" s="1"/>
      <c r="V321" s="9"/>
      <c r="W321" s="3"/>
      <c r="X321" s="4"/>
      <c r="Y321" s="1"/>
      <c r="Z321" s="1"/>
      <c r="AA321" s="1"/>
      <c r="AB321" s="1"/>
      <c r="AC321" s="1"/>
      <c r="AD321" s="3"/>
      <c r="AE321" s="3"/>
      <c r="AF321" s="5"/>
      <c r="AG321" s="5"/>
      <c r="AH321" s="5"/>
      <c r="AI321" s="5"/>
      <c r="AJ321" s="6"/>
      <c r="AK321" s="6"/>
      <c r="AL321" s="12"/>
      <c r="AM321" s="12"/>
      <c r="AN321" s="12"/>
      <c r="AO321" s="12"/>
      <c r="AP321" s="12"/>
    </row>
    <row r="322" spans="1:42" ht="15" x14ac:dyDescent="0.25">
      <c r="A322" s="82" t="str">
        <f>TDCTRIBE!I331</f>
        <v>Northern Plains</v>
      </c>
      <c r="B322" s="82" t="str">
        <f>TDCTRIBE!B331</f>
        <v>MT</v>
      </c>
      <c r="C322" s="82" t="str">
        <f>TDCTRIBE!F331</f>
        <v>Blackfeet Tribe</v>
      </c>
      <c r="D322" s="83">
        <f>TDCTRIBE!Y331</f>
        <v>284910.46122</v>
      </c>
      <c r="E322" s="83">
        <f>TDCTRIBE!Z331</f>
        <v>314783.34056399995</v>
      </c>
      <c r="F322" s="83">
        <f>TDCTRIBE!AA331</f>
        <v>356721.41997799999</v>
      </c>
      <c r="G322" s="83">
        <f>TDCTRIBE!AB331</f>
        <v>386369.69663600001</v>
      </c>
      <c r="H322" s="83">
        <f>TDCTRIBE!AC331</f>
        <v>416512.92852399999</v>
      </c>
      <c r="O322" s="9"/>
      <c r="P322" s="1"/>
      <c r="Q322" s="1"/>
      <c r="R322" s="1"/>
      <c r="S322" s="1"/>
      <c r="T322" s="1"/>
      <c r="U322" s="1"/>
      <c r="V322" s="9"/>
      <c r="W322" s="3"/>
      <c r="X322" s="4"/>
      <c r="Y322" s="1"/>
      <c r="Z322" s="1"/>
      <c r="AA322" s="1"/>
      <c r="AB322" s="1"/>
      <c r="AC322" s="1"/>
      <c r="AD322" s="3"/>
      <c r="AE322" s="3"/>
      <c r="AF322" s="5"/>
      <c r="AG322" s="5"/>
      <c r="AH322" s="5"/>
      <c r="AI322" s="5"/>
      <c r="AJ322" s="6"/>
      <c r="AK322" s="6"/>
      <c r="AL322" s="12"/>
      <c r="AM322" s="12"/>
      <c r="AN322" s="12"/>
      <c r="AO322" s="12"/>
      <c r="AP322" s="12"/>
    </row>
    <row r="323" spans="1:42" ht="15" x14ac:dyDescent="0.25">
      <c r="A323" s="82" t="str">
        <f>TDCTRIBE!I332</f>
        <v>Northern Plains</v>
      </c>
      <c r="B323" s="82" t="str">
        <f>TDCTRIBE!B332</f>
        <v>MT</v>
      </c>
      <c r="C323" s="82" t="str">
        <f>TDCTRIBE!F332</f>
        <v>Crow Tribe</v>
      </c>
      <c r="D323" s="83">
        <f>TDCTRIBE!Y332</f>
        <v>292379.25139500003</v>
      </c>
      <c r="E323" s="83">
        <f>TDCTRIBE!Z332</f>
        <v>323159.35089900001</v>
      </c>
      <c r="F323" s="83">
        <f>TDCTRIBE!AA332</f>
        <v>366398.04058549996</v>
      </c>
      <c r="G323" s="83">
        <f>TDCTRIBE!AB332</f>
        <v>396951.39430099999</v>
      </c>
      <c r="H323" s="83">
        <f>TDCTRIBE!AC332</f>
        <v>427937.82700899994</v>
      </c>
      <c r="O323" s="9"/>
      <c r="P323" s="1"/>
      <c r="Q323" s="1"/>
      <c r="R323" s="1"/>
      <c r="S323" s="1"/>
      <c r="T323" s="1"/>
      <c r="U323" s="1"/>
      <c r="V323" s="9"/>
      <c r="W323" s="3"/>
      <c r="X323" s="4"/>
      <c r="Y323" s="1"/>
      <c r="Z323" s="1"/>
      <c r="AA323" s="1"/>
      <c r="AB323" s="1"/>
      <c r="AC323" s="1"/>
      <c r="AD323" s="3"/>
      <c r="AE323" s="3"/>
      <c r="AF323" s="5"/>
      <c r="AG323" s="5"/>
      <c r="AH323" s="5"/>
      <c r="AI323" s="5"/>
      <c r="AJ323" s="6"/>
      <c r="AK323" s="6"/>
      <c r="AL323" s="12"/>
      <c r="AM323" s="12"/>
      <c r="AN323" s="12"/>
      <c r="AO323" s="12"/>
      <c r="AP323" s="12"/>
    </row>
    <row r="324" spans="1:42" ht="15" x14ac:dyDescent="0.25">
      <c r="A324" s="82" t="str">
        <f>TDCTRIBE!I333</f>
        <v>Northern Plains</v>
      </c>
      <c r="B324" s="82" t="str">
        <f>TDCTRIBE!B333</f>
        <v>MT</v>
      </c>
      <c r="C324" s="82" t="str">
        <f>TDCTRIBE!F333</f>
        <v>Fort Belknap Indian Community</v>
      </c>
      <c r="D324" s="83">
        <f>TDCTRIBE!Y333</f>
        <v>278206.61022000003</v>
      </c>
      <c r="E324" s="83">
        <f>TDCTRIBE!Z333</f>
        <v>307480.39736399997</v>
      </c>
      <c r="F324" s="83">
        <f>TDCTRIBE!AA333</f>
        <v>348599.98357800004</v>
      </c>
      <c r="G324" s="83">
        <f>TDCTRIBE!AB333</f>
        <v>377657.58483599999</v>
      </c>
      <c r="H324" s="83">
        <f>TDCTRIBE!AC333</f>
        <v>407135.89232400001</v>
      </c>
      <c r="O324" s="9"/>
      <c r="P324" s="1"/>
      <c r="Q324" s="1"/>
      <c r="R324" s="1"/>
      <c r="S324" s="7"/>
      <c r="T324" s="1"/>
      <c r="U324" s="1"/>
      <c r="V324" s="9"/>
      <c r="W324" s="3"/>
      <c r="X324" s="4"/>
      <c r="Y324" s="1"/>
      <c r="Z324" s="1"/>
      <c r="AA324" s="1"/>
      <c r="AB324" s="1"/>
      <c r="AC324" s="1"/>
      <c r="AD324" s="3"/>
      <c r="AE324" s="3"/>
      <c r="AF324" s="5"/>
      <c r="AG324" s="5"/>
      <c r="AH324" s="5"/>
      <c r="AI324" s="5"/>
      <c r="AJ324" s="6"/>
      <c r="AK324" s="6"/>
      <c r="AL324" s="12"/>
      <c r="AM324" s="12"/>
      <c r="AN324" s="12"/>
      <c r="AO324" s="12"/>
      <c r="AP324" s="12"/>
    </row>
    <row r="325" spans="1:42" ht="15" x14ac:dyDescent="0.25">
      <c r="A325" s="82" t="str">
        <f>TDCTRIBE!I334</f>
        <v>Northern Plains</v>
      </c>
      <c r="B325" s="82" t="str">
        <f>TDCTRIBE!B334</f>
        <v>MT</v>
      </c>
      <c r="C325" s="82" t="str">
        <f>TDCTRIBE!F334</f>
        <v>Fort Peck Assiniboine and Sioux</v>
      </c>
      <c r="D325" s="83">
        <f>TDCTRIBE!Y334</f>
        <v>290703.28864499996</v>
      </c>
      <c r="E325" s="83">
        <f>TDCTRIBE!Z334</f>
        <v>321333.61509899999</v>
      </c>
      <c r="F325" s="83">
        <f>TDCTRIBE!AA334</f>
        <v>364367.68148550007</v>
      </c>
      <c r="G325" s="83">
        <f>TDCTRIBE!AB334</f>
        <v>394773.36635099998</v>
      </c>
      <c r="H325" s="83">
        <f>TDCTRIBE!AC334</f>
        <v>425593.56795900001</v>
      </c>
      <c r="O325" s="9"/>
      <c r="P325" s="1"/>
      <c r="Q325" s="1"/>
      <c r="R325" s="1"/>
      <c r="S325" s="1"/>
      <c r="T325" s="1"/>
      <c r="U325" s="1"/>
      <c r="V325" s="9"/>
      <c r="W325" s="3"/>
      <c r="X325" s="4"/>
      <c r="Y325" s="1"/>
      <c r="Z325" s="1"/>
      <c r="AA325" s="1"/>
      <c r="AB325" s="1"/>
      <c r="AC325" s="1"/>
      <c r="AD325" s="3"/>
      <c r="AE325" s="3"/>
      <c r="AF325" s="5"/>
      <c r="AG325" s="5"/>
      <c r="AH325" s="5"/>
      <c r="AI325" s="5"/>
      <c r="AJ325" s="6"/>
      <c r="AK325" s="6"/>
      <c r="AL325" s="12"/>
      <c r="AM325" s="12"/>
      <c r="AN325" s="12"/>
      <c r="AO325" s="12"/>
      <c r="AP325" s="12"/>
    </row>
    <row r="326" spans="1:42" ht="15" x14ac:dyDescent="0.25">
      <c r="A326" s="82" t="str">
        <f>TDCTRIBE!I335</f>
        <v>Northern Plains</v>
      </c>
      <c r="B326" s="82" t="str">
        <f>TDCTRIBE!B335</f>
        <v>MT</v>
      </c>
      <c r="C326" s="82" t="str">
        <f>TDCTRIBE!F335</f>
        <v>Northern Cheyenne</v>
      </c>
      <c r="D326" s="83">
        <f>TDCTRIBE!Y335</f>
        <v>292379.25139500003</v>
      </c>
      <c r="E326" s="83">
        <f>TDCTRIBE!Z335</f>
        <v>323159.35089900001</v>
      </c>
      <c r="F326" s="83">
        <f>TDCTRIBE!AA335</f>
        <v>366398.04058549996</v>
      </c>
      <c r="G326" s="83">
        <f>TDCTRIBE!AB335</f>
        <v>396951.39430099999</v>
      </c>
      <c r="H326" s="83">
        <f>TDCTRIBE!AC335</f>
        <v>427937.82700899994</v>
      </c>
      <c r="O326" s="9"/>
      <c r="P326" s="1"/>
      <c r="Q326" s="1"/>
      <c r="R326" s="1"/>
      <c r="S326" s="1"/>
      <c r="T326" s="1"/>
      <c r="U326" s="1"/>
      <c r="V326" s="9"/>
      <c r="W326" s="3"/>
      <c r="X326" s="4"/>
      <c r="Y326" s="1"/>
      <c r="Z326" s="1"/>
      <c r="AA326" s="1"/>
      <c r="AB326" s="1"/>
      <c r="AC326" s="1"/>
      <c r="AD326" s="3"/>
      <c r="AE326" s="3"/>
      <c r="AF326" s="5"/>
      <c r="AG326" s="5"/>
      <c r="AH326" s="5"/>
      <c r="AI326" s="5"/>
      <c r="AJ326" s="6"/>
      <c r="AK326" s="6"/>
      <c r="AL326" s="12"/>
      <c r="AM326" s="12"/>
      <c r="AN326" s="12"/>
      <c r="AO326" s="12"/>
      <c r="AP326" s="12"/>
    </row>
    <row r="327" spans="1:42" ht="15" x14ac:dyDescent="0.25">
      <c r="A327" s="82" t="str">
        <f>TDCTRIBE!I336</f>
        <v>Northern Plains</v>
      </c>
      <c r="B327" s="82" t="str">
        <f>TDCTRIBE!B336</f>
        <v>MT</v>
      </c>
      <c r="C327" s="82" t="str">
        <f>TDCTRIBE!F336</f>
        <v>Rocky Boy Chippewa-Cree</v>
      </c>
      <c r="D327" s="83">
        <f>TDCTRIBE!Y336</f>
        <v>278206.61022000003</v>
      </c>
      <c r="E327" s="83">
        <f>TDCTRIBE!Z336</f>
        <v>307480.39736399997</v>
      </c>
      <c r="F327" s="83">
        <f>TDCTRIBE!AA336</f>
        <v>348599.98357800004</v>
      </c>
      <c r="G327" s="83">
        <f>TDCTRIBE!AB336</f>
        <v>377657.58483599999</v>
      </c>
      <c r="H327" s="83">
        <f>TDCTRIBE!AC336</f>
        <v>407135.89232400001</v>
      </c>
      <c r="O327" s="9"/>
      <c r="P327" s="1"/>
      <c r="Q327" s="1"/>
      <c r="R327" s="1"/>
      <c r="S327" s="1"/>
      <c r="T327" s="1"/>
      <c r="U327" s="1"/>
      <c r="V327" s="9"/>
      <c r="W327" s="3"/>
      <c r="X327" s="4"/>
      <c r="Y327" s="1"/>
      <c r="Z327" s="1"/>
      <c r="AA327" s="1"/>
      <c r="AB327" s="1"/>
      <c r="AC327" s="1"/>
      <c r="AD327" s="3"/>
      <c r="AE327" s="3"/>
      <c r="AF327" s="5"/>
      <c r="AG327" s="5"/>
      <c r="AH327" s="5"/>
      <c r="AI327" s="5"/>
      <c r="AJ327" s="6"/>
      <c r="AK327" s="6"/>
      <c r="AL327" s="12"/>
      <c r="AM327" s="12"/>
      <c r="AN327" s="12"/>
      <c r="AO327" s="12"/>
      <c r="AP327" s="12"/>
    </row>
    <row r="328" spans="1:42" ht="15" x14ac:dyDescent="0.25">
      <c r="A328" s="82" t="str">
        <f>TDCTRIBE!I337</f>
        <v>Northern Plains</v>
      </c>
      <c r="B328" s="82" t="str">
        <f>TDCTRIBE!B337</f>
        <v>MT</v>
      </c>
      <c r="C328" s="82" t="str">
        <f>TDCTRIBE!F337</f>
        <v>Salish and Kootenai Tribes</v>
      </c>
      <c r="D328" s="83">
        <f>TDCTRIBE!Y337</f>
        <v>279882.57296999998</v>
      </c>
      <c r="E328" s="83">
        <f>TDCTRIBE!Z337</f>
        <v>309306.133164</v>
      </c>
      <c r="F328" s="83">
        <f>TDCTRIBE!AA337</f>
        <v>347033.37663399999</v>
      </c>
      <c r="G328" s="83">
        <f>TDCTRIBE!AB337</f>
        <v>375902.21405800001</v>
      </c>
      <c r="H328" s="83">
        <f>TDCTRIBE!AC337</f>
        <v>405233.32042200002</v>
      </c>
      <c r="O328" s="9"/>
      <c r="P328" s="1"/>
      <c r="Q328" s="1"/>
      <c r="R328" s="1"/>
      <c r="S328" s="1"/>
      <c r="T328" s="1"/>
      <c r="U328" s="1"/>
      <c r="V328" s="9"/>
      <c r="W328" s="3"/>
      <c r="X328" s="4"/>
      <c r="Y328" s="1"/>
      <c r="Z328" s="1"/>
      <c r="AA328" s="1"/>
      <c r="AB328" s="1"/>
      <c r="AC328" s="1"/>
      <c r="AD328" s="3"/>
      <c r="AE328" s="3"/>
      <c r="AF328" s="5"/>
      <c r="AG328" s="5"/>
      <c r="AH328" s="5"/>
      <c r="AI328" s="5"/>
      <c r="AJ328" s="6"/>
      <c r="AK328" s="6"/>
      <c r="AL328" s="12"/>
      <c r="AM328" s="12"/>
      <c r="AN328" s="12"/>
      <c r="AO328" s="12"/>
      <c r="AP328" s="12"/>
    </row>
    <row r="329" spans="1:42" ht="15" x14ac:dyDescent="0.25">
      <c r="A329" s="82" t="str">
        <f>TDCTRIBE!I338</f>
        <v>Northern Plains</v>
      </c>
      <c r="B329" s="82" t="str">
        <f>TDCTRIBE!B338</f>
        <v>ND</v>
      </c>
      <c r="C329" s="82" t="str">
        <f>TDCTRIBE!F338</f>
        <v>Devils Lake Sioux</v>
      </c>
      <c r="D329" s="83">
        <f>TDCTRIBE!Y338</f>
        <v>297042.73021499999</v>
      </c>
      <c r="E329" s="83">
        <f>TDCTRIBE!Z338</f>
        <v>328335.49083299999</v>
      </c>
      <c r="F329" s="83">
        <f>TDCTRIBE!AA338</f>
        <v>368428.39968550002</v>
      </c>
      <c r="G329" s="83">
        <f>TDCTRIBE!AB338</f>
        <v>399129.42225100001</v>
      </c>
      <c r="H329" s="83">
        <f>TDCTRIBE!AC338</f>
        <v>430282.08605899999</v>
      </c>
      <c r="O329" s="9"/>
      <c r="P329" s="1"/>
      <c r="Q329" s="1"/>
      <c r="R329" s="1"/>
      <c r="S329" s="1"/>
      <c r="T329" s="1"/>
      <c r="U329" s="1"/>
      <c r="V329" s="9"/>
      <c r="W329" s="3"/>
      <c r="X329" s="4"/>
      <c r="Y329" s="1"/>
      <c r="Z329" s="1"/>
      <c r="AA329" s="1"/>
      <c r="AB329" s="1"/>
      <c r="AC329" s="1"/>
      <c r="AD329" s="3"/>
      <c r="AE329" s="3"/>
      <c r="AF329" s="5"/>
      <c r="AG329" s="5"/>
      <c r="AH329" s="5"/>
      <c r="AI329" s="5"/>
      <c r="AJ329" s="6"/>
      <c r="AK329" s="6"/>
      <c r="AL329" s="12"/>
      <c r="AM329" s="12"/>
      <c r="AN329" s="12"/>
      <c r="AO329" s="12"/>
      <c r="AP329" s="12"/>
    </row>
    <row r="330" spans="1:42" ht="15" x14ac:dyDescent="0.25">
      <c r="A330" s="82" t="str">
        <f>TDCTRIBE!I339</f>
        <v>Northern Plains</v>
      </c>
      <c r="B330" s="82" t="str">
        <f>TDCTRIBE!B339</f>
        <v>ND</v>
      </c>
      <c r="C330" s="82" t="str">
        <f>TDCTRIBE!F339</f>
        <v>Ft. Berthold Affiliated Tribes</v>
      </c>
      <c r="D330" s="83">
        <f>TDCTRIBE!Y339</f>
        <v>295184.56274999998</v>
      </c>
      <c r="E330" s="83">
        <f>TDCTRIBE!Z339</f>
        <v>326359.22129999998</v>
      </c>
      <c r="F330" s="83">
        <f>TDCTRIBE!AA339</f>
        <v>366263.90815000003</v>
      </c>
      <c r="G330" s="83">
        <f>TDCTRIBE!AB339</f>
        <v>396846.95155</v>
      </c>
      <c r="H330" s="83">
        <f>TDCTRIBE!AC339</f>
        <v>427832.38644999999</v>
      </c>
      <c r="O330" s="9"/>
      <c r="P330" s="1"/>
      <c r="Q330" s="1"/>
      <c r="R330" s="1"/>
      <c r="S330" s="1"/>
      <c r="T330" s="1"/>
      <c r="U330" s="1"/>
      <c r="V330" s="9"/>
      <c r="W330" s="3"/>
      <c r="X330" s="4"/>
      <c r="Y330" s="1"/>
      <c r="Z330" s="1"/>
      <c r="AA330" s="1"/>
      <c r="AB330" s="1"/>
      <c r="AC330" s="1"/>
      <c r="AD330" s="3"/>
      <c r="AE330" s="3"/>
      <c r="AF330" s="5"/>
      <c r="AG330" s="5"/>
      <c r="AH330" s="5"/>
      <c r="AI330" s="5"/>
      <c r="AJ330" s="6"/>
      <c r="AK330" s="6"/>
      <c r="AL330" s="12"/>
      <c r="AM330" s="12"/>
      <c r="AN330" s="12"/>
      <c r="AO330" s="12"/>
      <c r="AP330" s="12"/>
    </row>
    <row r="331" spans="1:42" ht="15" x14ac:dyDescent="0.25">
      <c r="A331" s="82" t="str">
        <f>TDCTRIBE!I340</f>
        <v>Northern Plains</v>
      </c>
      <c r="B331" s="82" t="str">
        <f>TDCTRIBE!B340</f>
        <v>ND</v>
      </c>
      <c r="C331" s="82" t="str">
        <f>TDCTRIBE!F340</f>
        <v>Standing Rock Sioux</v>
      </c>
      <c r="D331" s="83">
        <f>TDCTRIBE!Y340</f>
        <v>298536.48824999999</v>
      </c>
      <c r="E331" s="83">
        <f>TDCTRIBE!Z340</f>
        <v>330010.69289999997</v>
      </c>
      <c r="F331" s="83">
        <f>TDCTRIBE!AA340</f>
        <v>370324.62634999998</v>
      </c>
      <c r="G331" s="83">
        <f>TDCTRIBE!AB340</f>
        <v>401203.00744999998</v>
      </c>
      <c r="H331" s="83">
        <f>TDCTRIBE!AC340</f>
        <v>432520.90454999998</v>
      </c>
      <c r="O331" s="9"/>
      <c r="P331" s="1"/>
      <c r="Q331" s="1"/>
      <c r="R331" s="1"/>
      <c r="S331" s="1"/>
      <c r="T331" s="1"/>
      <c r="U331" s="1"/>
      <c r="V331" s="9"/>
      <c r="W331" s="3"/>
      <c r="X331" s="4"/>
      <c r="Y331" s="1"/>
      <c r="Z331" s="1"/>
      <c r="AA331" s="1"/>
      <c r="AB331" s="1"/>
      <c r="AC331" s="1"/>
      <c r="AD331" s="3"/>
      <c r="AE331" s="3"/>
      <c r="AF331" s="5"/>
      <c r="AG331" s="5"/>
      <c r="AH331" s="5"/>
      <c r="AI331" s="5"/>
      <c r="AJ331" s="6"/>
      <c r="AK331" s="6"/>
      <c r="AL331" s="12"/>
      <c r="AM331" s="12"/>
      <c r="AN331" s="12"/>
      <c r="AO331" s="12"/>
      <c r="AP331" s="12"/>
    </row>
    <row r="332" spans="1:42" ht="15" x14ac:dyDescent="0.25">
      <c r="A332" s="82" t="str">
        <f>TDCTRIBE!I341</f>
        <v>Northern Plains</v>
      </c>
      <c r="B332" s="82" t="str">
        <f>TDCTRIBE!B341</f>
        <v>ND</v>
      </c>
      <c r="C332" s="82" t="str">
        <f>TDCTRIBE!F341</f>
        <v>Trenton Band of Chippewa</v>
      </c>
      <c r="D332" s="83">
        <f>TDCTRIBE!Y341</f>
        <v>296860.52549999999</v>
      </c>
      <c r="E332" s="83">
        <f>TDCTRIBE!Z341</f>
        <v>328184.9571</v>
      </c>
      <c r="F332" s="83">
        <f>TDCTRIBE!AA341</f>
        <v>368294.26725000003</v>
      </c>
      <c r="G332" s="83">
        <f>TDCTRIBE!AB341</f>
        <v>399024.97950000002</v>
      </c>
      <c r="H332" s="83">
        <f>TDCTRIBE!AC341</f>
        <v>430176.64549999998</v>
      </c>
      <c r="O332" s="9"/>
      <c r="P332" s="1"/>
      <c r="Q332" s="1"/>
      <c r="R332" s="1"/>
      <c r="S332" s="1"/>
      <c r="T332" s="1"/>
      <c r="U332" s="1"/>
      <c r="V332" s="9"/>
      <c r="W332" s="3"/>
      <c r="X332" s="4"/>
      <c r="Y332" s="1"/>
      <c r="Z332" s="1"/>
      <c r="AA332" s="1"/>
      <c r="AB332" s="1"/>
      <c r="AC332" s="1"/>
      <c r="AD332" s="3"/>
      <c r="AE332" s="3"/>
      <c r="AF332" s="5"/>
      <c r="AG332" s="5"/>
      <c r="AH332" s="5"/>
      <c r="AI332" s="5"/>
      <c r="AJ332" s="6"/>
      <c r="AK332" s="6"/>
      <c r="AL332" s="12"/>
      <c r="AM332" s="12"/>
      <c r="AN332" s="12"/>
      <c r="AO332" s="12"/>
      <c r="AP332" s="12"/>
    </row>
    <row r="333" spans="1:42" ht="15" x14ac:dyDescent="0.25">
      <c r="A333" s="82" t="str">
        <f>TDCTRIBE!I342</f>
        <v>Northern Plains</v>
      </c>
      <c r="B333" s="82" t="str">
        <f>TDCTRIBE!B342</f>
        <v>ND</v>
      </c>
      <c r="C333" s="82" t="str">
        <f>TDCTRIBE!F342</f>
        <v>Turtle Mountain Band of Chippewa</v>
      </c>
      <c r="D333" s="83">
        <f>TDCTRIBE!Y342</f>
        <v>298536.48824999999</v>
      </c>
      <c r="E333" s="83">
        <f>TDCTRIBE!Z342</f>
        <v>330010.69289999997</v>
      </c>
      <c r="F333" s="83">
        <f>TDCTRIBE!AA342</f>
        <v>370324.62634999998</v>
      </c>
      <c r="G333" s="83">
        <f>TDCTRIBE!AB342</f>
        <v>401203.00744999998</v>
      </c>
      <c r="H333" s="83">
        <f>TDCTRIBE!AC342</f>
        <v>432520.90454999998</v>
      </c>
      <c r="O333" s="9"/>
      <c r="P333" s="1"/>
      <c r="Q333" s="1"/>
      <c r="R333" s="1"/>
      <c r="S333" s="1"/>
      <c r="T333" s="1"/>
      <c r="U333" s="1"/>
      <c r="V333" s="9"/>
      <c r="W333" s="3"/>
      <c r="X333" s="4"/>
      <c r="Y333" s="1"/>
      <c r="Z333" s="1"/>
      <c r="AA333" s="1"/>
      <c r="AB333" s="1"/>
      <c r="AC333" s="1"/>
      <c r="AD333" s="3"/>
      <c r="AE333" s="3"/>
      <c r="AF333" s="5"/>
      <c r="AG333" s="5"/>
      <c r="AH333" s="5"/>
      <c r="AI333" s="5"/>
      <c r="AJ333" s="6"/>
      <c r="AK333" s="6"/>
      <c r="AL333" s="12"/>
      <c r="AM333" s="12"/>
      <c r="AN333" s="12"/>
      <c r="AO333" s="12"/>
      <c r="AP333" s="12"/>
    </row>
    <row r="334" spans="1:42" ht="15" x14ac:dyDescent="0.25">
      <c r="A334" s="82" t="str">
        <f>TDCTRIBE!I343</f>
        <v>Northern Plains</v>
      </c>
      <c r="B334" s="82" t="str">
        <f>TDCTRIBE!B343</f>
        <v>NE</v>
      </c>
      <c r="C334" s="82" t="str">
        <f>TDCTRIBE!F343</f>
        <v>Northern Ponca Tribe of Nebraska</v>
      </c>
      <c r="D334" s="83">
        <f>TDCTRIBE!Y343</f>
        <v>288262.38672000001</v>
      </c>
      <c r="E334" s="83">
        <f>TDCTRIBE!Z343</f>
        <v>318434.812164</v>
      </c>
      <c r="F334" s="83">
        <f>TDCTRIBE!AA343</f>
        <v>357185.17213400005</v>
      </c>
      <c r="G334" s="83">
        <f>TDCTRIBE!AB343</f>
        <v>386792.35380800004</v>
      </c>
      <c r="H334" s="83">
        <f>TDCTRIBE!AC343</f>
        <v>416954.61567200004</v>
      </c>
      <c r="O334" s="9"/>
      <c r="P334" s="1"/>
      <c r="Q334" s="1"/>
      <c r="R334" s="1"/>
      <c r="S334" s="1"/>
      <c r="T334" s="1"/>
      <c r="U334" s="1"/>
      <c r="V334" s="9"/>
      <c r="W334" s="3"/>
      <c r="X334" s="4"/>
      <c r="Y334" s="1"/>
      <c r="Z334" s="1"/>
      <c r="AA334" s="1"/>
      <c r="AB334" s="1"/>
      <c r="AC334" s="1"/>
      <c r="AD334" s="3"/>
      <c r="AE334" s="3"/>
      <c r="AF334" s="5"/>
      <c r="AG334" s="5"/>
      <c r="AH334" s="5"/>
      <c r="AI334" s="5"/>
      <c r="AJ334" s="6"/>
      <c r="AK334" s="6"/>
      <c r="AL334" s="12"/>
      <c r="AM334" s="12"/>
      <c r="AN334" s="12"/>
      <c r="AO334" s="12"/>
      <c r="AP334" s="12"/>
    </row>
    <row r="335" spans="1:42" ht="15" x14ac:dyDescent="0.25">
      <c r="A335" s="82" t="str">
        <f>TDCTRIBE!I344</f>
        <v>Northern Plains</v>
      </c>
      <c r="B335" s="82" t="str">
        <f>TDCTRIBE!B344</f>
        <v>NE</v>
      </c>
      <c r="C335" s="82" t="str">
        <f>TDCTRIBE!F344</f>
        <v>Omaha Tribe</v>
      </c>
      <c r="D335" s="83">
        <f>TDCTRIBE!Y344</f>
        <v>288262.38672000001</v>
      </c>
      <c r="E335" s="83">
        <f>TDCTRIBE!Z344</f>
        <v>318434.812164</v>
      </c>
      <c r="F335" s="83">
        <f>TDCTRIBE!AA344</f>
        <v>357185.17213400005</v>
      </c>
      <c r="G335" s="83">
        <f>TDCTRIBE!AB344</f>
        <v>386792.35380800004</v>
      </c>
      <c r="H335" s="83">
        <f>TDCTRIBE!AC344</f>
        <v>416954.61567200004</v>
      </c>
      <c r="O335" s="9"/>
      <c r="P335" s="1"/>
      <c r="Q335" s="1"/>
      <c r="R335" s="1"/>
      <c r="S335" s="1"/>
      <c r="T335" s="1"/>
      <c r="U335" s="1"/>
      <c r="V335" s="9"/>
      <c r="W335" s="3"/>
      <c r="X335" s="4"/>
      <c r="Y335" s="1"/>
      <c r="Z335" s="1"/>
      <c r="AA335" s="1"/>
      <c r="AB335" s="1"/>
      <c r="AC335" s="1"/>
      <c r="AD335" s="3"/>
      <c r="AE335" s="3"/>
      <c r="AF335" s="5"/>
      <c r="AG335" s="5"/>
      <c r="AH335" s="5"/>
      <c r="AI335" s="5"/>
      <c r="AJ335" s="6"/>
      <c r="AK335" s="6"/>
      <c r="AL335" s="12"/>
      <c r="AM335" s="12"/>
      <c r="AN335" s="12"/>
      <c r="AO335" s="12"/>
      <c r="AP335" s="12"/>
    </row>
    <row r="336" spans="1:42" ht="15" x14ac:dyDescent="0.25">
      <c r="A336" s="82" t="str">
        <f>TDCTRIBE!I345</f>
        <v>Northern Plains</v>
      </c>
      <c r="B336" s="82" t="str">
        <f>TDCTRIBE!B345</f>
        <v>NE</v>
      </c>
      <c r="C336" s="82" t="str">
        <f>TDCTRIBE!F345</f>
        <v>Santee Sioux Tribe</v>
      </c>
      <c r="D336" s="83">
        <f>TDCTRIBE!Y345</f>
        <v>285092.66593500006</v>
      </c>
      <c r="E336" s="83">
        <f>TDCTRIBE!Z345</f>
        <v>314933.87429699994</v>
      </c>
      <c r="F336" s="83">
        <f>TDCTRIBE!AA345</f>
        <v>353258.58636950003</v>
      </c>
      <c r="G336" s="83">
        <f>TDCTRIBE!AB345</f>
        <v>382540.740659</v>
      </c>
      <c r="H336" s="83">
        <f>TDCTRIBE!AC345</f>
        <v>412371.53813100001</v>
      </c>
      <c r="O336" s="9"/>
      <c r="P336" s="1"/>
      <c r="Q336" s="1"/>
      <c r="R336" s="1"/>
      <c r="S336" s="1"/>
      <c r="T336" s="1"/>
      <c r="U336" s="1"/>
      <c r="V336" s="9"/>
      <c r="W336" s="3"/>
      <c r="X336" s="4"/>
      <c r="Y336" s="1"/>
      <c r="Z336" s="1"/>
      <c r="AA336" s="1"/>
      <c r="AB336" s="1"/>
      <c r="AC336" s="1"/>
      <c r="AD336" s="3"/>
      <c r="AE336" s="3"/>
      <c r="AF336" s="5"/>
      <c r="AG336" s="5"/>
      <c r="AH336" s="5"/>
      <c r="AI336" s="5"/>
      <c r="AJ336" s="6"/>
      <c r="AK336" s="6"/>
      <c r="AL336" s="12"/>
      <c r="AM336" s="12"/>
      <c r="AN336" s="12"/>
      <c r="AO336" s="12"/>
      <c r="AP336" s="12"/>
    </row>
    <row r="337" spans="1:42" ht="15" x14ac:dyDescent="0.25">
      <c r="A337" s="82" t="str">
        <f>TDCTRIBE!I346</f>
        <v>Northern Plains</v>
      </c>
      <c r="B337" s="82" t="str">
        <f>TDCTRIBE!B346</f>
        <v>NE</v>
      </c>
      <c r="C337" s="82" t="str">
        <f>TDCTRIBE!F346</f>
        <v>Winnebago Tribe</v>
      </c>
      <c r="D337" s="83">
        <f>TDCTRIBE!Y346</f>
        <v>288262.38672000001</v>
      </c>
      <c r="E337" s="83">
        <f>TDCTRIBE!Z346</f>
        <v>318434.812164</v>
      </c>
      <c r="F337" s="83">
        <f>TDCTRIBE!AA346</f>
        <v>357185.17213400005</v>
      </c>
      <c r="G337" s="83">
        <f>TDCTRIBE!AB346</f>
        <v>386792.35380800004</v>
      </c>
      <c r="H337" s="83">
        <f>TDCTRIBE!AC346</f>
        <v>416954.61567200004</v>
      </c>
      <c r="O337" s="9"/>
      <c r="P337" s="1"/>
      <c r="Q337" s="1"/>
      <c r="R337" s="1"/>
      <c r="S337" s="1"/>
      <c r="T337" s="1"/>
      <c r="U337" s="1"/>
      <c r="V337" s="9"/>
      <c r="W337" s="3"/>
      <c r="X337" s="4"/>
      <c r="Y337" s="1"/>
      <c r="Z337" s="1"/>
      <c r="AA337" s="1"/>
      <c r="AB337" s="1"/>
      <c r="AC337" s="1"/>
      <c r="AD337" s="3"/>
      <c r="AE337" s="3"/>
      <c r="AF337" s="5"/>
      <c r="AG337" s="5"/>
      <c r="AH337" s="5"/>
      <c r="AI337" s="5"/>
      <c r="AJ337" s="6"/>
      <c r="AK337" s="6"/>
      <c r="AL337" s="12"/>
      <c r="AM337" s="12"/>
      <c r="AN337" s="12"/>
      <c r="AO337" s="12"/>
      <c r="AP337" s="12"/>
    </row>
    <row r="338" spans="1:42" ht="15" x14ac:dyDescent="0.25">
      <c r="A338" s="82" t="str">
        <f>TDCTRIBE!I347</f>
        <v>Northern Plains</v>
      </c>
      <c r="B338" s="82" t="str">
        <f>TDCTRIBE!B347</f>
        <v>SD</v>
      </c>
      <c r="C338" s="82" t="str">
        <f>TDCTRIBE!F347</f>
        <v>Cheyenne River Sioux</v>
      </c>
      <c r="D338" s="83">
        <f>TDCTRIBE!Y347</f>
        <v>268150.83372</v>
      </c>
      <c r="E338" s="83">
        <f>TDCTRIBE!Z347</f>
        <v>296525.98256399995</v>
      </c>
      <c r="F338" s="83">
        <f>TDCTRIBE!AA347</f>
        <v>332820.86293399998</v>
      </c>
      <c r="G338" s="83">
        <f>TDCTRIBE!AB347</f>
        <v>360656.018408</v>
      </c>
      <c r="H338" s="83">
        <f>TDCTRIBE!AC347</f>
        <v>388823.50707200007</v>
      </c>
      <c r="O338" s="9"/>
      <c r="P338" s="1"/>
      <c r="Q338" s="1"/>
      <c r="R338" s="1"/>
      <c r="S338" s="1"/>
      <c r="T338" s="1"/>
      <c r="U338" s="1"/>
      <c r="V338" s="9"/>
      <c r="W338" s="3"/>
      <c r="X338" s="4"/>
      <c r="Y338" s="1"/>
      <c r="Z338" s="1"/>
      <c r="AA338" s="1"/>
      <c r="AB338" s="1"/>
      <c r="AC338" s="1"/>
      <c r="AD338" s="3"/>
      <c r="AE338" s="3"/>
      <c r="AF338" s="5"/>
      <c r="AG338" s="5"/>
      <c r="AH338" s="5"/>
      <c r="AI338" s="5"/>
      <c r="AJ338" s="6"/>
      <c r="AK338" s="6"/>
      <c r="AL338" s="12"/>
      <c r="AM338" s="12"/>
      <c r="AN338" s="12"/>
      <c r="AO338" s="12"/>
      <c r="AP338" s="12"/>
    </row>
    <row r="339" spans="1:42" ht="15" x14ac:dyDescent="0.25">
      <c r="A339" s="82" t="str">
        <f>TDCTRIBE!I348</f>
        <v>Northern Plains</v>
      </c>
      <c r="B339" s="82" t="str">
        <f>TDCTRIBE!B348</f>
        <v>SD</v>
      </c>
      <c r="C339" s="82" t="str">
        <f>TDCTRIBE!F348</f>
        <v>Crow Creek Sioux</v>
      </c>
      <c r="D339" s="83">
        <f>TDCTRIBE!Y348</f>
        <v>268333.03843499999</v>
      </c>
      <c r="E339" s="83">
        <f>TDCTRIBE!Z348</f>
        <v>296676.51629699999</v>
      </c>
      <c r="F339" s="83">
        <f>TDCTRIBE!AA348</f>
        <v>332954.99536950001</v>
      </c>
      <c r="G339" s="83">
        <f>TDCTRIBE!AB348</f>
        <v>360760.46115900006</v>
      </c>
      <c r="H339" s="83">
        <f>TDCTRIBE!AC348</f>
        <v>388928.94763100002</v>
      </c>
      <c r="O339" s="9"/>
      <c r="P339" s="1"/>
      <c r="Q339" s="1"/>
      <c r="R339" s="1"/>
      <c r="S339" s="1"/>
      <c r="T339" s="1"/>
      <c r="U339" s="1"/>
      <c r="V339" s="9"/>
      <c r="W339" s="3"/>
      <c r="X339" s="4"/>
      <c r="Y339" s="1"/>
      <c r="Z339" s="1"/>
      <c r="AA339" s="1"/>
      <c r="AB339" s="1"/>
      <c r="AC339" s="1"/>
      <c r="AD339" s="3"/>
      <c r="AE339" s="3"/>
      <c r="AF339" s="5"/>
      <c r="AG339" s="5"/>
      <c r="AH339" s="5"/>
      <c r="AI339" s="5"/>
      <c r="AJ339" s="6"/>
      <c r="AK339" s="6"/>
      <c r="AL339" s="12"/>
      <c r="AM339" s="12"/>
      <c r="AN339" s="12"/>
      <c r="AO339" s="12"/>
      <c r="AP339" s="12"/>
    </row>
    <row r="340" spans="1:42" ht="15" x14ac:dyDescent="0.25">
      <c r="A340" s="82" t="str">
        <f>TDCTRIBE!I349</f>
        <v>Northern Plains</v>
      </c>
      <c r="B340" s="82" t="str">
        <f>TDCTRIBE!B349</f>
        <v>SD</v>
      </c>
      <c r="C340" s="82" t="str">
        <f>TDCTRIBE!F349</f>
        <v>Flandreau Santee Sioux</v>
      </c>
      <c r="D340" s="83">
        <f>TDCTRIBE!Y349</f>
        <v>289756.14475500002</v>
      </c>
      <c r="E340" s="83">
        <f>TDCTRIBE!Z349</f>
        <v>320110.01423099998</v>
      </c>
      <c r="F340" s="83">
        <f>TDCTRIBE!AA349</f>
        <v>359081.39879850007</v>
      </c>
      <c r="G340" s="83">
        <f>TDCTRIBE!AB349</f>
        <v>388865.93900700007</v>
      </c>
      <c r="H340" s="83">
        <f>TDCTRIBE!AC349</f>
        <v>419193.43416300009</v>
      </c>
      <c r="O340" s="9"/>
      <c r="P340" s="1"/>
      <c r="Q340" s="1"/>
      <c r="R340" s="1"/>
      <c r="S340" s="1"/>
      <c r="T340" s="1"/>
      <c r="U340" s="1"/>
      <c r="V340" s="9"/>
      <c r="W340" s="3"/>
      <c r="X340" s="4"/>
      <c r="Y340" s="7"/>
      <c r="Z340" s="1"/>
      <c r="AA340" s="1"/>
      <c r="AB340" s="1"/>
      <c r="AC340" s="1"/>
      <c r="AD340" s="3"/>
      <c r="AE340" s="3"/>
      <c r="AF340" s="5"/>
      <c r="AG340" s="5"/>
      <c r="AH340" s="5"/>
      <c r="AI340" s="5"/>
      <c r="AJ340" s="6"/>
      <c r="AK340" s="6"/>
      <c r="AL340" s="12"/>
      <c r="AM340" s="12"/>
      <c r="AN340" s="12"/>
      <c r="AO340" s="12"/>
      <c r="AP340" s="12"/>
    </row>
    <row r="341" spans="1:42" ht="15" x14ac:dyDescent="0.25">
      <c r="A341" s="82" t="str">
        <f>TDCTRIBE!I350</f>
        <v>Northern Plains</v>
      </c>
      <c r="B341" s="82" t="str">
        <f>TDCTRIBE!B350</f>
        <v>SD</v>
      </c>
      <c r="C341" s="82" t="str">
        <f>TDCTRIBE!F350</f>
        <v>Lower Brule Sioux</v>
      </c>
      <c r="D341" s="83">
        <f>TDCTRIBE!Y350</f>
        <v>276712.85218500008</v>
      </c>
      <c r="E341" s="83">
        <f>TDCTRIBE!Z350</f>
        <v>305805.195297</v>
      </c>
      <c r="F341" s="83">
        <f>TDCTRIBE!AA350</f>
        <v>343106.79086950002</v>
      </c>
      <c r="G341" s="83">
        <f>TDCTRIBE!AB350</f>
        <v>371650.60090900003</v>
      </c>
      <c r="H341" s="83">
        <f>TDCTRIBE!AC350</f>
        <v>400650.24288099998</v>
      </c>
      <c r="O341" s="9"/>
      <c r="P341" s="1"/>
      <c r="Q341" s="1"/>
      <c r="R341" s="1"/>
      <c r="S341" s="1"/>
      <c r="T341" s="1"/>
      <c r="U341" s="1"/>
      <c r="V341" s="9"/>
      <c r="W341" s="3"/>
      <c r="X341" s="4"/>
      <c r="Y341" s="1"/>
      <c r="Z341" s="1"/>
      <c r="AA341" s="1"/>
      <c r="AB341" s="1"/>
      <c r="AC341" s="1"/>
      <c r="AD341" s="3"/>
      <c r="AE341" s="3"/>
      <c r="AF341" s="5"/>
      <c r="AG341" s="5"/>
      <c r="AH341" s="5"/>
      <c r="AI341" s="5"/>
      <c r="AJ341" s="6"/>
      <c r="AK341" s="6"/>
      <c r="AL341" s="12"/>
      <c r="AM341" s="12"/>
      <c r="AN341" s="12"/>
      <c r="AO341" s="12"/>
      <c r="AP341" s="12"/>
    </row>
    <row r="342" spans="1:42" ht="15" x14ac:dyDescent="0.25">
      <c r="A342" s="82" t="str">
        <f>TDCTRIBE!I351</f>
        <v>Northern Plains</v>
      </c>
      <c r="B342" s="82" t="str">
        <f>TDCTRIBE!B351</f>
        <v>SD</v>
      </c>
      <c r="C342" s="82" t="str">
        <f>TDCTRIBE!F351</f>
        <v>Oglala Sioux of Pine Ridge Reservation</v>
      </c>
      <c r="D342" s="83">
        <f>TDCTRIBE!Y351</f>
        <v>284728.25650500006</v>
      </c>
      <c r="E342" s="83">
        <f>TDCTRIBE!Z351</f>
        <v>314632.80683099997</v>
      </c>
      <c r="F342" s="83">
        <f>TDCTRIBE!AA351</f>
        <v>352990.32149850007</v>
      </c>
      <c r="G342" s="83">
        <f>TDCTRIBE!AB351</f>
        <v>382331.85515700001</v>
      </c>
      <c r="H342" s="83">
        <f>TDCTRIBE!AC351</f>
        <v>412160.65701299999</v>
      </c>
      <c r="O342" s="9"/>
      <c r="P342" s="1"/>
      <c r="Q342" s="1"/>
      <c r="R342" s="1"/>
      <c r="S342" s="7"/>
      <c r="T342" s="1"/>
      <c r="U342" s="1"/>
      <c r="V342" s="9"/>
      <c r="W342" s="3"/>
      <c r="X342" s="4"/>
      <c r="Y342" s="1"/>
      <c r="Z342" s="7"/>
      <c r="AA342" s="1"/>
      <c r="AB342" s="1"/>
      <c r="AC342" s="1"/>
      <c r="AD342" s="3"/>
      <c r="AE342" s="3"/>
      <c r="AF342" s="5"/>
      <c r="AG342" s="5"/>
      <c r="AH342" s="5"/>
      <c r="AI342" s="5"/>
      <c r="AJ342" s="6"/>
      <c r="AK342" s="6"/>
      <c r="AL342" s="12"/>
      <c r="AM342" s="12"/>
      <c r="AN342" s="12"/>
      <c r="AO342" s="12"/>
      <c r="AP342" s="12"/>
    </row>
    <row r="343" spans="1:42" ht="15" x14ac:dyDescent="0.25">
      <c r="A343" s="82" t="str">
        <f>TDCTRIBE!I352</f>
        <v>Northern Plains</v>
      </c>
      <c r="B343" s="82" t="str">
        <f>TDCTRIBE!B352</f>
        <v>SD</v>
      </c>
      <c r="C343" s="82" t="str">
        <f>TDCTRIBE!F352</f>
        <v>Rosebud Sioux</v>
      </c>
      <c r="D343" s="83">
        <f>TDCTRIBE!Y352</f>
        <v>276712.85218500008</v>
      </c>
      <c r="E343" s="83">
        <f>TDCTRIBE!Z352</f>
        <v>305805.195297</v>
      </c>
      <c r="F343" s="83">
        <f>TDCTRIBE!AA352</f>
        <v>343106.79086950002</v>
      </c>
      <c r="G343" s="83">
        <f>TDCTRIBE!AB352</f>
        <v>371650.60090900003</v>
      </c>
      <c r="H343" s="83">
        <f>TDCTRIBE!AC352</f>
        <v>400650.24288099998</v>
      </c>
      <c r="O343" s="9"/>
      <c r="P343" s="1"/>
      <c r="Q343" s="1"/>
      <c r="R343" s="1"/>
      <c r="S343" s="1"/>
      <c r="T343" s="1"/>
      <c r="U343" s="1"/>
      <c r="V343" s="9"/>
      <c r="W343" s="3"/>
      <c r="X343" s="4"/>
      <c r="Y343" s="1"/>
      <c r="Z343" s="7"/>
      <c r="AA343" s="1"/>
      <c r="AB343" s="1"/>
      <c r="AC343" s="1"/>
      <c r="AD343" s="3"/>
      <c r="AE343" s="3"/>
      <c r="AF343" s="5"/>
      <c r="AG343" s="5"/>
      <c r="AH343" s="5"/>
      <c r="AI343" s="5"/>
      <c r="AJ343" s="6"/>
      <c r="AK343" s="6"/>
      <c r="AL343" s="12"/>
      <c r="AM343" s="12"/>
      <c r="AN343" s="12"/>
      <c r="AO343" s="12"/>
      <c r="AP343" s="12"/>
    </row>
    <row r="344" spans="1:42" ht="15" x14ac:dyDescent="0.25">
      <c r="A344" s="82" t="str">
        <f>TDCTRIBE!I353</f>
        <v>Northern Plains</v>
      </c>
      <c r="B344" s="82" t="str">
        <f>TDCTRIBE!B353</f>
        <v>SD</v>
      </c>
      <c r="C344" s="82" t="str">
        <f>TDCTRIBE!F353</f>
        <v>Sisseton-Wahpeton Sioux</v>
      </c>
      <c r="D344" s="83">
        <f>TDCTRIBE!Y353</f>
        <v>279882.57296999998</v>
      </c>
      <c r="E344" s="83">
        <f>TDCTRIBE!Z353</f>
        <v>309306.133164</v>
      </c>
      <c r="F344" s="83">
        <f>TDCTRIBE!AA353</f>
        <v>347033.37663399999</v>
      </c>
      <c r="G344" s="83">
        <f>TDCTRIBE!AB353</f>
        <v>375902.21405800001</v>
      </c>
      <c r="H344" s="83">
        <f>TDCTRIBE!AC353</f>
        <v>405233.32042200002</v>
      </c>
      <c r="O344" s="9"/>
      <c r="P344" s="1"/>
      <c r="Q344" s="1"/>
      <c r="R344" s="1"/>
      <c r="S344" s="1"/>
      <c r="T344" s="1"/>
      <c r="U344" s="1"/>
      <c r="V344" s="9"/>
      <c r="W344" s="3"/>
      <c r="X344" s="4"/>
      <c r="Y344" s="1"/>
      <c r="Z344" s="7"/>
      <c r="AA344" s="1"/>
      <c r="AB344" s="1"/>
      <c r="AC344" s="1"/>
      <c r="AD344" s="3"/>
      <c r="AE344" s="3"/>
      <c r="AF344" s="5"/>
      <c r="AG344" s="5"/>
      <c r="AH344" s="5"/>
      <c r="AI344" s="5"/>
      <c r="AJ344" s="6"/>
      <c r="AK344" s="6"/>
      <c r="AL344" s="12"/>
      <c r="AM344" s="12"/>
      <c r="AN344" s="12"/>
      <c r="AO344" s="12"/>
      <c r="AP344" s="12"/>
    </row>
    <row r="345" spans="1:42" ht="15" x14ac:dyDescent="0.25">
      <c r="A345" s="82" t="str">
        <f>TDCTRIBE!I354</f>
        <v>Northern Plains</v>
      </c>
      <c r="B345" s="82" t="str">
        <f>TDCTRIBE!B354</f>
        <v>SD</v>
      </c>
      <c r="C345" s="82" t="str">
        <f>TDCTRIBE!F354</f>
        <v>Yankton Sioux</v>
      </c>
      <c r="D345" s="83">
        <f>TDCTRIBE!Y354</f>
        <v>271320.55450500001</v>
      </c>
      <c r="E345" s="83">
        <f>TDCTRIBE!Z354</f>
        <v>300026.92043100001</v>
      </c>
      <c r="F345" s="83">
        <f>TDCTRIBE!AA354</f>
        <v>340383.51219950005</v>
      </c>
      <c r="G345" s="83">
        <f>TDCTRIBE!AB354</f>
        <v>368883.78461900004</v>
      </c>
      <c r="H345" s="83">
        <f>TDCTRIBE!AC354</f>
        <v>397699.57677100005</v>
      </c>
      <c r="O345" s="9"/>
      <c r="P345" s="1"/>
      <c r="Q345" s="1"/>
      <c r="R345" s="1"/>
      <c r="S345" s="1"/>
      <c r="T345" s="1"/>
      <c r="U345" s="1"/>
      <c r="V345" s="9"/>
      <c r="W345" s="3"/>
      <c r="X345" s="4"/>
      <c r="Y345" s="1"/>
      <c r="Z345" s="7"/>
      <c r="AA345" s="1"/>
      <c r="AB345" s="1"/>
      <c r="AC345" s="1"/>
      <c r="AD345" s="3"/>
      <c r="AE345" s="3"/>
      <c r="AF345" s="5"/>
      <c r="AG345" s="5"/>
      <c r="AH345" s="5"/>
      <c r="AI345" s="5"/>
      <c r="AJ345" s="6"/>
      <c r="AK345" s="6"/>
      <c r="AL345" s="12"/>
      <c r="AM345" s="12"/>
      <c r="AN345" s="12"/>
      <c r="AO345" s="12"/>
      <c r="AP345" s="12"/>
    </row>
    <row r="346" spans="1:42" ht="15" x14ac:dyDescent="0.25">
      <c r="A346" s="82" t="s">
        <v>2298</v>
      </c>
      <c r="B346" s="82" t="str">
        <f>TDCTRIBE!B617</f>
        <v>UT</v>
      </c>
      <c r="C346" s="82" t="str">
        <f>TDCTRIBE!F617</f>
        <v>Goshute Reservation</v>
      </c>
      <c r="D346" s="83">
        <f>TDCTRIBE!Y617</f>
        <v>288845.12118000002</v>
      </c>
      <c r="E346" s="83">
        <f>TDCTRIBE!Z617</f>
        <v>319357.34556599997</v>
      </c>
      <c r="F346" s="83">
        <f>TDCTRIBE!AA617</f>
        <v>362242.28740700003</v>
      </c>
      <c r="G346" s="83">
        <f>TDCTRIBE!AB617</f>
        <v>392533.64998400002</v>
      </c>
      <c r="H346" s="83">
        <f>TDCTRIBE!AC617</f>
        <v>423190.02955599996</v>
      </c>
      <c r="O346" s="9"/>
      <c r="P346" s="1"/>
      <c r="Q346" s="1"/>
      <c r="R346" s="1"/>
      <c r="S346" s="1"/>
      <c r="T346" s="1"/>
      <c r="U346" s="1"/>
      <c r="V346" s="9"/>
      <c r="W346" s="3"/>
      <c r="X346" s="4"/>
      <c r="Y346" s="1"/>
      <c r="Z346" s="7"/>
      <c r="AA346" s="1"/>
      <c r="AB346" s="1"/>
      <c r="AC346" s="1"/>
      <c r="AD346" s="3"/>
      <c r="AE346" s="3"/>
      <c r="AF346" s="5"/>
      <c r="AG346" s="5"/>
      <c r="AH346" s="5"/>
      <c r="AI346" s="5"/>
      <c r="AJ346" s="6"/>
      <c r="AK346" s="6"/>
      <c r="AL346" s="12"/>
      <c r="AM346" s="12"/>
      <c r="AN346" s="12"/>
      <c r="AO346" s="12"/>
      <c r="AP346" s="12"/>
    </row>
    <row r="347" spans="1:42" ht="15" x14ac:dyDescent="0.25">
      <c r="A347" s="82" t="str">
        <f>TDCTRIBE!I355</f>
        <v>Northern Plains</v>
      </c>
      <c r="B347" s="82" t="str">
        <f>TDCTRIBE!B355</f>
        <v>UT</v>
      </c>
      <c r="C347" s="82" t="str">
        <f>TDCTRIBE!F355</f>
        <v>NW Band of Shoshoni Nation</v>
      </c>
      <c r="D347" s="83">
        <f>TDCTRIBE!Y355</f>
        <v>291468.22782000003</v>
      </c>
      <c r="E347" s="83">
        <f>TDCTRIBE!Z355</f>
        <v>322406.68223400001</v>
      </c>
      <c r="F347" s="83">
        <f>TDCTRIBE!AA355</f>
        <v>365922.86569300003</v>
      </c>
      <c r="G347" s="83">
        <f>TDCTRIBE!AB355</f>
        <v>396642.95221600001</v>
      </c>
      <c r="H347" s="83">
        <f>TDCTRIBE!AC355</f>
        <v>427641.43024399999</v>
      </c>
      <c r="O347" s="9"/>
      <c r="P347" s="1"/>
      <c r="Q347" s="1"/>
      <c r="R347" s="1"/>
      <c r="S347" s="1"/>
      <c r="T347" s="1"/>
      <c r="U347" s="1"/>
      <c r="V347" s="9"/>
      <c r="W347" s="3"/>
      <c r="X347" s="4"/>
      <c r="Y347" s="1"/>
      <c r="Z347" s="1"/>
      <c r="AA347" s="1"/>
      <c r="AB347" s="1"/>
      <c r="AC347" s="1"/>
      <c r="AD347" s="3"/>
      <c r="AE347" s="3"/>
      <c r="AF347" s="5"/>
      <c r="AG347" s="5"/>
      <c r="AH347" s="5"/>
      <c r="AI347" s="5"/>
      <c r="AJ347" s="6"/>
      <c r="AK347" s="6"/>
      <c r="AL347" s="12"/>
      <c r="AM347" s="12"/>
      <c r="AN347" s="12"/>
      <c r="AO347" s="12"/>
      <c r="AP347" s="12"/>
    </row>
    <row r="348" spans="1:42" ht="15" x14ac:dyDescent="0.25">
      <c r="A348" s="82" t="str">
        <f>TDCTRIBE!I356</f>
        <v>Northern Plains</v>
      </c>
      <c r="B348" s="82" t="str">
        <f>TDCTRIBE!B356</f>
        <v>UT</v>
      </c>
      <c r="C348" s="82" t="str">
        <f>TDCTRIBE!F356</f>
        <v>Skull Valley Band of Goshute</v>
      </c>
      <c r="D348" s="83">
        <f>TDCTRIBE!Y356</f>
        <v>288845.12118000002</v>
      </c>
      <c r="E348" s="83">
        <f>TDCTRIBE!Z356</f>
        <v>319357.34556599997</v>
      </c>
      <c r="F348" s="83">
        <f>TDCTRIBE!AA356</f>
        <v>362242.28740700003</v>
      </c>
      <c r="G348" s="83">
        <f>TDCTRIBE!AB356</f>
        <v>392533.64998400002</v>
      </c>
      <c r="H348" s="83">
        <f>TDCTRIBE!AC356</f>
        <v>423190.02955599996</v>
      </c>
      <c r="O348" s="9"/>
      <c r="P348" s="1"/>
      <c r="Q348" s="1"/>
      <c r="R348" s="1"/>
      <c r="S348" s="1"/>
      <c r="T348" s="1"/>
      <c r="U348" s="1"/>
      <c r="V348" s="9"/>
      <c r="W348" s="3"/>
      <c r="X348" s="4"/>
      <c r="Y348" s="1"/>
      <c r="Z348" s="7"/>
      <c r="AA348" s="1"/>
      <c r="AB348" s="1"/>
      <c r="AC348" s="1"/>
      <c r="AD348" s="3"/>
      <c r="AE348" s="3"/>
      <c r="AF348" s="5"/>
      <c r="AG348" s="5"/>
      <c r="AH348" s="5"/>
      <c r="AI348" s="5"/>
      <c r="AJ348" s="6"/>
      <c r="AK348" s="6"/>
      <c r="AL348" s="12"/>
      <c r="AM348" s="12"/>
      <c r="AN348" s="12"/>
      <c r="AO348" s="12"/>
      <c r="AP348" s="12"/>
    </row>
    <row r="349" spans="1:42" ht="15" x14ac:dyDescent="0.25">
      <c r="A349" s="82" t="str">
        <f>TDCTRIBE!I357</f>
        <v>Northern Plains</v>
      </c>
      <c r="B349" s="82" t="str">
        <f>TDCTRIBE!B357</f>
        <v>UT</v>
      </c>
      <c r="C349" s="82" t="str">
        <f>TDCTRIBE!F357</f>
        <v>Uintah &amp; Ouray Ute Indian Tribe</v>
      </c>
      <c r="D349" s="83">
        <f>TDCTRIBE!Y357</f>
        <v>288845.12118000002</v>
      </c>
      <c r="E349" s="83">
        <f>TDCTRIBE!Z357</f>
        <v>319357.34556599997</v>
      </c>
      <c r="F349" s="83">
        <f>TDCTRIBE!AA357</f>
        <v>362242.28740700003</v>
      </c>
      <c r="G349" s="83">
        <f>TDCTRIBE!AB357</f>
        <v>392533.64998400002</v>
      </c>
      <c r="H349" s="83">
        <f>TDCTRIBE!AC357</f>
        <v>423190.02955599996</v>
      </c>
      <c r="O349" s="9"/>
      <c r="P349" s="1"/>
      <c r="Q349" s="1"/>
      <c r="R349" s="1"/>
      <c r="S349" s="1"/>
      <c r="T349" s="1"/>
      <c r="U349" s="1"/>
      <c r="V349" s="9"/>
      <c r="W349" s="3"/>
      <c r="X349" s="4"/>
      <c r="Y349" s="7"/>
      <c r="Z349" s="1"/>
      <c r="AA349" s="1"/>
      <c r="AB349" s="1"/>
      <c r="AC349" s="1"/>
      <c r="AD349" s="3"/>
      <c r="AE349" s="3"/>
      <c r="AF349" s="5"/>
      <c r="AG349" s="5"/>
      <c r="AH349" s="5"/>
      <c r="AI349" s="5"/>
      <c r="AJ349" s="6"/>
      <c r="AK349" s="6"/>
      <c r="AL349" s="12"/>
      <c r="AM349" s="12"/>
      <c r="AN349" s="12"/>
      <c r="AO349" s="12"/>
      <c r="AP349" s="12"/>
    </row>
    <row r="350" spans="1:42" ht="15" x14ac:dyDescent="0.25">
      <c r="A350" s="82" t="str">
        <f>TDCTRIBE!I358</f>
        <v>Northern Plains</v>
      </c>
      <c r="B350" s="82" t="str">
        <f>TDCTRIBE!B358</f>
        <v>UT</v>
      </c>
      <c r="C350" s="82" t="str">
        <f>TDCTRIBE!F358</f>
        <v>Utah Paiute Tribe</v>
      </c>
      <c r="D350" s="83">
        <f>TDCTRIBE!Y358</f>
        <v>282687.88432499999</v>
      </c>
      <c r="E350" s="83">
        <f>TDCTRIBE!Z358</f>
        <v>312506.00356499996</v>
      </c>
      <c r="F350" s="83">
        <f>TDCTRIBE!AA358</f>
        <v>354405.95594250003</v>
      </c>
      <c r="G350" s="83">
        <f>TDCTRIBE!AB358</f>
        <v>384006.603435</v>
      </c>
      <c r="H350" s="83">
        <f>TDCTRIBE!AC358</f>
        <v>413990.83141500002</v>
      </c>
      <c r="O350" s="9"/>
      <c r="P350" s="1"/>
      <c r="Q350" s="1"/>
      <c r="R350" s="1"/>
      <c r="S350" s="1"/>
      <c r="T350" s="1"/>
      <c r="U350" s="1"/>
      <c r="V350" s="9"/>
      <c r="W350" s="3"/>
      <c r="X350" s="4"/>
      <c r="Y350" s="1"/>
      <c r="Z350" s="7"/>
      <c r="AA350" s="1"/>
      <c r="AB350" s="1"/>
      <c r="AC350" s="1"/>
      <c r="AD350" s="3"/>
      <c r="AE350" s="3"/>
      <c r="AF350" s="5"/>
      <c r="AG350" s="5"/>
      <c r="AH350" s="5"/>
      <c r="AI350" s="5"/>
      <c r="AJ350" s="6"/>
      <c r="AK350" s="6"/>
      <c r="AL350" s="12"/>
      <c r="AM350" s="12"/>
      <c r="AN350" s="12"/>
      <c r="AO350" s="12"/>
      <c r="AP350" s="12"/>
    </row>
    <row r="351" spans="1:42" ht="15" x14ac:dyDescent="0.25">
      <c r="A351" s="82" t="str">
        <f>TDCTRIBE!I359</f>
        <v>Northern Plains</v>
      </c>
      <c r="B351" s="82" t="str">
        <f>TDCTRIBE!B359</f>
        <v>WY</v>
      </c>
      <c r="C351" s="82" t="str">
        <f>TDCTRIBE!F359</f>
        <v>Northern Arapahoe</v>
      </c>
      <c r="D351" s="83">
        <f>TDCTRIBE!Y359</f>
        <v>276348.44275499997</v>
      </c>
      <c r="E351" s="83">
        <f>TDCTRIBE!Z359</f>
        <v>305504.12783099996</v>
      </c>
      <c r="F351" s="83">
        <f>TDCTRIBE!AA359</f>
        <v>346474.5894995</v>
      </c>
      <c r="G351" s="83">
        <f>TDCTRIBE!AB359</f>
        <v>375417.86846899998</v>
      </c>
      <c r="H351" s="83">
        <f>TDCTRIBE!AC359</f>
        <v>404732.35392100003</v>
      </c>
      <c r="O351" s="9"/>
      <c r="P351" s="1"/>
      <c r="Q351" s="1"/>
      <c r="R351" s="1"/>
      <c r="S351" s="1"/>
      <c r="T351" s="1"/>
      <c r="U351" s="1"/>
      <c r="V351" s="9"/>
      <c r="W351" s="3"/>
      <c r="X351" s="4"/>
      <c r="Y351" s="1"/>
      <c r="Z351" s="1"/>
      <c r="AA351" s="1"/>
      <c r="AB351" s="1"/>
      <c r="AC351" s="1"/>
      <c r="AD351" s="3"/>
      <c r="AE351" s="3"/>
      <c r="AF351" s="5"/>
      <c r="AG351" s="5"/>
      <c r="AH351" s="5"/>
      <c r="AI351" s="5"/>
      <c r="AJ351" s="6"/>
      <c r="AK351" s="6"/>
      <c r="AL351" s="12"/>
      <c r="AM351" s="12"/>
      <c r="AN351" s="12"/>
      <c r="AO351" s="12"/>
      <c r="AP351" s="12"/>
    </row>
    <row r="352" spans="1:42" ht="15" x14ac:dyDescent="0.25">
      <c r="A352" s="82" t="str">
        <f>TDCTRIBE!I360</f>
        <v>Northern Plains</v>
      </c>
      <c r="B352" s="82" t="str">
        <f>TDCTRIBE!B360</f>
        <v>WY</v>
      </c>
      <c r="C352" s="82" t="str">
        <f>TDCTRIBE!F360</f>
        <v>Shoshone Tribe of the Wind River Res.</v>
      </c>
      <c r="D352" s="83">
        <f>TDCTRIBE!Y360</f>
        <v>276348.44275499997</v>
      </c>
      <c r="E352" s="83">
        <f>TDCTRIBE!Z360</f>
        <v>305504.12783099996</v>
      </c>
      <c r="F352" s="83">
        <f>TDCTRIBE!AA360</f>
        <v>342838.52599850006</v>
      </c>
      <c r="G352" s="83">
        <f>TDCTRIBE!AB360</f>
        <v>371441.71540700004</v>
      </c>
      <c r="H352" s="83">
        <f>TDCTRIBE!AC360</f>
        <v>400439.36176300002</v>
      </c>
      <c r="O352" s="9"/>
      <c r="P352" s="1"/>
      <c r="Q352" s="1"/>
      <c r="R352" s="1"/>
      <c r="S352" s="1"/>
      <c r="T352" s="1"/>
      <c r="U352" s="1"/>
      <c r="V352" s="9"/>
      <c r="W352" s="3"/>
      <c r="X352" s="4"/>
      <c r="Y352" s="1"/>
      <c r="Z352" s="7"/>
      <c r="AA352" s="1"/>
      <c r="AB352" s="1"/>
      <c r="AC352" s="1"/>
      <c r="AD352" s="3"/>
      <c r="AE352" s="3"/>
      <c r="AF352" s="5"/>
      <c r="AG352" s="5"/>
      <c r="AH352" s="5"/>
      <c r="AI352" s="5"/>
      <c r="AJ352" s="6"/>
      <c r="AK352" s="6"/>
      <c r="AL352" s="12"/>
      <c r="AM352" s="12"/>
      <c r="AN352" s="12"/>
      <c r="AO352" s="12"/>
      <c r="AP352" s="12"/>
    </row>
    <row r="353" spans="1:42" ht="15" x14ac:dyDescent="0.25">
      <c r="A353" s="82" t="str">
        <f>TDCTRIBE!I361</f>
        <v>Northwest</v>
      </c>
      <c r="B353" s="82" t="str">
        <f>TDCTRIBE!B361</f>
        <v>ID</v>
      </c>
      <c r="C353" s="82" t="str">
        <f>TDCTRIBE!F361</f>
        <v>Coeur D'Alene Tribe</v>
      </c>
      <c r="D353" s="83">
        <f>TDCTRIBE!Y361</f>
        <v>312308.59968000004</v>
      </c>
      <c r="E353" s="83">
        <f>TDCTRIBE!Z361</f>
        <v>344917.64676600002</v>
      </c>
      <c r="F353" s="83">
        <f>TDCTRIBE!AA361</f>
        <v>390667.31480700005</v>
      </c>
      <c r="G353" s="83">
        <f>TDCTRIBE!AB361</f>
        <v>423026.04128400004</v>
      </c>
      <c r="H353" s="83">
        <f>TDCTRIBE!AC361</f>
        <v>456009.65625599999</v>
      </c>
      <c r="O353" s="9"/>
      <c r="P353" s="1"/>
      <c r="Q353" s="1"/>
      <c r="R353" s="1"/>
      <c r="S353" s="1"/>
      <c r="T353" s="1"/>
      <c r="U353" s="1"/>
      <c r="V353" s="9"/>
      <c r="W353" s="3"/>
      <c r="X353" s="4"/>
      <c r="Y353" s="1"/>
      <c r="Z353" s="1"/>
      <c r="AA353" s="1"/>
      <c r="AB353" s="1"/>
      <c r="AC353" s="1"/>
      <c r="AD353" s="3"/>
      <c r="AE353" s="3"/>
      <c r="AF353" s="5"/>
      <c r="AG353" s="5"/>
      <c r="AH353" s="5"/>
      <c r="AI353" s="5"/>
      <c r="AJ353" s="6"/>
      <c r="AK353" s="6"/>
      <c r="AL353" s="12"/>
      <c r="AM353" s="12"/>
      <c r="AN353" s="12"/>
      <c r="AO353" s="12"/>
      <c r="AP353" s="12"/>
    </row>
    <row r="354" spans="1:42" ht="15" x14ac:dyDescent="0.25">
      <c r="A354" s="82" t="str">
        <f>TDCTRIBE!I362</f>
        <v>Northwest</v>
      </c>
      <c r="B354" s="82" t="str">
        <f>TDCTRIBE!B362</f>
        <v>ID</v>
      </c>
      <c r="C354" s="82" t="str">
        <f>TDCTRIBE!F362</f>
        <v>Fort Hall Shoshone-Bannock</v>
      </c>
      <c r="D354" s="83">
        <f>TDCTRIBE!Y362</f>
        <v>292561.45611000003</v>
      </c>
      <c r="E354" s="83">
        <f>TDCTRIBE!Z362</f>
        <v>323309.884632</v>
      </c>
      <c r="F354" s="83">
        <f>TDCTRIBE!AA362</f>
        <v>366493.075564</v>
      </c>
      <c r="G354" s="83">
        <f>TDCTRIBE!AB362</f>
        <v>397013.08271800005</v>
      </c>
      <c r="H354" s="83">
        <f>TDCTRIBE!AC362</f>
        <v>427997.10636199999</v>
      </c>
      <c r="O354" s="9"/>
      <c r="P354" s="1"/>
      <c r="Q354" s="1"/>
      <c r="R354" s="1"/>
      <c r="S354" s="1"/>
      <c r="T354" s="1"/>
      <c r="U354" s="1"/>
      <c r="V354" s="9"/>
      <c r="W354" s="3"/>
      <c r="X354" s="4"/>
      <c r="Y354" s="1"/>
      <c r="Z354" s="1"/>
      <c r="AA354" s="1"/>
      <c r="AB354" s="1"/>
      <c r="AC354" s="1"/>
      <c r="AD354" s="3"/>
      <c r="AE354" s="3"/>
      <c r="AF354" s="5"/>
      <c r="AG354" s="5"/>
      <c r="AH354" s="5"/>
      <c r="AI354" s="5"/>
      <c r="AJ354" s="6"/>
      <c r="AK354" s="6"/>
      <c r="AL354" s="12"/>
      <c r="AM354" s="12"/>
      <c r="AN354" s="12"/>
      <c r="AO354" s="12"/>
      <c r="AP354" s="12"/>
    </row>
    <row r="355" spans="1:42" ht="15" x14ac:dyDescent="0.25">
      <c r="A355" s="82" t="str">
        <f>TDCTRIBE!I363</f>
        <v>Northwest</v>
      </c>
      <c r="B355" s="82" t="str">
        <f>TDCTRIBE!B363</f>
        <v>ID</v>
      </c>
      <c r="C355" s="82" t="str">
        <f>TDCTRIBE!F363</f>
        <v>Kootenai Tribe</v>
      </c>
      <c r="D355" s="83">
        <f>TDCTRIBE!Y363</f>
        <v>312308.59968000004</v>
      </c>
      <c r="E355" s="83">
        <f>TDCTRIBE!Z363</f>
        <v>344917.64676600002</v>
      </c>
      <c r="F355" s="83">
        <f>TDCTRIBE!AA363</f>
        <v>390667.31480700005</v>
      </c>
      <c r="G355" s="83">
        <f>TDCTRIBE!AB363</f>
        <v>423026.04128400004</v>
      </c>
      <c r="H355" s="83">
        <f>TDCTRIBE!AC363</f>
        <v>456009.65625599999</v>
      </c>
      <c r="O355" s="9"/>
      <c r="P355" s="1"/>
      <c r="Q355" s="1"/>
      <c r="R355" s="1"/>
      <c r="S355" s="7"/>
      <c r="T355" s="1"/>
      <c r="U355" s="1"/>
      <c r="V355" s="9"/>
      <c r="W355" s="3"/>
      <c r="X355" s="4"/>
      <c r="Y355" s="1"/>
      <c r="Z355" s="1"/>
      <c r="AA355" s="1"/>
      <c r="AB355" s="1"/>
      <c r="AC355" s="1"/>
      <c r="AD355" s="3"/>
      <c r="AE355" s="3"/>
      <c r="AF355" s="5"/>
      <c r="AG355" s="5"/>
      <c r="AH355" s="5"/>
      <c r="AI355" s="5"/>
      <c r="AJ355" s="6"/>
      <c r="AK355" s="6"/>
      <c r="AL355" s="12"/>
      <c r="AM355" s="12"/>
      <c r="AN355" s="12"/>
      <c r="AO355" s="12"/>
      <c r="AP355" s="12"/>
    </row>
    <row r="356" spans="1:42" ht="15" x14ac:dyDescent="0.25">
      <c r="A356" s="82" t="str">
        <f>TDCTRIBE!I364</f>
        <v>Northwest</v>
      </c>
      <c r="B356" s="82" t="str">
        <f>TDCTRIBE!B364</f>
        <v>ID</v>
      </c>
      <c r="C356" s="82" t="str">
        <f>TDCTRIBE!F364</f>
        <v>Nez Perce Tribe</v>
      </c>
      <c r="D356" s="83">
        <f>TDCTRIBE!Y364</f>
        <v>310632.63692999998</v>
      </c>
      <c r="E356" s="83">
        <f>TDCTRIBE!Z364</f>
        <v>343091.91096599994</v>
      </c>
      <c r="F356" s="83">
        <f>TDCTRIBE!AA364</f>
        <v>388636.95570699999</v>
      </c>
      <c r="G356" s="83">
        <f>TDCTRIBE!AB364</f>
        <v>420848.01333399996</v>
      </c>
      <c r="H356" s="83">
        <f>TDCTRIBE!AC364</f>
        <v>453665.39720599999</v>
      </c>
      <c r="O356" s="9"/>
      <c r="P356" s="1"/>
      <c r="Q356" s="1"/>
      <c r="R356" s="1"/>
      <c r="S356" s="1"/>
      <c r="T356" s="1"/>
      <c r="U356" s="1"/>
      <c r="V356" s="9"/>
      <c r="W356" s="3"/>
      <c r="X356" s="4"/>
      <c r="Y356" s="1"/>
      <c r="Z356" s="1"/>
      <c r="AA356" s="1"/>
      <c r="AB356" s="1"/>
      <c r="AC356" s="1"/>
      <c r="AD356" s="3"/>
      <c r="AE356" s="3"/>
      <c r="AF356" s="5"/>
      <c r="AG356" s="5"/>
      <c r="AH356" s="5"/>
      <c r="AI356" s="5"/>
      <c r="AJ356" s="6"/>
      <c r="AK356" s="6"/>
      <c r="AL356" s="12"/>
      <c r="AM356" s="12"/>
      <c r="AN356" s="12"/>
      <c r="AO356" s="12"/>
      <c r="AP356" s="12"/>
    </row>
    <row r="357" spans="1:42" ht="15" x14ac:dyDescent="0.25">
      <c r="A357" s="82" t="str">
        <f>TDCTRIBE!I365</f>
        <v>Northwest</v>
      </c>
      <c r="B357" s="82" t="str">
        <f>TDCTRIBE!B365</f>
        <v>OR</v>
      </c>
      <c r="C357" s="82" t="str">
        <f>TDCTRIBE!F365</f>
        <v>Burns-Paiute Tribe</v>
      </c>
      <c r="D357" s="83">
        <f>TDCTRIBE!Y365</f>
        <v>323129.31535499997</v>
      </c>
      <c r="E357" s="83">
        <f>TDCTRIBE!Z365</f>
        <v>356945.12870099995</v>
      </c>
      <c r="F357" s="83">
        <f>TDCTRIBE!AA365</f>
        <v>404404.65361450007</v>
      </c>
      <c r="G357" s="83">
        <f>TDCTRIBE!AB365</f>
        <v>437963.79484900006</v>
      </c>
      <c r="H357" s="83">
        <f>TDCTRIBE!AC365</f>
        <v>472123.07284099999</v>
      </c>
      <c r="O357" s="9"/>
      <c r="P357" s="1"/>
      <c r="Q357" s="1"/>
      <c r="R357" s="1"/>
      <c r="S357" s="1"/>
      <c r="T357" s="1"/>
      <c r="U357" s="1"/>
      <c r="V357" s="9"/>
      <c r="W357" s="3"/>
      <c r="X357" s="4"/>
      <c r="Y357" s="1"/>
      <c r="Z357" s="1"/>
      <c r="AA357" s="1"/>
      <c r="AB357" s="1"/>
      <c r="AC357" s="1"/>
      <c r="AD357" s="3"/>
      <c r="AE357" s="3"/>
      <c r="AF357" s="5"/>
      <c r="AG357" s="5"/>
      <c r="AH357" s="5"/>
      <c r="AI357" s="5"/>
      <c r="AJ357" s="6"/>
      <c r="AK357" s="6"/>
      <c r="AL357" s="12"/>
      <c r="AM357" s="12"/>
      <c r="AN357" s="12"/>
      <c r="AO357" s="12"/>
      <c r="AP357" s="12"/>
    </row>
    <row r="358" spans="1:42" ht="15" x14ac:dyDescent="0.25">
      <c r="A358" s="82" t="str">
        <f>TDCTRIBE!I366</f>
        <v>Northwest</v>
      </c>
      <c r="B358" s="82" t="str">
        <f>TDCTRIBE!B366</f>
        <v>OR</v>
      </c>
      <c r="C358" s="82" t="str">
        <f>TDCTRIBE!F366</f>
        <v>Coos Bay Confederated Tribes</v>
      </c>
      <c r="D358" s="83">
        <f>TDCTRIBE!Y366</f>
        <v>327246.18002999999</v>
      </c>
      <c r="E358" s="83">
        <f>TDCTRIBE!Z366</f>
        <v>361669.66743600002</v>
      </c>
      <c r="F358" s="83">
        <f>TDCTRIBE!AA366</f>
        <v>410020.55602200009</v>
      </c>
      <c r="G358" s="83">
        <f>TDCTRIBE!AB366</f>
        <v>444189.43661400006</v>
      </c>
      <c r="H358" s="83">
        <f>TDCTRIBE!AC366</f>
        <v>478859.45322600007</v>
      </c>
      <c r="O358" s="9"/>
      <c r="P358" s="1"/>
      <c r="Q358" s="1"/>
      <c r="R358" s="1"/>
      <c r="S358" s="1"/>
      <c r="T358" s="1"/>
      <c r="U358" s="1"/>
      <c r="V358" s="9"/>
      <c r="W358" s="3"/>
      <c r="X358" s="4"/>
      <c r="Y358" s="1"/>
      <c r="Z358" s="1"/>
      <c r="AA358" s="1"/>
      <c r="AB358" s="1"/>
      <c r="AC358" s="1"/>
      <c r="AD358" s="3"/>
      <c r="AE358" s="3"/>
      <c r="AF358" s="5"/>
      <c r="AG358" s="5"/>
      <c r="AH358" s="5"/>
      <c r="AI358" s="5"/>
      <c r="AJ358" s="6"/>
      <c r="AK358" s="6"/>
      <c r="AL358" s="12"/>
      <c r="AM358" s="12"/>
      <c r="AN358" s="12"/>
      <c r="AO358" s="12"/>
      <c r="AP358" s="12"/>
    </row>
    <row r="359" spans="1:42" ht="15" x14ac:dyDescent="0.25">
      <c r="A359" s="82" t="str">
        <f>TDCTRIBE!I367</f>
        <v>Northwest</v>
      </c>
      <c r="B359" s="82" t="str">
        <f>TDCTRIBE!B367</f>
        <v>OR</v>
      </c>
      <c r="C359" s="82" t="str">
        <f>TDCTRIBE!F367</f>
        <v>Coquille Indian Tribe</v>
      </c>
      <c r="D359" s="83">
        <f>TDCTRIBE!Y367</f>
        <v>327246.18002999999</v>
      </c>
      <c r="E359" s="83">
        <f>TDCTRIBE!Z367</f>
        <v>361669.66743600002</v>
      </c>
      <c r="F359" s="83">
        <f>TDCTRIBE!AA367</f>
        <v>410020.55602200009</v>
      </c>
      <c r="G359" s="83">
        <f>TDCTRIBE!AB367</f>
        <v>444189.43661400006</v>
      </c>
      <c r="H359" s="83">
        <f>TDCTRIBE!AC367</f>
        <v>478859.45322600007</v>
      </c>
      <c r="O359" s="9"/>
      <c r="P359" s="1"/>
      <c r="Q359" s="1"/>
      <c r="R359" s="1"/>
      <c r="S359" s="1"/>
      <c r="T359" s="1"/>
      <c r="U359" s="1"/>
      <c r="V359" s="9"/>
      <c r="W359" s="3"/>
      <c r="X359" s="4"/>
      <c r="Y359" s="1"/>
      <c r="Z359" s="1"/>
      <c r="AA359" s="1"/>
      <c r="AB359" s="1"/>
      <c r="AC359" s="1"/>
      <c r="AD359" s="3"/>
      <c r="AE359" s="3"/>
      <c r="AF359" s="5"/>
      <c r="AG359" s="5"/>
      <c r="AH359" s="5"/>
      <c r="AI359" s="5"/>
      <c r="AJ359" s="6"/>
      <c r="AK359" s="6"/>
      <c r="AL359" s="12"/>
      <c r="AM359" s="12"/>
      <c r="AN359" s="12"/>
      <c r="AO359" s="12"/>
      <c r="AP359" s="12"/>
    </row>
    <row r="360" spans="1:42" ht="15" x14ac:dyDescent="0.25">
      <c r="A360" s="82" t="str">
        <f>TDCTRIBE!I368</f>
        <v>Northwest</v>
      </c>
      <c r="B360" s="82" t="str">
        <f>TDCTRIBE!B368</f>
        <v>OR</v>
      </c>
      <c r="C360" s="82" t="str">
        <f>TDCTRIBE!F368</f>
        <v>Cow Creek Tribes</v>
      </c>
      <c r="D360" s="83">
        <f>TDCTRIBE!Y368</f>
        <v>327246.18002999999</v>
      </c>
      <c r="E360" s="83">
        <f>TDCTRIBE!Z368</f>
        <v>361669.66743600002</v>
      </c>
      <c r="F360" s="83">
        <f>TDCTRIBE!AA368</f>
        <v>410020.55602200009</v>
      </c>
      <c r="G360" s="83">
        <f>TDCTRIBE!AB368</f>
        <v>444189.43661400006</v>
      </c>
      <c r="H360" s="83">
        <f>TDCTRIBE!AC368</f>
        <v>478859.45322600007</v>
      </c>
      <c r="O360" s="9"/>
      <c r="P360" s="1"/>
      <c r="Q360" s="1"/>
      <c r="R360" s="1"/>
      <c r="S360" s="7"/>
      <c r="T360" s="1"/>
      <c r="U360" s="1"/>
      <c r="V360" s="9"/>
      <c r="W360" s="3"/>
      <c r="X360" s="4"/>
      <c r="Y360" s="1"/>
      <c r="Z360" s="1"/>
      <c r="AA360" s="1"/>
      <c r="AB360" s="1"/>
      <c r="AC360" s="1"/>
      <c r="AD360" s="3"/>
      <c r="AE360" s="3"/>
      <c r="AF360" s="5"/>
      <c r="AG360" s="5"/>
      <c r="AH360" s="5"/>
      <c r="AI360" s="5"/>
      <c r="AJ360" s="6"/>
      <c r="AK360" s="6"/>
      <c r="AL360" s="12"/>
      <c r="AM360" s="12"/>
      <c r="AN360" s="12"/>
      <c r="AO360" s="12"/>
      <c r="AP360" s="12"/>
    </row>
    <row r="361" spans="1:42" ht="15" x14ac:dyDescent="0.25">
      <c r="A361" s="82" t="str">
        <f>TDCTRIBE!I369</f>
        <v>Northwest</v>
      </c>
      <c r="B361" s="82" t="str">
        <f>TDCTRIBE!B369</f>
        <v>OR</v>
      </c>
      <c r="C361" s="82" t="str">
        <f>TDCTRIBE!F369</f>
        <v>Grand Ronde Confederated Tribes</v>
      </c>
      <c r="D361" s="83">
        <f>TDCTRIBE!Y369</f>
        <v>330415.900815</v>
      </c>
      <c r="E361" s="83">
        <f>TDCTRIBE!Z369</f>
        <v>365170.60530299996</v>
      </c>
      <c r="F361" s="83">
        <f>TDCTRIBE!AA369</f>
        <v>413986.23924350005</v>
      </c>
      <c r="G361" s="83">
        <f>TDCTRIBE!AB369</f>
        <v>448483.80409699999</v>
      </c>
      <c r="H361" s="83">
        <f>TDCTRIBE!AC369</f>
        <v>483488.69197300007</v>
      </c>
      <c r="O361" s="10"/>
      <c r="P361" s="1"/>
      <c r="Q361" s="1"/>
      <c r="R361" s="1"/>
      <c r="S361" s="1"/>
      <c r="T361" s="1"/>
      <c r="U361" s="1"/>
      <c r="V361" s="9"/>
      <c r="W361" s="3"/>
      <c r="X361" s="4"/>
      <c r="Y361" s="7"/>
      <c r="Z361" s="1"/>
      <c r="AA361" s="1"/>
      <c r="AB361" s="1"/>
      <c r="AC361" s="1"/>
      <c r="AD361" s="3"/>
      <c r="AE361" s="3"/>
      <c r="AF361" s="5"/>
      <c r="AG361" s="5"/>
      <c r="AH361" s="5"/>
      <c r="AI361" s="5"/>
      <c r="AJ361" s="6"/>
      <c r="AK361" s="6"/>
      <c r="AL361" s="12"/>
      <c r="AM361" s="12"/>
      <c r="AN361" s="12"/>
      <c r="AO361" s="12"/>
      <c r="AP361" s="12"/>
    </row>
    <row r="362" spans="1:42" ht="15" x14ac:dyDescent="0.25">
      <c r="A362" s="82" t="str">
        <f>TDCTRIBE!I370</f>
        <v>Northwest</v>
      </c>
      <c r="B362" s="82" t="str">
        <f>TDCTRIBE!B370</f>
        <v>OR</v>
      </c>
      <c r="C362" s="82" t="str">
        <f>TDCTRIBE!F370</f>
        <v>Klamath Indian Tribe</v>
      </c>
      <c r="D362" s="83">
        <f>TDCTRIBE!Y370</f>
        <v>318101.42710500001</v>
      </c>
      <c r="E362" s="83">
        <f>TDCTRIBE!Z370</f>
        <v>351467.92130099999</v>
      </c>
      <c r="F362" s="83">
        <f>TDCTRIBE!AA370</f>
        <v>398313.57631450007</v>
      </c>
      <c r="G362" s="83">
        <f>TDCTRIBE!AB370</f>
        <v>431429.710999</v>
      </c>
      <c r="H362" s="83">
        <f>TDCTRIBE!AC370</f>
        <v>465090.29569099995</v>
      </c>
      <c r="O362" s="9"/>
      <c r="P362" s="1"/>
      <c r="Q362" s="1"/>
      <c r="R362" s="1"/>
      <c r="S362" s="1"/>
      <c r="T362" s="1"/>
      <c r="U362" s="1"/>
      <c r="V362" s="9"/>
      <c r="W362" s="3"/>
      <c r="X362" s="4"/>
      <c r="Y362" s="1"/>
      <c r="Z362" s="1"/>
      <c r="AA362" s="1"/>
      <c r="AB362" s="1"/>
      <c r="AC362" s="1"/>
      <c r="AD362" s="3"/>
      <c r="AE362" s="3"/>
      <c r="AF362" s="5"/>
      <c r="AG362" s="5"/>
      <c r="AH362" s="5"/>
      <c r="AI362" s="5"/>
      <c r="AJ362" s="6"/>
      <c r="AK362" s="6"/>
      <c r="AL362" s="12"/>
      <c r="AM362" s="12"/>
      <c r="AN362" s="12"/>
      <c r="AO362" s="12"/>
      <c r="AP362" s="12"/>
    </row>
    <row r="363" spans="1:42" ht="15" x14ac:dyDescent="0.25">
      <c r="A363" s="82" t="str">
        <f>TDCTRIBE!I371</f>
        <v>Northwest</v>
      </c>
      <c r="B363" s="82" t="str">
        <f>TDCTRIBE!B371</f>
        <v>OR</v>
      </c>
      <c r="C363" s="82" t="str">
        <f>TDCTRIBE!F371</f>
        <v>Siletz Confederated Tribes</v>
      </c>
      <c r="D363" s="83">
        <f>TDCTRIBE!Y371</f>
        <v>330415.900815</v>
      </c>
      <c r="E363" s="83">
        <f>TDCTRIBE!Z371</f>
        <v>365170.60530299996</v>
      </c>
      <c r="F363" s="83">
        <f>TDCTRIBE!AA371</f>
        <v>413986.23924350005</v>
      </c>
      <c r="G363" s="83">
        <f>TDCTRIBE!AB371</f>
        <v>448483.80409699999</v>
      </c>
      <c r="H363" s="83">
        <f>TDCTRIBE!AC371</f>
        <v>483488.69197300007</v>
      </c>
      <c r="O363" s="9"/>
      <c r="P363" s="1"/>
      <c r="Q363" s="1"/>
      <c r="R363" s="1"/>
      <c r="S363" s="1"/>
      <c r="T363" s="1"/>
      <c r="U363" s="1"/>
      <c r="V363" s="9"/>
      <c r="W363" s="3"/>
      <c r="X363" s="4"/>
      <c r="Y363" s="7"/>
      <c r="Z363" s="1"/>
      <c r="AA363" s="1"/>
      <c r="AB363" s="1"/>
      <c r="AC363" s="1"/>
      <c r="AD363" s="3"/>
      <c r="AE363" s="3"/>
      <c r="AF363" s="5"/>
      <c r="AG363" s="5"/>
      <c r="AH363" s="5"/>
      <c r="AI363" s="5"/>
      <c r="AJ363" s="6"/>
      <c r="AK363" s="6"/>
      <c r="AL363" s="12"/>
      <c r="AM363" s="12"/>
      <c r="AN363" s="12"/>
      <c r="AO363" s="12"/>
      <c r="AP363" s="12"/>
    </row>
    <row r="364" spans="1:42" ht="15" x14ac:dyDescent="0.25">
      <c r="A364" s="82" t="str">
        <f>TDCTRIBE!I372</f>
        <v>Northwest</v>
      </c>
      <c r="B364" s="82" t="str">
        <f>TDCTRIBE!B372</f>
        <v>OR</v>
      </c>
      <c r="C364" s="82" t="str">
        <f>TDCTRIBE!F372</f>
        <v>Umatilla Confederated Tribes</v>
      </c>
      <c r="D364" s="83">
        <f>TDCTRIBE!Y372</f>
        <v>322764.90592500003</v>
      </c>
      <c r="E364" s="83">
        <f>TDCTRIBE!Z372</f>
        <v>356644.06123499997</v>
      </c>
      <c r="F364" s="83">
        <f>TDCTRIBE!AA372</f>
        <v>404214.58365750004</v>
      </c>
      <c r="G364" s="83">
        <f>TDCTRIBE!AB372</f>
        <v>437840.41801500006</v>
      </c>
      <c r="H364" s="83">
        <f>TDCTRIBE!AC372</f>
        <v>472004.51413500006</v>
      </c>
      <c r="O364" s="9"/>
      <c r="P364" s="1"/>
      <c r="Q364" s="1"/>
      <c r="R364" s="1"/>
      <c r="S364" s="1"/>
      <c r="T364" s="1"/>
      <c r="U364" s="1"/>
      <c r="V364" s="9"/>
      <c r="W364" s="3"/>
      <c r="X364" s="4"/>
      <c r="Y364" s="1"/>
      <c r="Z364" s="1"/>
      <c r="AA364" s="1"/>
      <c r="AB364" s="1"/>
      <c r="AC364" s="1"/>
      <c r="AD364" s="3"/>
      <c r="AE364" s="3"/>
      <c r="AF364" s="5"/>
      <c r="AG364" s="5"/>
      <c r="AH364" s="5"/>
      <c r="AI364" s="5"/>
      <c r="AJ364" s="6"/>
      <c r="AK364" s="6"/>
      <c r="AL364" s="12"/>
      <c r="AM364" s="12"/>
      <c r="AN364" s="12"/>
      <c r="AO364" s="12"/>
      <c r="AP364" s="12"/>
    </row>
    <row r="365" spans="1:42" ht="15" x14ac:dyDescent="0.25">
      <c r="A365" s="82" t="str">
        <f>TDCTRIBE!I373</f>
        <v>Northwest</v>
      </c>
      <c r="B365" s="82" t="str">
        <f>TDCTRIBE!B373</f>
        <v>OR</v>
      </c>
      <c r="C365" s="82" t="str">
        <f>TDCTRIBE!F373</f>
        <v>Warm Springs Confederated Tribes</v>
      </c>
      <c r="D365" s="83">
        <f>TDCTRIBE!Y373</f>
        <v>326116.83142500004</v>
      </c>
      <c r="E365" s="83">
        <f>TDCTRIBE!Z373</f>
        <v>360295.53283500002</v>
      </c>
      <c r="F365" s="83">
        <f>TDCTRIBE!AA373</f>
        <v>408275.30185750005</v>
      </c>
      <c r="G365" s="83">
        <f>TDCTRIBE!AB373</f>
        <v>442196.47391499998</v>
      </c>
      <c r="H365" s="83">
        <f>TDCTRIBE!AC373</f>
        <v>476693.03223499993</v>
      </c>
      <c r="O365" s="9"/>
      <c r="P365" s="1"/>
      <c r="Q365" s="1"/>
      <c r="R365" s="1"/>
      <c r="S365" s="1"/>
      <c r="T365" s="1"/>
      <c r="U365" s="1"/>
      <c r="V365" s="9"/>
      <c r="W365" s="3"/>
      <c r="X365" s="4"/>
      <c r="Y365" s="1"/>
      <c r="Z365" s="1"/>
      <c r="AA365" s="1"/>
      <c r="AB365" s="1"/>
      <c r="AC365" s="1"/>
      <c r="AD365" s="3"/>
      <c r="AE365" s="3"/>
      <c r="AF365" s="5"/>
      <c r="AG365" s="5"/>
      <c r="AH365" s="5"/>
      <c r="AI365" s="5"/>
      <c r="AJ365" s="6"/>
      <c r="AK365" s="6"/>
      <c r="AL365" s="12"/>
      <c r="AM365" s="12"/>
      <c r="AN365" s="12"/>
      <c r="AO365" s="12"/>
      <c r="AP365" s="12"/>
    </row>
    <row r="366" spans="1:42" ht="15" x14ac:dyDescent="0.25">
      <c r="A366" s="82" t="str">
        <f>TDCTRIBE!I374</f>
        <v>Northwest</v>
      </c>
      <c r="B366" s="82" t="str">
        <f>TDCTRIBE!B374</f>
        <v>WA</v>
      </c>
      <c r="C366" s="82" t="str">
        <f>TDCTRIBE!F374</f>
        <v>Chehalis Confederated Tribes</v>
      </c>
      <c r="D366" s="83">
        <f>TDCTRIBE!Y374</f>
        <v>340872.20706000004</v>
      </c>
      <c r="E366" s="83">
        <f>TDCTRIBE!Z374</f>
        <v>376897.01977199997</v>
      </c>
      <c r="F366" s="83">
        <f>TDCTRIBE!AA374</f>
        <v>427533.50809399999</v>
      </c>
      <c r="G366" s="83">
        <f>TDCTRIBE!AB374</f>
        <v>463298.18082800001</v>
      </c>
      <c r="H366" s="83">
        <f>TDCTRIBE!AC374</f>
        <v>499483.54985200008</v>
      </c>
      <c r="O366" s="9"/>
      <c r="P366" s="1"/>
      <c r="Q366" s="1"/>
      <c r="R366" s="1"/>
      <c r="S366" s="1"/>
      <c r="T366" s="1"/>
      <c r="U366" s="1"/>
      <c r="V366" s="9"/>
      <c r="W366" s="3"/>
      <c r="X366" s="4"/>
      <c r="Y366" s="1"/>
      <c r="Z366" s="1"/>
      <c r="AA366" s="1"/>
      <c r="AB366" s="1"/>
      <c r="AC366" s="1"/>
      <c r="AD366" s="3"/>
      <c r="AE366" s="3"/>
      <c r="AF366" s="5"/>
      <c r="AG366" s="5"/>
      <c r="AH366" s="5"/>
      <c r="AI366" s="5"/>
      <c r="AJ366" s="6"/>
      <c r="AK366" s="6"/>
      <c r="AL366" s="12"/>
      <c r="AM366" s="12"/>
      <c r="AN366" s="12"/>
      <c r="AO366" s="12"/>
      <c r="AP366" s="12"/>
    </row>
    <row r="367" spans="1:42" ht="15" x14ac:dyDescent="0.25">
      <c r="A367" s="82" t="str">
        <f>TDCTRIBE!I375</f>
        <v>Northwest</v>
      </c>
      <c r="B367" s="82" t="str">
        <f>TDCTRIBE!B375</f>
        <v>WA</v>
      </c>
      <c r="C367" s="82" t="str">
        <f>TDCTRIBE!F375</f>
        <v>Colville Confederated Tribes</v>
      </c>
      <c r="D367" s="83">
        <f>TDCTRIBE!Y375</f>
        <v>328011.119205</v>
      </c>
      <c r="E367" s="83">
        <f>TDCTRIBE!Z375</f>
        <v>362742.73457099998</v>
      </c>
      <c r="F367" s="83">
        <f>TDCTRIBE!AA375</f>
        <v>411575.74022949999</v>
      </c>
      <c r="G367" s="83">
        <f>TDCTRIBE!AB375</f>
        <v>446059.02247899992</v>
      </c>
      <c r="H367" s="83">
        <f>TDCTRIBE!AC375</f>
        <v>480907.31551099988</v>
      </c>
      <c r="O367" s="9"/>
      <c r="P367" s="1"/>
      <c r="Q367" s="1"/>
      <c r="R367" s="1"/>
      <c r="S367" s="1"/>
      <c r="T367" s="1"/>
      <c r="U367" s="1"/>
      <c r="V367" s="9"/>
      <c r="W367" s="3"/>
      <c r="X367" s="4"/>
      <c r="Y367" s="1"/>
      <c r="Z367" s="1"/>
      <c r="AA367" s="1"/>
      <c r="AB367" s="1"/>
      <c r="AC367" s="1"/>
      <c r="AD367" s="3"/>
      <c r="AE367" s="3"/>
      <c r="AF367" s="5"/>
      <c r="AG367" s="5"/>
      <c r="AH367" s="5"/>
      <c r="AI367" s="5"/>
      <c r="AJ367" s="6"/>
      <c r="AK367" s="6"/>
      <c r="AL367" s="12"/>
      <c r="AM367" s="12"/>
      <c r="AN367" s="12"/>
      <c r="AO367" s="12"/>
      <c r="AP367" s="12"/>
    </row>
    <row r="368" spans="1:42" ht="15" x14ac:dyDescent="0.25">
      <c r="A368" s="82" t="str">
        <f>TDCTRIBE!I376</f>
        <v>Northwest</v>
      </c>
      <c r="B368" s="82" t="str">
        <f>TDCTRIBE!B376</f>
        <v>WA</v>
      </c>
      <c r="C368" s="82" t="str">
        <f>TDCTRIBE!F376</f>
        <v>Cowlitz</v>
      </c>
      <c r="D368" s="83">
        <f>TDCTRIBE!Y376</f>
        <v>322400.49649499997</v>
      </c>
      <c r="E368" s="83">
        <f>TDCTRIBE!Z376</f>
        <v>356342.99376900005</v>
      </c>
      <c r="F368" s="83">
        <f>TDCTRIBE!AA376</f>
        <v>404024.51370050007</v>
      </c>
      <c r="G368" s="83">
        <f>TDCTRIBE!AB376</f>
        <v>437717.04118100007</v>
      </c>
      <c r="H368" s="83">
        <f>TDCTRIBE!AC376</f>
        <v>471885.95542900002</v>
      </c>
      <c r="O368" s="9"/>
      <c r="P368" s="1"/>
      <c r="Q368" s="1"/>
      <c r="R368" s="1"/>
      <c r="S368" s="1"/>
      <c r="T368" s="1"/>
      <c r="U368" s="1"/>
      <c r="V368" s="9"/>
      <c r="W368" s="3"/>
      <c r="X368" s="4"/>
      <c r="Y368" s="7"/>
      <c r="Z368" s="1"/>
      <c r="AA368" s="1"/>
      <c r="AB368" s="1"/>
      <c r="AC368" s="1"/>
      <c r="AD368" s="3"/>
      <c r="AE368" s="3"/>
      <c r="AF368" s="5"/>
      <c r="AG368" s="5"/>
      <c r="AH368" s="5"/>
      <c r="AI368" s="5"/>
      <c r="AJ368" s="6"/>
      <c r="AK368" s="6"/>
      <c r="AL368" s="12"/>
      <c r="AM368" s="12"/>
      <c r="AN368" s="12"/>
      <c r="AO368" s="12"/>
      <c r="AP368" s="12"/>
    </row>
    <row r="369" spans="1:42" ht="15" x14ac:dyDescent="0.25">
      <c r="A369" s="82" t="str">
        <f>TDCTRIBE!I377</f>
        <v>Northwest</v>
      </c>
      <c r="B369" s="82" t="str">
        <f>TDCTRIBE!B377</f>
        <v>WA</v>
      </c>
      <c r="C369" s="82" t="str">
        <f>TDCTRIBE!F377</f>
        <v>Hoh Indian Tribe</v>
      </c>
      <c r="D369" s="83">
        <f>TDCTRIBE!Y377</f>
        <v>351692.92273500003</v>
      </c>
      <c r="E369" s="83">
        <f>TDCTRIBE!Z377</f>
        <v>388924.50170699996</v>
      </c>
      <c r="F369" s="83">
        <f>TDCTRIBE!AA377</f>
        <v>441270.84690150007</v>
      </c>
      <c r="G369" s="83">
        <f>TDCTRIBE!AB377</f>
        <v>478235.93439300009</v>
      </c>
      <c r="H369" s="83">
        <f>TDCTRIBE!AC377</f>
        <v>515596.96643700002</v>
      </c>
      <c r="O369" s="9"/>
      <c r="P369" s="1"/>
      <c r="Q369" s="1"/>
      <c r="R369" s="1"/>
      <c r="S369" s="1"/>
      <c r="T369" s="1"/>
      <c r="U369" s="1"/>
      <c r="V369" s="9"/>
      <c r="W369" s="3"/>
      <c r="X369" s="4"/>
      <c r="Y369" s="1"/>
      <c r="Z369" s="1"/>
      <c r="AA369" s="1"/>
      <c r="AB369" s="1"/>
      <c r="AC369" s="1"/>
      <c r="AD369" s="3"/>
      <c r="AE369" s="3"/>
      <c r="AF369" s="5"/>
      <c r="AG369" s="5"/>
      <c r="AH369" s="5"/>
      <c r="AI369" s="5"/>
      <c r="AJ369" s="6"/>
      <c r="AK369" s="6"/>
      <c r="AL369" s="12"/>
      <c r="AM369" s="12"/>
      <c r="AN369" s="12"/>
      <c r="AO369" s="12"/>
      <c r="AP369" s="12"/>
    </row>
    <row r="370" spans="1:42" ht="15" x14ac:dyDescent="0.25">
      <c r="A370" s="82" t="str">
        <f>TDCTRIBE!I378</f>
        <v>Northwest</v>
      </c>
      <c r="B370" s="82" t="str">
        <f>TDCTRIBE!B378</f>
        <v>WA</v>
      </c>
      <c r="C370" s="82" t="str">
        <f>TDCTRIBE!F378</f>
        <v>Jamestown S'Kallam Tribe</v>
      </c>
      <c r="D370" s="83">
        <f>TDCTRIBE!Y378</f>
        <v>339742.85845500004</v>
      </c>
      <c r="E370" s="83">
        <f>TDCTRIBE!Z378</f>
        <v>375522.88517099991</v>
      </c>
      <c r="F370" s="83">
        <f>TDCTRIBE!AA378</f>
        <v>425788.2539295</v>
      </c>
      <c r="G370" s="83">
        <f>TDCTRIBE!AB378</f>
        <v>461305.21812899993</v>
      </c>
      <c r="H370" s="83">
        <f>TDCTRIBE!AC378</f>
        <v>497317.12886099995</v>
      </c>
      <c r="O370" s="9"/>
      <c r="P370" s="1"/>
      <c r="Q370" s="1"/>
      <c r="R370" s="1"/>
      <c r="S370" s="1"/>
      <c r="T370" s="1"/>
      <c r="U370" s="1"/>
      <c r="V370" s="9"/>
      <c r="W370" s="3"/>
      <c r="X370" s="4"/>
      <c r="Y370" s="1"/>
      <c r="Z370" s="1"/>
      <c r="AA370" s="1"/>
      <c r="AB370" s="1"/>
      <c r="AC370" s="1"/>
      <c r="AD370" s="3"/>
      <c r="AE370" s="3"/>
      <c r="AF370" s="5"/>
      <c r="AG370" s="5"/>
      <c r="AH370" s="5"/>
      <c r="AI370" s="5"/>
      <c r="AJ370" s="6"/>
      <c r="AK370" s="6"/>
      <c r="AL370" s="12"/>
      <c r="AM370" s="12"/>
      <c r="AN370" s="12"/>
      <c r="AO370" s="12"/>
      <c r="AP370" s="12"/>
    </row>
    <row r="371" spans="1:42" ht="15" x14ac:dyDescent="0.25">
      <c r="A371" s="82" t="str">
        <f>TDCTRIBE!I379</f>
        <v>Northwest</v>
      </c>
      <c r="B371" s="82" t="str">
        <f>TDCTRIBE!B379</f>
        <v>WA</v>
      </c>
      <c r="C371" s="82" t="str">
        <f>TDCTRIBE!F379</f>
        <v>Kalispel Indian Community</v>
      </c>
      <c r="D371" s="83">
        <f>TDCTRIBE!Y379</f>
        <v>331363.04470500001</v>
      </c>
      <c r="E371" s="83">
        <f>TDCTRIBE!Z379</f>
        <v>366394.20617099997</v>
      </c>
      <c r="F371" s="83">
        <f>TDCTRIBE!AA379</f>
        <v>415636.45842949999</v>
      </c>
      <c r="G371" s="83">
        <f>TDCTRIBE!AB379</f>
        <v>450415.07837900001</v>
      </c>
      <c r="H371" s="83">
        <f>TDCTRIBE!AC379</f>
        <v>485595.83361099998</v>
      </c>
      <c r="O371" s="9"/>
      <c r="P371" s="1"/>
      <c r="Q371" s="1"/>
      <c r="R371" s="1"/>
      <c r="S371" s="1"/>
      <c r="T371" s="1"/>
      <c r="U371" s="1"/>
      <c r="V371" s="9"/>
      <c r="W371" s="3"/>
      <c r="X371" s="4"/>
      <c r="Y371" s="1"/>
      <c r="Z371" s="1"/>
      <c r="AA371" s="1"/>
      <c r="AB371" s="1"/>
      <c r="AC371" s="1"/>
      <c r="AD371" s="3"/>
      <c r="AE371" s="3"/>
      <c r="AF371" s="5"/>
      <c r="AG371" s="5"/>
      <c r="AH371" s="5"/>
      <c r="AI371" s="5"/>
      <c r="AJ371" s="6"/>
      <c r="AK371" s="6"/>
      <c r="AL371" s="12"/>
      <c r="AM371" s="12"/>
      <c r="AN371" s="12"/>
      <c r="AO371" s="12"/>
      <c r="AP371" s="12"/>
    </row>
    <row r="372" spans="1:42" ht="15" x14ac:dyDescent="0.25">
      <c r="A372" s="82" t="str">
        <f>TDCTRIBE!I380</f>
        <v>Northwest</v>
      </c>
      <c r="B372" s="82" t="str">
        <f>TDCTRIBE!B380</f>
        <v>WA</v>
      </c>
      <c r="C372" s="82" t="str">
        <f>TDCTRIBE!F380</f>
        <v>Lower Elwha Tribal Community</v>
      </c>
      <c r="D372" s="83">
        <f>TDCTRIBE!Y380</f>
        <v>339742.85845500004</v>
      </c>
      <c r="E372" s="83">
        <f>TDCTRIBE!Z380</f>
        <v>375522.88517099991</v>
      </c>
      <c r="F372" s="83">
        <f>TDCTRIBE!AA380</f>
        <v>425788.2539295</v>
      </c>
      <c r="G372" s="83">
        <f>TDCTRIBE!AB380</f>
        <v>461305.21812899993</v>
      </c>
      <c r="H372" s="83">
        <f>TDCTRIBE!AC380</f>
        <v>497317.12886099995</v>
      </c>
      <c r="O372" s="9"/>
      <c r="P372" s="1"/>
      <c r="Q372" s="1"/>
      <c r="R372" s="1"/>
      <c r="S372" s="1"/>
      <c r="T372" s="1"/>
      <c r="U372" s="1"/>
      <c r="V372" s="9"/>
      <c r="W372" s="3"/>
      <c r="X372" s="4"/>
      <c r="Y372" s="1"/>
      <c r="Z372" s="1"/>
      <c r="AA372" s="1"/>
      <c r="AB372" s="1"/>
      <c r="AC372" s="1"/>
      <c r="AD372" s="3"/>
      <c r="AE372" s="3"/>
      <c r="AF372" s="5"/>
      <c r="AG372" s="5"/>
      <c r="AH372" s="5"/>
      <c r="AI372" s="5"/>
      <c r="AJ372" s="6"/>
      <c r="AK372" s="6"/>
      <c r="AL372" s="12"/>
      <c r="AM372" s="12"/>
      <c r="AN372" s="12"/>
      <c r="AO372" s="12"/>
      <c r="AP372" s="12"/>
    </row>
    <row r="373" spans="1:42" ht="15" x14ac:dyDescent="0.25">
      <c r="A373" s="82" t="str">
        <f>TDCTRIBE!I381</f>
        <v>Northwest</v>
      </c>
      <c r="B373" s="82" t="str">
        <f>TDCTRIBE!B381</f>
        <v>WA</v>
      </c>
      <c r="C373" s="82" t="str">
        <f>TDCTRIBE!F381</f>
        <v>Lummi Tribe</v>
      </c>
      <c r="D373" s="83">
        <f>TDCTRIBE!Y381</f>
        <v>346264.50474</v>
      </c>
      <c r="E373" s="83">
        <f>TDCTRIBE!Z381</f>
        <v>382675.29463799996</v>
      </c>
      <c r="F373" s="83">
        <f>TDCTRIBE!AA381</f>
        <v>433814.65535100002</v>
      </c>
      <c r="G373" s="83">
        <f>TDCTRIBE!AB381</f>
        <v>469955.641512</v>
      </c>
      <c r="H373" s="83">
        <f>TDCTRIBE!AC381</f>
        <v>506634.88570800005</v>
      </c>
      <c r="O373" s="9"/>
      <c r="P373" s="1"/>
      <c r="Q373" s="1"/>
      <c r="R373" s="1"/>
      <c r="S373" s="1"/>
      <c r="T373" s="1"/>
      <c r="U373" s="1"/>
      <c r="V373" s="9"/>
      <c r="W373" s="3"/>
      <c r="X373" s="4"/>
      <c r="Y373" s="7"/>
      <c r="Z373" s="1"/>
      <c r="AA373" s="1"/>
      <c r="AB373" s="1"/>
      <c r="AC373" s="1"/>
      <c r="AD373" s="3"/>
      <c r="AE373" s="3"/>
      <c r="AF373" s="5"/>
      <c r="AG373" s="5"/>
      <c r="AH373" s="5"/>
      <c r="AI373" s="5"/>
      <c r="AJ373" s="6"/>
      <c r="AK373" s="6"/>
      <c r="AL373" s="12"/>
      <c r="AM373" s="12"/>
      <c r="AN373" s="12"/>
      <c r="AO373" s="12"/>
      <c r="AP373" s="12"/>
    </row>
    <row r="374" spans="1:42" ht="15" x14ac:dyDescent="0.25">
      <c r="A374" s="82" t="str">
        <f>TDCTRIBE!I382</f>
        <v>Northwest</v>
      </c>
      <c r="B374" s="82" t="str">
        <f>TDCTRIBE!B382</f>
        <v>WA</v>
      </c>
      <c r="C374" s="82" t="str">
        <f>TDCTRIBE!F382</f>
        <v>Makah Indian Tribe</v>
      </c>
      <c r="D374" s="83">
        <f>TDCTRIBE!Y382</f>
        <v>351692.92273500003</v>
      </c>
      <c r="E374" s="83">
        <f>TDCTRIBE!Z382</f>
        <v>388924.50170699996</v>
      </c>
      <c r="F374" s="83">
        <f>TDCTRIBE!AA382</f>
        <v>441270.84690150007</v>
      </c>
      <c r="G374" s="83">
        <f>TDCTRIBE!AB382</f>
        <v>478235.93439300009</v>
      </c>
      <c r="H374" s="83">
        <f>TDCTRIBE!AC382</f>
        <v>515596.96643700002</v>
      </c>
      <c r="O374" s="9"/>
      <c r="P374" s="1"/>
      <c r="Q374" s="1"/>
      <c r="R374" s="1"/>
      <c r="S374" s="1"/>
      <c r="T374" s="1"/>
      <c r="U374" s="1"/>
      <c r="V374" s="9"/>
      <c r="W374" s="3"/>
      <c r="X374" s="4"/>
      <c r="Y374" s="1"/>
      <c r="Z374" s="1"/>
      <c r="AA374" s="1"/>
      <c r="AB374" s="1"/>
      <c r="AC374" s="1"/>
      <c r="AD374" s="3"/>
      <c r="AE374" s="3"/>
      <c r="AF374" s="5"/>
      <c r="AG374" s="5"/>
      <c r="AH374" s="5"/>
      <c r="AI374" s="5"/>
      <c r="AJ374" s="6"/>
      <c r="AK374" s="6"/>
      <c r="AL374" s="12"/>
      <c r="AM374" s="12"/>
      <c r="AN374" s="12"/>
      <c r="AO374" s="12"/>
      <c r="AP374" s="12"/>
    </row>
    <row r="375" spans="1:42" ht="15" x14ac:dyDescent="0.25">
      <c r="A375" s="82" t="str">
        <f>TDCTRIBE!I383</f>
        <v>Northwest</v>
      </c>
      <c r="B375" s="82" t="str">
        <f>TDCTRIBE!B383</f>
        <v>WA</v>
      </c>
      <c r="C375" s="82" t="str">
        <f>TDCTRIBE!F383</f>
        <v>Muckleshoot Indian Tribe</v>
      </c>
      <c r="D375" s="83">
        <f>TDCTRIBE!Y383</f>
        <v>355227.05295000004</v>
      </c>
      <c r="E375" s="83">
        <f>TDCTRIBE!Z383</f>
        <v>392726.50704</v>
      </c>
      <c r="F375" s="83">
        <f>TDCTRIBE!AA383</f>
        <v>445426.60008000006</v>
      </c>
      <c r="G375" s="83">
        <f>TDCTRIBE!AB383</f>
        <v>482653.67871000001</v>
      </c>
      <c r="H375" s="83">
        <f>TDCTRIBE!AC383</f>
        <v>520344.76389000006</v>
      </c>
      <c r="O375" s="9"/>
      <c r="P375" s="1"/>
      <c r="Q375" s="1"/>
      <c r="R375" s="1"/>
      <c r="S375" s="1"/>
      <c r="T375" s="1"/>
      <c r="U375" s="1"/>
      <c r="V375" s="9"/>
      <c r="W375" s="3"/>
      <c r="X375" s="4"/>
      <c r="Y375" s="1"/>
      <c r="Z375" s="1"/>
      <c r="AA375" s="1"/>
      <c r="AB375" s="1"/>
      <c r="AC375" s="1"/>
      <c r="AD375" s="3"/>
      <c r="AE375" s="3"/>
      <c r="AF375" s="5"/>
      <c r="AG375" s="5"/>
      <c r="AH375" s="5"/>
      <c r="AI375" s="5"/>
      <c r="AJ375" s="6"/>
      <c r="AK375" s="6"/>
      <c r="AL375" s="12"/>
      <c r="AM375" s="12"/>
      <c r="AN375" s="12"/>
      <c r="AO375" s="12"/>
      <c r="AP375" s="12"/>
    </row>
    <row r="376" spans="1:42" ht="15" x14ac:dyDescent="0.25">
      <c r="A376" s="82" t="str">
        <f>TDCTRIBE!I384</f>
        <v>Northwest</v>
      </c>
      <c r="B376" s="82" t="str">
        <f>TDCTRIBE!B384</f>
        <v>WA</v>
      </c>
      <c r="C376" s="82" t="str">
        <f>TDCTRIBE!F384</f>
        <v>Nisqually Indian Community</v>
      </c>
      <c r="D376" s="83">
        <f>TDCTRIBE!Y384</f>
        <v>351692.92273500003</v>
      </c>
      <c r="E376" s="83">
        <f>TDCTRIBE!Z384</f>
        <v>388924.50170699996</v>
      </c>
      <c r="F376" s="83">
        <f>TDCTRIBE!AA384</f>
        <v>441270.84690150007</v>
      </c>
      <c r="G376" s="83">
        <f>TDCTRIBE!AB384</f>
        <v>478235.93439300009</v>
      </c>
      <c r="H376" s="83">
        <f>TDCTRIBE!AC384</f>
        <v>515596.96643700002</v>
      </c>
      <c r="O376" s="9"/>
      <c r="P376" s="1"/>
      <c r="Q376" s="1"/>
      <c r="R376" s="1"/>
      <c r="S376" s="1"/>
      <c r="T376" s="1"/>
      <c r="U376" s="1"/>
      <c r="V376" s="9"/>
      <c r="W376" s="3"/>
      <c r="X376" s="4"/>
      <c r="Y376" s="1"/>
      <c r="Z376" s="1"/>
      <c r="AA376" s="1"/>
      <c r="AB376" s="1"/>
      <c r="AC376" s="1"/>
      <c r="AD376" s="3"/>
      <c r="AE376" s="3"/>
      <c r="AF376" s="5"/>
      <c r="AG376" s="5"/>
      <c r="AH376" s="5"/>
      <c r="AI376" s="5"/>
      <c r="AJ376" s="6"/>
      <c r="AK376" s="6"/>
      <c r="AL376" s="12"/>
      <c r="AM376" s="12"/>
      <c r="AN376" s="12"/>
      <c r="AO376" s="12"/>
      <c r="AP376" s="12"/>
    </row>
    <row r="377" spans="1:42" ht="15" x14ac:dyDescent="0.25">
      <c r="A377" s="82" t="str">
        <f>TDCTRIBE!I385</f>
        <v>Northwest</v>
      </c>
      <c r="B377" s="82" t="str">
        <f>TDCTRIBE!B385</f>
        <v>WA</v>
      </c>
      <c r="C377" s="82" t="str">
        <f>TDCTRIBE!F385</f>
        <v>Nooksack Tribe</v>
      </c>
      <c r="D377" s="83">
        <f>TDCTRIBE!Y385</f>
        <v>346264.50474</v>
      </c>
      <c r="E377" s="83">
        <f>TDCTRIBE!Z385</f>
        <v>382675.29463799996</v>
      </c>
      <c r="F377" s="83">
        <f>TDCTRIBE!AA385</f>
        <v>433814.65535100002</v>
      </c>
      <c r="G377" s="83">
        <f>TDCTRIBE!AB385</f>
        <v>469955.641512</v>
      </c>
      <c r="H377" s="83">
        <f>TDCTRIBE!AC385</f>
        <v>506634.88570800005</v>
      </c>
      <c r="O377" s="9"/>
      <c r="P377" s="1"/>
      <c r="Q377" s="1"/>
      <c r="R377" s="1"/>
      <c r="S377" s="1"/>
      <c r="T377" s="1"/>
      <c r="U377" s="1"/>
      <c r="V377" s="9"/>
      <c r="W377" s="3"/>
      <c r="X377" s="4"/>
      <c r="Y377" s="7"/>
      <c r="Z377" s="1"/>
      <c r="AA377" s="1"/>
      <c r="AB377" s="1"/>
      <c r="AC377" s="1"/>
      <c r="AD377" s="3"/>
      <c r="AE377" s="3"/>
      <c r="AF377" s="5"/>
      <c r="AG377" s="5"/>
      <c r="AH377" s="5"/>
      <c r="AI377" s="5"/>
      <c r="AJ377" s="6"/>
      <c r="AK377" s="6"/>
      <c r="AL377" s="12"/>
      <c r="AM377" s="12"/>
      <c r="AN377" s="12"/>
      <c r="AO377" s="12"/>
      <c r="AP377" s="12"/>
    </row>
    <row r="378" spans="1:42" ht="15" x14ac:dyDescent="0.25">
      <c r="A378" s="82" t="str">
        <f>TDCTRIBE!I386</f>
        <v>Northwest</v>
      </c>
      <c r="B378" s="82" t="str">
        <f>TDCTRIBE!B386</f>
        <v>WA</v>
      </c>
      <c r="C378" s="82" t="str">
        <f>TDCTRIBE!F386</f>
        <v>Port Gamble S'Kallam Tribe</v>
      </c>
      <c r="D378" s="83">
        <f>TDCTRIBE!Y386</f>
        <v>339742.85845500004</v>
      </c>
      <c r="E378" s="83">
        <f>TDCTRIBE!Z386</f>
        <v>375522.88517099991</v>
      </c>
      <c r="F378" s="83">
        <f>TDCTRIBE!AA386</f>
        <v>425788.2539295</v>
      </c>
      <c r="G378" s="83">
        <f>TDCTRIBE!AB386</f>
        <v>461305.21812899993</v>
      </c>
      <c r="H378" s="83">
        <f>TDCTRIBE!AC386</f>
        <v>497317.12886099995</v>
      </c>
      <c r="O378" s="9"/>
      <c r="P378" s="1"/>
      <c r="Q378" s="1"/>
      <c r="R378" s="1"/>
      <c r="S378" s="1"/>
      <c r="T378" s="1"/>
      <c r="U378" s="1"/>
      <c r="V378" s="9"/>
      <c r="W378" s="3"/>
      <c r="X378" s="4"/>
      <c r="Y378" s="7"/>
      <c r="Z378" s="1"/>
      <c r="AA378" s="1"/>
      <c r="AB378" s="1"/>
      <c r="AC378" s="1"/>
      <c r="AD378" s="3"/>
      <c r="AE378" s="3"/>
      <c r="AF378" s="5"/>
      <c r="AG378" s="5"/>
      <c r="AH378" s="5"/>
      <c r="AI378" s="5"/>
      <c r="AJ378" s="6"/>
      <c r="AK378" s="6"/>
      <c r="AL378" s="12"/>
      <c r="AM378" s="12"/>
      <c r="AN378" s="12"/>
      <c r="AO378" s="12"/>
      <c r="AP378" s="12"/>
    </row>
    <row r="379" spans="1:42" ht="15" x14ac:dyDescent="0.25">
      <c r="A379" s="82" t="str">
        <f>TDCTRIBE!I387</f>
        <v>Northwest</v>
      </c>
      <c r="B379" s="82" t="str">
        <f>TDCTRIBE!B387</f>
        <v>WA</v>
      </c>
      <c r="C379" s="82" t="str">
        <f>TDCTRIBE!F387</f>
        <v>Puyallup Tribe</v>
      </c>
      <c r="D379" s="83">
        <f>TDCTRIBE!Y387</f>
        <v>355227.05295000004</v>
      </c>
      <c r="E379" s="83">
        <f>TDCTRIBE!Z387</f>
        <v>392726.50704</v>
      </c>
      <c r="F379" s="83">
        <f>TDCTRIBE!AA387</f>
        <v>445426.60008000006</v>
      </c>
      <c r="G379" s="83">
        <f>TDCTRIBE!AB387</f>
        <v>482653.67871000001</v>
      </c>
      <c r="H379" s="83">
        <f>TDCTRIBE!AC387</f>
        <v>520344.76389000006</v>
      </c>
      <c r="O379" s="9"/>
      <c r="P379" s="1"/>
      <c r="Q379" s="1"/>
      <c r="R379" s="1"/>
      <c r="S379" s="1"/>
      <c r="T379" s="1"/>
      <c r="U379" s="1"/>
      <c r="V379" s="9"/>
      <c r="W379" s="3"/>
      <c r="X379" s="4"/>
      <c r="Y379" s="7"/>
      <c r="Z379" s="1"/>
      <c r="AA379" s="1"/>
      <c r="AB379" s="1"/>
      <c r="AC379" s="1"/>
      <c r="AD379" s="3"/>
      <c r="AE379" s="3"/>
      <c r="AF379" s="5"/>
      <c r="AG379" s="5"/>
      <c r="AH379" s="5"/>
      <c r="AI379" s="5"/>
      <c r="AJ379" s="6"/>
      <c r="AK379" s="6"/>
      <c r="AL379" s="12"/>
      <c r="AM379" s="12"/>
      <c r="AN379" s="12"/>
      <c r="AO379" s="12"/>
      <c r="AP379" s="12"/>
    </row>
    <row r="380" spans="1:42" ht="15" x14ac:dyDescent="0.25">
      <c r="A380" s="82" t="str">
        <f>TDCTRIBE!I388</f>
        <v>Northwest</v>
      </c>
      <c r="B380" s="82" t="str">
        <f>TDCTRIBE!B388</f>
        <v>WA</v>
      </c>
      <c r="C380" s="82" t="str">
        <f>TDCTRIBE!F388</f>
        <v>Quileute Tribe</v>
      </c>
      <c r="D380" s="83">
        <f>TDCTRIBE!Y388</f>
        <v>351692.92273500003</v>
      </c>
      <c r="E380" s="83">
        <f>TDCTRIBE!Z388</f>
        <v>388924.50170699996</v>
      </c>
      <c r="F380" s="83">
        <f>TDCTRIBE!AA388</f>
        <v>441270.84690150007</v>
      </c>
      <c r="G380" s="83">
        <f>TDCTRIBE!AB388</f>
        <v>478235.93439300009</v>
      </c>
      <c r="H380" s="83">
        <f>TDCTRIBE!AC388</f>
        <v>515596.96643700002</v>
      </c>
      <c r="O380" s="9"/>
      <c r="P380" s="1"/>
      <c r="Q380" s="1"/>
      <c r="R380" s="1"/>
      <c r="S380" s="1"/>
      <c r="T380" s="1"/>
      <c r="U380" s="1"/>
      <c r="V380" s="9"/>
      <c r="W380" s="3"/>
      <c r="X380" s="4"/>
      <c r="Y380" s="1"/>
      <c r="Z380" s="1"/>
      <c r="AA380" s="1"/>
      <c r="AB380" s="1"/>
      <c r="AC380" s="1"/>
      <c r="AD380" s="3"/>
      <c r="AE380" s="3"/>
      <c r="AF380" s="5"/>
      <c r="AG380" s="5"/>
      <c r="AH380" s="5"/>
      <c r="AI380" s="5"/>
      <c r="AJ380" s="6"/>
      <c r="AK380" s="6"/>
      <c r="AL380" s="12"/>
      <c r="AM380" s="12"/>
      <c r="AN380" s="12"/>
      <c r="AO380" s="12"/>
      <c r="AP380" s="12"/>
    </row>
    <row r="381" spans="1:42" ht="15" x14ac:dyDescent="0.25">
      <c r="A381" s="82" t="str">
        <f>TDCTRIBE!I389</f>
        <v>Northwest</v>
      </c>
      <c r="B381" s="82" t="str">
        <f>TDCTRIBE!B389</f>
        <v>WA</v>
      </c>
      <c r="C381" s="82" t="str">
        <f>TDCTRIBE!F389</f>
        <v>Quinault Tribe</v>
      </c>
      <c r="D381" s="83">
        <f>TDCTRIBE!Y389</f>
        <v>348340.99723500002</v>
      </c>
      <c r="E381" s="83">
        <f>TDCTRIBE!Z389</f>
        <v>385273.03010699997</v>
      </c>
      <c r="F381" s="83">
        <f>TDCTRIBE!AA389</f>
        <v>437210.12870150001</v>
      </c>
      <c r="G381" s="83">
        <f>TDCTRIBE!AB389</f>
        <v>473879.878493</v>
      </c>
      <c r="H381" s="83">
        <f>TDCTRIBE!AC389</f>
        <v>510908.44833699998</v>
      </c>
      <c r="O381" s="9"/>
      <c r="P381" s="1"/>
      <c r="Q381" s="1"/>
      <c r="R381" s="1"/>
      <c r="S381" s="1"/>
      <c r="T381" s="1"/>
      <c r="U381" s="1"/>
      <c r="V381" s="9"/>
      <c r="W381" s="3"/>
      <c r="X381" s="4"/>
      <c r="Y381" s="7"/>
      <c r="Z381" s="1"/>
      <c r="AA381" s="1"/>
      <c r="AB381" s="1"/>
      <c r="AC381" s="1"/>
      <c r="AD381" s="3"/>
      <c r="AE381" s="3"/>
      <c r="AF381" s="5"/>
      <c r="AG381" s="5"/>
      <c r="AH381" s="5"/>
      <c r="AI381" s="5"/>
      <c r="AJ381" s="6"/>
      <c r="AK381" s="6"/>
      <c r="AL381" s="12"/>
      <c r="AM381" s="12"/>
      <c r="AN381" s="12"/>
      <c r="AO381" s="12"/>
      <c r="AP381" s="12"/>
    </row>
    <row r="382" spans="1:42" ht="15" x14ac:dyDescent="0.25">
      <c r="A382" s="82" t="str">
        <f>TDCTRIBE!I390</f>
        <v>Northwest</v>
      </c>
      <c r="B382" s="82" t="str">
        <f>TDCTRIBE!B390</f>
        <v>WA</v>
      </c>
      <c r="C382" s="82" t="str">
        <f>TDCTRIBE!F390</f>
        <v>Samish Nation</v>
      </c>
      <c r="D382" s="83">
        <f>TDCTRIBE!Y390</f>
        <v>346264.50474</v>
      </c>
      <c r="E382" s="83">
        <f>TDCTRIBE!Z390</f>
        <v>382675.29463799996</v>
      </c>
      <c r="F382" s="83">
        <f>TDCTRIBE!AA390</f>
        <v>433814.65535100002</v>
      </c>
      <c r="G382" s="83">
        <f>TDCTRIBE!AB390</f>
        <v>469955.641512</v>
      </c>
      <c r="H382" s="83">
        <f>TDCTRIBE!AC390</f>
        <v>506634.88570800005</v>
      </c>
      <c r="O382" s="9"/>
      <c r="P382" s="1"/>
      <c r="Q382" s="1"/>
      <c r="R382" s="1"/>
      <c r="S382" s="1"/>
      <c r="T382" s="1"/>
      <c r="U382" s="1"/>
      <c r="V382" s="9"/>
      <c r="W382" s="3"/>
      <c r="X382" s="4"/>
      <c r="Y382" s="7"/>
      <c r="Z382" s="1"/>
      <c r="AA382" s="1"/>
      <c r="AB382" s="1"/>
      <c r="AC382" s="1"/>
      <c r="AD382" s="3"/>
      <c r="AE382" s="3"/>
      <c r="AF382" s="5"/>
      <c r="AG382" s="5"/>
      <c r="AH382" s="5"/>
      <c r="AI382" s="5"/>
      <c r="AJ382" s="6"/>
      <c r="AK382" s="6"/>
      <c r="AL382" s="12"/>
      <c r="AM382" s="12"/>
      <c r="AN382" s="12"/>
      <c r="AO382" s="12"/>
      <c r="AP382" s="12"/>
    </row>
    <row r="383" spans="1:42" ht="15" x14ac:dyDescent="0.25">
      <c r="A383" s="82" t="str">
        <f>TDCTRIBE!I391</f>
        <v>Northwest</v>
      </c>
      <c r="B383" s="82" t="str">
        <f>TDCTRIBE!B391</f>
        <v>WA</v>
      </c>
      <c r="C383" s="82" t="str">
        <f>TDCTRIBE!F391</f>
        <v>Sauk-Suiattle Indian Tribe</v>
      </c>
      <c r="D383" s="83">
        <f>TDCTRIBE!Y391</f>
        <v>346264.50474</v>
      </c>
      <c r="E383" s="83">
        <f>TDCTRIBE!Z391</f>
        <v>382675.29463799996</v>
      </c>
      <c r="F383" s="83">
        <f>TDCTRIBE!AA391</f>
        <v>433814.65535100002</v>
      </c>
      <c r="G383" s="83">
        <f>TDCTRIBE!AB391</f>
        <v>469955.641512</v>
      </c>
      <c r="H383" s="83">
        <f>TDCTRIBE!AC391</f>
        <v>506634.88570800005</v>
      </c>
      <c r="O383" s="9"/>
      <c r="P383" s="1"/>
      <c r="Q383" s="1"/>
      <c r="R383" s="1"/>
      <c r="S383" s="1"/>
      <c r="T383" s="1"/>
      <c r="U383" s="1"/>
      <c r="V383" s="9"/>
      <c r="W383" s="3"/>
      <c r="X383" s="4"/>
      <c r="Y383" s="1"/>
      <c r="Z383" s="1"/>
      <c r="AA383" s="1"/>
      <c r="AB383" s="1"/>
      <c r="AC383" s="1"/>
      <c r="AD383" s="3"/>
      <c r="AE383" s="3"/>
      <c r="AF383" s="5"/>
      <c r="AG383" s="5"/>
      <c r="AH383" s="5"/>
      <c r="AI383" s="5"/>
      <c r="AJ383" s="6"/>
      <c r="AK383" s="6"/>
      <c r="AL383" s="12"/>
      <c r="AM383" s="12"/>
      <c r="AN383" s="12"/>
      <c r="AO383" s="12"/>
      <c r="AP383" s="12"/>
    </row>
    <row r="384" spans="1:42" ht="15" x14ac:dyDescent="0.25">
      <c r="A384" s="82" t="str">
        <f>TDCTRIBE!I392</f>
        <v>Northwest</v>
      </c>
      <c r="B384" s="82" t="str">
        <f>TDCTRIBE!B392</f>
        <v>WA</v>
      </c>
      <c r="C384" s="82" t="str">
        <f>TDCTRIBE!F392</f>
        <v>Shoalwater Bay Tribe</v>
      </c>
      <c r="D384" s="83">
        <f>TDCTRIBE!Y392</f>
        <v>348340.99723500002</v>
      </c>
      <c r="E384" s="83">
        <f>TDCTRIBE!Z392</f>
        <v>385273.03010699997</v>
      </c>
      <c r="F384" s="83">
        <f>TDCTRIBE!AA392</f>
        <v>437210.12870150001</v>
      </c>
      <c r="G384" s="83">
        <f>TDCTRIBE!AB392</f>
        <v>473879.878493</v>
      </c>
      <c r="H384" s="83">
        <f>TDCTRIBE!AC392</f>
        <v>510908.44833699998</v>
      </c>
      <c r="O384" s="9"/>
      <c r="P384" s="1"/>
      <c r="Q384" s="1"/>
      <c r="R384" s="1"/>
      <c r="S384" s="1"/>
      <c r="T384" s="1"/>
      <c r="U384" s="1"/>
      <c r="V384" s="9"/>
      <c r="W384" s="3"/>
      <c r="X384" s="4"/>
      <c r="Y384" s="1"/>
      <c r="Z384" s="1"/>
      <c r="AA384" s="1"/>
      <c r="AB384" s="1"/>
      <c r="AC384" s="1"/>
      <c r="AD384" s="3"/>
      <c r="AE384" s="3"/>
      <c r="AF384" s="5"/>
      <c r="AG384" s="5"/>
      <c r="AH384" s="5"/>
      <c r="AI384" s="5"/>
      <c r="AJ384" s="6"/>
      <c r="AK384" s="6"/>
      <c r="AL384" s="12"/>
      <c r="AM384" s="12"/>
      <c r="AN384" s="12"/>
      <c r="AO384" s="12"/>
      <c r="AP384" s="12"/>
    </row>
    <row r="385" spans="1:42" ht="15" x14ac:dyDescent="0.25">
      <c r="A385" s="82" t="str">
        <f>TDCTRIBE!I393</f>
        <v>Northwest</v>
      </c>
      <c r="B385" s="82" t="str">
        <f>TDCTRIBE!B393</f>
        <v>WA</v>
      </c>
      <c r="C385" s="82" t="str">
        <f>TDCTRIBE!F393</f>
        <v>Skokomish Indian Tribe</v>
      </c>
      <c r="D385" s="83">
        <f>TDCTRIBE!Y393</f>
        <v>348340.99723500002</v>
      </c>
      <c r="E385" s="83">
        <f>TDCTRIBE!Z393</f>
        <v>385273.03010699997</v>
      </c>
      <c r="F385" s="83">
        <f>TDCTRIBE!AA393</f>
        <v>437210.12870150001</v>
      </c>
      <c r="G385" s="83">
        <f>TDCTRIBE!AB393</f>
        <v>473879.878493</v>
      </c>
      <c r="H385" s="83">
        <f>TDCTRIBE!AC393</f>
        <v>510908.44833699998</v>
      </c>
      <c r="O385" s="9"/>
      <c r="P385" s="1"/>
      <c r="Q385" s="1"/>
      <c r="R385" s="1"/>
      <c r="S385" s="1"/>
      <c r="T385" s="1"/>
      <c r="U385" s="1"/>
      <c r="V385" s="9"/>
      <c r="W385" s="3"/>
      <c r="X385" s="4"/>
      <c r="Y385" s="1"/>
      <c r="Z385" s="1"/>
      <c r="AA385" s="1"/>
      <c r="AB385" s="1"/>
      <c r="AC385" s="1"/>
      <c r="AD385" s="3"/>
      <c r="AE385" s="3"/>
      <c r="AF385" s="5"/>
      <c r="AG385" s="5"/>
      <c r="AH385" s="5"/>
      <c r="AI385" s="5"/>
      <c r="AJ385" s="6"/>
      <c r="AK385" s="6"/>
      <c r="AL385" s="12"/>
      <c r="AM385" s="12"/>
      <c r="AN385" s="12"/>
      <c r="AO385" s="12"/>
      <c r="AP385" s="12"/>
    </row>
    <row r="386" spans="1:42" ht="15" x14ac:dyDescent="0.25">
      <c r="A386" s="82" t="str">
        <f>TDCTRIBE!I394</f>
        <v>Northwest</v>
      </c>
      <c r="B386" s="82" t="str">
        <f>TDCTRIBE!B394</f>
        <v>WA</v>
      </c>
      <c r="C386" s="82" t="str">
        <f>TDCTRIBE!F394</f>
        <v>Snoqualmie</v>
      </c>
      <c r="D386" s="83">
        <f>TDCTRIBE!Y394</f>
        <v>346264.50474</v>
      </c>
      <c r="E386" s="83">
        <f>TDCTRIBE!Z394</f>
        <v>382675.29463799996</v>
      </c>
      <c r="F386" s="83">
        <f>TDCTRIBE!AA394</f>
        <v>433814.65535100002</v>
      </c>
      <c r="G386" s="83">
        <f>TDCTRIBE!AB394</f>
        <v>469955.641512</v>
      </c>
      <c r="H386" s="83">
        <f>TDCTRIBE!AC394</f>
        <v>506634.88570800005</v>
      </c>
      <c r="O386" s="9"/>
      <c r="P386" s="1"/>
      <c r="Q386" s="1"/>
      <c r="R386" s="1"/>
      <c r="S386" s="1"/>
      <c r="T386" s="1"/>
      <c r="U386" s="1"/>
      <c r="V386" s="9"/>
      <c r="W386" s="3"/>
      <c r="X386" s="4"/>
      <c r="Y386" s="7"/>
      <c r="Z386" s="1"/>
      <c r="AA386" s="1"/>
      <c r="AB386" s="1"/>
      <c r="AC386" s="1"/>
      <c r="AD386" s="3"/>
      <c r="AE386" s="3"/>
      <c r="AF386" s="5"/>
      <c r="AG386" s="5"/>
      <c r="AH386" s="5"/>
      <c r="AI386" s="5"/>
      <c r="AJ386" s="6"/>
      <c r="AK386" s="6"/>
      <c r="AL386" s="12"/>
      <c r="AM386" s="12"/>
      <c r="AN386" s="12"/>
      <c r="AO386" s="12"/>
      <c r="AP386" s="12"/>
    </row>
    <row r="387" spans="1:42" ht="15" x14ac:dyDescent="0.25">
      <c r="A387" s="82" t="str">
        <f>TDCTRIBE!I395</f>
        <v>Northwest</v>
      </c>
      <c r="B387" s="82" t="str">
        <f>TDCTRIBE!B395</f>
        <v>WA</v>
      </c>
      <c r="C387" s="82" t="str">
        <f>TDCTRIBE!F395</f>
        <v>Spokane Tribe</v>
      </c>
      <c r="D387" s="83">
        <f>TDCTRIBE!Y395</f>
        <v>331363.04470500001</v>
      </c>
      <c r="E387" s="83">
        <f>TDCTRIBE!Z395</f>
        <v>366394.20617099997</v>
      </c>
      <c r="F387" s="83">
        <f>TDCTRIBE!AA395</f>
        <v>415636.45842949999</v>
      </c>
      <c r="G387" s="83">
        <f>TDCTRIBE!AB395</f>
        <v>450415.07837900001</v>
      </c>
      <c r="H387" s="83">
        <f>TDCTRIBE!AC395</f>
        <v>485595.83361099998</v>
      </c>
      <c r="O387" s="9"/>
      <c r="P387" s="1"/>
      <c r="Q387" s="1"/>
      <c r="R387" s="1"/>
      <c r="S387" s="1"/>
      <c r="T387" s="1"/>
      <c r="U387" s="1"/>
      <c r="V387" s="9"/>
      <c r="W387" s="3"/>
      <c r="X387" s="4"/>
      <c r="Y387" s="1"/>
      <c r="Z387" s="1"/>
      <c r="AA387" s="1"/>
      <c r="AB387" s="1"/>
      <c r="AC387" s="1"/>
      <c r="AD387" s="3"/>
      <c r="AE387" s="3"/>
      <c r="AF387" s="5"/>
      <c r="AG387" s="5"/>
      <c r="AH387" s="5"/>
      <c r="AI387" s="5"/>
      <c r="AJ387" s="6"/>
      <c r="AK387" s="6"/>
      <c r="AL387" s="12"/>
      <c r="AM387" s="12"/>
      <c r="AN387" s="12"/>
      <c r="AO387" s="12"/>
      <c r="AP387" s="12"/>
    </row>
    <row r="388" spans="1:42" ht="15" x14ac:dyDescent="0.25">
      <c r="A388" s="82" t="str">
        <f>TDCTRIBE!I396</f>
        <v>Northwest</v>
      </c>
      <c r="B388" s="82" t="str">
        <f>TDCTRIBE!B396</f>
        <v>WA</v>
      </c>
      <c r="C388" s="82" t="str">
        <f>TDCTRIBE!F396</f>
        <v>Squaxin Island Tribe</v>
      </c>
      <c r="D388" s="83">
        <f>TDCTRIBE!Y396</f>
        <v>348340.99723500002</v>
      </c>
      <c r="E388" s="83">
        <f>TDCTRIBE!Z396</f>
        <v>385273.03010699997</v>
      </c>
      <c r="F388" s="83">
        <f>TDCTRIBE!AA396</f>
        <v>437210.12870150001</v>
      </c>
      <c r="G388" s="83">
        <f>TDCTRIBE!AB396</f>
        <v>473879.878493</v>
      </c>
      <c r="H388" s="83">
        <f>TDCTRIBE!AC396</f>
        <v>510908.44833699998</v>
      </c>
      <c r="O388" s="9"/>
      <c r="P388" s="1"/>
      <c r="Q388" s="1"/>
      <c r="R388" s="1"/>
      <c r="S388" s="1"/>
      <c r="T388" s="1"/>
      <c r="U388" s="1"/>
      <c r="V388" s="9"/>
      <c r="W388" s="3"/>
      <c r="X388" s="4"/>
      <c r="Y388" s="7"/>
      <c r="Z388" s="1"/>
      <c r="AA388" s="1"/>
      <c r="AB388" s="1"/>
      <c r="AC388" s="1"/>
      <c r="AD388" s="3"/>
      <c r="AE388" s="3"/>
      <c r="AF388" s="5"/>
      <c r="AG388" s="5"/>
      <c r="AH388" s="5"/>
      <c r="AI388" s="5"/>
      <c r="AJ388" s="6"/>
      <c r="AK388" s="6"/>
      <c r="AL388" s="12"/>
      <c r="AM388" s="12"/>
      <c r="AN388" s="12"/>
      <c r="AO388" s="12"/>
      <c r="AP388" s="12"/>
    </row>
    <row r="389" spans="1:42" ht="15" x14ac:dyDescent="0.25">
      <c r="A389" s="82" t="str">
        <f>TDCTRIBE!I397</f>
        <v>Northwest</v>
      </c>
      <c r="B389" s="82" t="str">
        <f>TDCTRIBE!B397</f>
        <v>WA</v>
      </c>
      <c r="C389" s="82" t="str">
        <f>TDCTRIBE!F397</f>
        <v>Stillaguamish Tribe</v>
      </c>
      <c r="D389" s="83">
        <f>TDCTRIBE!Y397</f>
        <v>346264.50474</v>
      </c>
      <c r="E389" s="83">
        <f>TDCTRIBE!Z397</f>
        <v>382675.29463799996</v>
      </c>
      <c r="F389" s="83">
        <f>TDCTRIBE!AA397</f>
        <v>433814.65535100002</v>
      </c>
      <c r="G389" s="83">
        <f>TDCTRIBE!AB397</f>
        <v>469955.641512</v>
      </c>
      <c r="H389" s="83">
        <f>TDCTRIBE!AC397</f>
        <v>506634.88570800005</v>
      </c>
      <c r="O389" s="9"/>
      <c r="P389" s="1"/>
      <c r="Q389" s="1"/>
      <c r="R389" s="1"/>
      <c r="S389" s="1"/>
      <c r="T389" s="1"/>
      <c r="U389" s="1"/>
      <c r="V389" s="9"/>
      <c r="W389" s="3"/>
      <c r="X389" s="4"/>
      <c r="Y389" s="1"/>
      <c r="Z389" s="1"/>
      <c r="AA389" s="1"/>
      <c r="AB389" s="1"/>
      <c r="AC389" s="1"/>
      <c r="AD389" s="3"/>
      <c r="AE389" s="3"/>
      <c r="AF389" s="5"/>
      <c r="AG389" s="5"/>
      <c r="AH389" s="5"/>
      <c r="AI389" s="5"/>
      <c r="AJ389" s="6"/>
      <c r="AK389" s="6"/>
      <c r="AL389" s="12"/>
      <c r="AM389" s="12"/>
      <c r="AN389" s="12"/>
      <c r="AO389" s="12"/>
      <c r="AP389" s="12"/>
    </row>
    <row r="390" spans="1:42" ht="15" x14ac:dyDescent="0.25">
      <c r="A390" s="82" t="str">
        <f>TDCTRIBE!I398</f>
        <v>Northwest</v>
      </c>
      <c r="B390" s="82" t="str">
        <f>TDCTRIBE!B398</f>
        <v>WA</v>
      </c>
      <c r="C390" s="82" t="str">
        <f>TDCTRIBE!F398</f>
        <v>Suquamish Tribal Council</v>
      </c>
      <c r="D390" s="83">
        <f>TDCTRIBE!Y398</f>
        <v>351692.92273500003</v>
      </c>
      <c r="E390" s="83">
        <f>TDCTRIBE!Z398</f>
        <v>388924.50170699996</v>
      </c>
      <c r="F390" s="83">
        <f>TDCTRIBE!AA398</f>
        <v>441270.84690150007</v>
      </c>
      <c r="G390" s="83">
        <f>TDCTRIBE!AB398</f>
        <v>478235.93439300009</v>
      </c>
      <c r="H390" s="83">
        <f>TDCTRIBE!AC398</f>
        <v>515596.96643700002</v>
      </c>
      <c r="O390" s="9"/>
      <c r="P390" s="1"/>
      <c r="Q390" s="1"/>
      <c r="R390" s="1"/>
      <c r="S390" s="1"/>
      <c r="T390" s="1"/>
      <c r="U390" s="1"/>
      <c r="V390" s="9"/>
      <c r="W390" s="3"/>
      <c r="X390" s="4"/>
      <c r="Y390" s="1"/>
      <c r="Z390" s="1"/>
      <c r="AA390" s="1"/>
      <c r="AB390" s="1"/>
      <c r="AC390" s="1"/>
      <c r="AD390" s="3"/>
      <c r="AE390" s="3"/>
      <c r="AF390" s="5"/>
      <c r="AG390" s="5"/>
      <c r="AH390" s="5"/>
      <c r="AI390" s="5"/>
      <c r="AJ390" s="6"/>
      <c r="AK390" s="6"/>
      <c r="AL390" s="12"/>
      <c r="AM390" s="12"/>
      <c r="AN390" s="12"/>
      <c r="AO390" s="12"/>
      <c r="AP390" s="12"/>
    </row>
    <row r="391" spans="1:42" ht="15" x14ac:dyDescent="0.25">
      <c r="A391" s="82" t="str">
        <f>TDCTRIBE!I399</f>
        <v>Northwest</v>
      </c>
      <c r="B391" s="82" t="str">
        <f>TDCTRIBE!B399</f>
        <v>WA</v>
      </c>
      <c r="C391" s="82" t="str">
        <f>TDCTRIBE!F399</f>
        <v>Swinomish Indians</v>
      </c>
      <c r="D391" s="83">
        <f>TDCTRIBE!Y399</f>
        <v>346264.50474</v>
      </c>
      <c r="E391" s="83">
        <f>TDCTRIBE!Z399</f>
        <v>382675.29463799996</v>
      </c>
      <c r="F391" s="83">
        <f>TDCTRIBE!AA399</f>
        <v>433814.65535100002</v>
      </c>
      <c r="G391" s="83">
        <f>TDCTRIBE!AB399</f>
        <v>469955.641512</v>
      </c>
      <c r="H391" s="83">
        <f>TDCTRIBE!AC399</f>
        <v>506634.88570800005</v>
      </c>
      <c r="O391" s="9"/>
      <c r="P391" s="1"/>
      <c r="Q391" s="1"/>
      <c r="R391" s="1"/>
      <c r="S391" s="1"/>
      <c r="T391" s="1"/>
      <c r="U391" s="1"/>
      <c r="V391" s="9"/>
      <c r="W391" s="3"/>
      <c r="X391" s="4"/>
      <c r="Y391" s="1"/>
      <c r="Z391" s="1"/>
      <c r="AA391" s="1"/>
      <c r="AB391" s="1"/>
      <c r="AC391" s="1"/>
      <c r="AD391" s="3"/>
      <c r="AE391" s="3"/>
      <c r="AF391" s="5"/>
      <c r="AG391" s="5"/>
      <c r="AH391" s="5"/>
      <c r="AI391" s="5"/>
      <c r="AJ391" s="6"/>
      <c r="AK391" s="6"/>
      <c r="AL391" s="12"/>
      <c r="AM391" s="12"/>
      <c r="AN391" s="12"/>
      <c r="AO391" s="12"/>
      <c r="AP391" s="12"/>
    </row>
    <row r="392" spans="1:42" ht="15" x14ac:dyDescent="0.25">
      <c r="A392" s="82" t="str">
        <f>TDCTRIBE!I400</f>
        <v>Northwest</v>
      </c>
      <c r="B392" s="82" t="str">
        <f>TDCTRIBE!B400</f>
        <v>WA</v>
      </c>
      <c r="C392" s="82" t="str">
        <f>TDCTRIBE!F400</f>
        <v>Tulalip Tribes</v>
      </c>
      <c r="D392" s="83">
        <f>TDCTRIBE!Y400</f>
        <v>355227.05295000004</v>
      </c>
      <c r="E392" s="83">
        <f>TDCTRIBE!Z400</f>
        <v>392726.50704</v>
      </c>
      <c r="F392" s="83">
        <f>TDCTRIBE!AA400</f>
        <v>445426.60008000006</v>
      </c>
      <c r="G392" s="83">
        <f>TDCTRIBE!AB400</f>
        <v>482653.67871000001</v>
      </c>
      <c r="H392" s="83">
        <f>TDCTRIBE!AC400</f>
        <v>520344.76389000006</v>
      </c>
      <c r="O392" s="9"/>
      <c r="P392" s="1"/>
      <c r="Q392" s="1"/>
      <c r="R392" s="1"/>
      <c r="S392" s="1"/>
      <c r="T392" s="1"/>
      <c r="U392" s="1"/>
      <c r="V392" s="9"/>
      <c r="W392" s="3"/>
      <c r="X392" s="4"/>
      <c r="Y392" s="1"/>
      <c r="Z392" s="1"/>
      <c r="AA392" s="1"/>
      <c r="AB392" s="1"/>
      <c r="AC392" s="1"/>
      <c r="AD392" s="3"/>
      <c r="AE392" s="3"/>
      <c r="AF392" s="5"/>
      <c r="AG392" s="5"/>
      <c r="AH392" s="5"/>
      <c r="AI392" s="5"/>
      <c r="AJ392" s="6"/>
      <c r="AK392" s="6"/>
      <c r="AL392" s="12"/>
      <c r="AM392" s="12"/>
      <c r="AN392" s="12"/>
      <c r="AO392" s="12"/>
      <c r="AP392" s="12"/>
    </row>
    <row r="393" spans="1:42" ht="15" x14ac:dyDescent="0.25">
      <c r="A393" s="82" t="str">
        <f>TDCTRIBE!I401</f>
        <v>Northwest</v>
      </c>
      <c r="B393" s="82" t="str">
        <f>TDCTRIBE!B401</f>
        <v>WA</v>
      </c>
      <c r="C393" s="82" t="str">
        <f>TDCTRIBE!F401</f>
        <v>Upper Skagit Tribe</v>
      </c>
      <c r="D393" s="83">
        <f>TDCTRIBE!Y401</f>
        <v>346264.50474</v>
      </c>
      <c r="E393" s="83">
        <f>TDCTRIBE!Z401</f>
        <v>382675.29463799996</v>
      </c>
      <c r="F393" s="83">
        <f>TDCTRIBE!AA401</f>
        <v>433814.65535100002</v>
      </c>
      <c r="G393" s="83">
        <f>TDCTRIBE!AB401</f>
        <v>469955.641512</v>
      </c>
      <c r="H393" s="83">
        <f>TDCTRIBE!AC401</f>
        <v>506634.88570800005</v>
      </c>
      <c r="O393" s="9"/>
      <c r="P393" s="1"/>
      <c r="Q393" s="1"/>
      <c r="R393" s="1"/>
      <c r="S393" s="1"/>
      <c r="T393" s="1"/>
      <c r="U393" s="1"/>
      <c r="V393" s="9"/>
      <c r="W393" s="3"/>
      <c r="X393" s="4"/>
      <c r="Y393" s="1"/>
      <c r="Z393" s="1"/>
      <c r="AA393" s="1"/>
      <c r="AB393" s="1"/>
      <c r="AC393" s="1"/>
      <c r="AD393" s="3"/>
      <c r="AE393" s="3"/>
      <c r="AF393" s="5"/>
      <c r="AG393" s="5"/>
      <c r="AH393" s="5"/>
      <c r="AI393" s="5"/>
      <c r="AJ393" s="6"/>
      <c r="AK393" s="6"/>
      <c r="AL393" s="12"/>
      <c r="AM393" s="12"/>
      <c r="AN393" s="12"/>
      <c r="AO393" s="12"/>
      <c r="AP393" s="12"/>
    </row>
    <row r="394" spans="1:42" ht="15" x14ac:dyDescent="0.25">
      <c r="A394" s="82" t="str">
        <f>TDCTRIBE!I402</f>
        <v>Northwest</v>
      </c>
      <c r="B394" s="82" t="str">
        <f>TDCTRIBE!B402</f>
        <v>WA</v>
      </c>
      <c r="C394" s="82" t="str">
        <f>TDCTRIBE!F402</f>
        <v>Yakama Indian Nation</v>
      </c>
      <c r="D394" s="83">
        <f>TDCTRIBE!Y402</f>
        <v>328739.93806499999</v>
      </c>
      <c r="E394" s="83">
        <f>TDCTRIBE!Z402</f>
        <v>363344.86950299999</v>
      </c>
      <c r="F394" s="83">
        <f>TDCTRIBE!AA402</f>
        <v>420479.12576950004</v>
      </c>
      <c r="G394" s="83">
        <f>TDCTRIBE!AB402</f>
        <v>455626.220959</v>
      </c>
      <c r="H394" s="83">
        <f>TDCTRIBE!AC402</f>
        <v>491207.57583100005</v>
      </c>
      <c r="O394" s="9"/>
      <c r="P394" s="1"/>
      <c r="Q394" s="1"/>
      <c r="R394" s="1"/>
      <c r="S394" s="1"/>
      <c r="T394" s="1"/>
      <c r="U394" s="1"/>
      <c r="V394" s="9"/>
      <c r="W394" s="3"/>
      <c r="X394" s="4"/>
      <c r="Y394" s="1"/>
      <c r="Z394" s="1"/>
      <c r="AA394" s="1"/>
      <c r="AB394" s="1"/>
      <c r="AC394" s="1"/>
      <c r="AD394" s="3"/>
      <c r="AE394" s="3"/>
      <c r="AF394" s="5"/>
      <c r="AG394" s="5"/>
      <c r="AH394" s="5"/>
      <c r="AI394" s="5"/>
      <c r="AJ394" s="6"/>
      <c r="AK394" s="6"/>
      <c r="AL394" s="12"/>
      <c r="AM394" s="12"/>
      <c r="AN394" s="12"/>
      <c r="AO394" s="12"/>
      <c r="AP394" s="12"/>
    </row>
    <row r="395" spans="1:42" ht="15" x14ac:dyDescent="0.25">
      <c r="A395" s="82" t="str">
        <f>TDCTRIBE!I403</f>
        <v>Southern Plains</v>
      </c>
      <c r="B395" s="82" t="str">
        <f>TDCTRIBE!B403</f>
        <v>KS</v>
      </c>
      <c r="C395" s="82" t="str">
        <f>TDCTRIBE!F403</f>
        <v>Iowa Tribe of Kansas and Nebraska</v>
      </c>
      <c r="D395" s="83">
        <f>TDCTRIBE!Y403</f>
        <v>277598.61832499999</v>
      </c>
      <c r="E395" s="83">
        <f>TDCTRIBE!Z403</f>
        <v>307698.76336500002</v>
      </c>
      <c r="F395" s="83">
        <f>TDCTRIBE!AA403</f>
        <v>345312.43806499999</v>
      </c>
      <c r="G395" s="83">
        <f>TDCTRIBE!AB403</f>
        <v>372782.04278000002</v>
      </c>
      <c r="H395" s="83">
        <f>TDCTRIBE!AC403</f>
        <v>401976.80852000002</v>
      </c>
      <c r="O395" s="9"/>
      <c r="P395" s="1"/>
      <c r="Q395" s="1"/>
      <c r="R395" s="1"/>
      <c r="S395" s="1"/>
      <c r="T395" s="1"/>
      <c r="U395" s="1"/>
      <c r="V395" s="9"/>
      <c r="W395" s="3"/>
      <c r="X395" s="4"/>
      <c r="Y395" s="1"/>
      <c r="Z395" s="1"/>
      <c r="AA395" s="1"/>
      <c r="AB395" s="1"/>
      <c r="AC395" s="1"/>
      <c r="AD395" s="3"/>
      <c r="AE395" s="3"/>
      <c r="AF395" s="5"/>
      <c r="AG395" s="5"/>
      <c r="AH395" s="5"/>
      <c r="AI395" s="5"/>
      <c r="AJ395" s="6"/>
      <c r="AK395" s="6"/>
      <c r="AL395" s="12"/>
      <c r="AM395" s="12"/>
      <c r="AN395" s="12"/>
      <c r="AO395" s="12"/>
      <c r="AP395" s="12"/>
    </row>
    <row r="396" spans="1:42" ht="15" x14ac:dyDescent="0.25">
      <c r="A396" s="82" t="str">
        <f>TDCTRIBE!I404</f>
        <v>Southern Plains</v>
      </c>
      <c r="B396" s="82" t="str">
        <f>TDCTRIBE!B404</f>
        <v>KS</v>
      </c>
      <c r="C396" s="82" t="str">
        <f>TDCTRIBE!F404</f>
        <v>Kickapoo Tribe</v>
      </c>
      <c r="D396" s="83">
        <f>TDCTRIBE!Y404</f>
        <v>272873.67082499998</v>
      </c>
      <c r="E396" s="83">
        <f>TDCTRIBE!Z404</f>
        <v>302529.469515</v>
      </c>
      <c r="F396" s="83">
        <f>TDCTRIBE!AA404</f>
        <v>339561.05781500001</v>
      </c>
      <c r="G396" s="83">
        <f>TDCTRIBE!AB404</f>
        <v>366634.79677999998</v>
      </c>
      <c r="H396" s="83">
        <f>TDCTRIBE!AC404</f>
        <v>395355.13051999995</v>
      </c>
      <c r="O396" s="9"/>
      <c r="P396" s="1"/>
      <c r="Q396" s="1"/>
      <c r="R396" s="1"/>
      <c r="S396" s="1"/>
      <c r="T396" s="1"/>
      <c r="U396" s="1"/>
      <c r="V396" s="9"/>
      <c r="W396" s="3"/>
      <c r="X396" s="4"/>
      <c r="Y396" s="1"/>
      <c r="Z396" s="1"/>
      <c r="AA396" s="1"/>
      <c r="AB396" s="1"/>
      <c r="AC396" s="1"/>
      <c r="AD396" s="3"/>
      <c r="AE396" s="3"/>
      <c r="AF396" s="5"/>
      <c r="AG396" s="5"/>
      <c r="AH396" s="5"/>
      <c r="AI396" s="5"/>
      <c r="AJ396" s="6"/>
      <c r="AK396" s="6"/>
      <c r="AL396" s="12"/>
      <c r="AM396" s="12"/>
      <c r="AN396" s="12"/>
      <c r="AO396" s="12"/>
      <c r="AP396" s="12"/>
    </row>
    <row r="397" spans="1:42" ht="15" x14ac:dyDescent="0.25">
      <c r="A397" s="82" t="str">
        <f>TDCTRIBE!I405</f>
        <v>Southern Plains</v>
      </c>
      <c r="B397" s="82" t="str">
        <f>TDCTRIBE!B405</f>
        <v>KS</v>
      </c>
      <c r="C397" s="82" t="str">
        <f>TDCTRIBE!F405</f>
        <v>Prairie Band of Potawatomi</v>
      </c>
      <c r="D397" s="83">
        <f>TDCTRIBE!Y405</f>
        <v>272873.67082499998</v>
      </c>
      <c r="E397" s="83">
        <f>TDCTRIBE!Z405</f>
        <v>302529.469515</v>
      </c>
      <c r="F397" s="83">
        <f>TDCTRIBE!AA405</f>
        <v>339561.05781500001</v>
      </c>
      <c r="G397" s="83">
        <f>TDCTRIBE!AB405</f>
        <v>366634.79677999998</v>
      </c>
      <c r="H397" s="83">
        <f>TDCTRIBE!AC405</f>
        <v>395355.13051999995</v>
      </c>
      <c r="O397" s="9"/>
      <c r="P397" s="1"/>
      <c r="Q397" s="1"/>
      <c r="R397" s="1"/>
      <c r="S397" s="1"/>
      <c r="T397" s="1"/>
      <c r="U397" s="1"/>
      <c r="V397" s="9"/>
      <c r="W397" s="3"/>
      <c r="X397" s="4"/>
      <c r="Y397" s="1"/>
      <c r="Z397" s="1"/>
      <c r="AA397" s="1"/>
      <c r="AB397" s="1"/>
      <c r="AC397" s="1"/>
      <c r="AD397" s="3"/>
      <c r="AE397" s="3"/>
      <c r="AF397" s="5"/>
      <c r="AG397" s="5"/>
      <c r="AH397" s="5"/>
      <c r="AI397" s="5"/>
      <c r="AJ397" s="6"/>
      <c r="AK397" s="6"/>
      <c r="AL397" s="12"/>
      <c r="AM397" s="12"/>
      <c r="AN397" s="12"/>
      <c r="AO397" s="12"/>
      <c r="AP397" s="12"/>
    </row>
    <row r="398" spans="1:42" ht="15" x14ac:dyDescent="0.25">
      <c r="A398" s="82" t="str">
        <f>TDCTRIBE!I406</f>
        <v>Southern Plains</v>
      </c>
      <c r="B398" s="82" t="str">
        <f>TDCTRIBE!B406</f>
        <v>KS</v>
      </c>
      <c r="C398" s="82" t="str">
        <f>TDCTRIBE!F406</f>
        <v>Sac and Fox of Missouri</v>
      </c>
      <c r="D398" s="83">
        <f>TDCTRIBE!Y406</f>
        <v>272873.67082499998</v>
      </c>
      <c r="E398" s="83">
        <f>TDCTRIBE!Z406</f>
        <v>302529.469515</v>
      </c>
      <c r="F398" s="83">
        <f>TDCTRIBE!AA406</f>
        <v>339561.05781500001</v>
      </c>
      <c r="G398" s="83">
        <f>TDCTRIBE!AB406</f>
        <v>366634.79677999998</v>
      </c>
      <c r="H398" s="83">
        <f>TDCTRIBE!AC406</f>
        <v>395355.13051999995</v>
      </c>
      <c r="O398" s="9"/>
      <c r="P398" s="1"/>
      <c r="Q398" s="1"/>
      <c r="R398" s="1"/>
      <c r="S398" s="1"/>
      <c r="T398" s="1"/>
      <c r="U398" s="1"/>
      <c r="V398" s="9"/>
      <c r="W398" s="3"/>
      <c r="X398" s="4"/>
      <c r="Y398" s="1"/>
      <c r="Z398" s="1"/>
      <c r="AA398" s="1"/>
      <c r="AB398" s="1"/>
      <c r="AC398" s="1"/>
      <c r="AD398" s="3"/>
      <c r="AE398" s="3"/>
      <c r="AF398" s="5"/>
      <c r="AG398" s="5"/>
      <c r="AH398" s="5"/>
      <c r="AI398" s="5"/>
      <c r="AJ398" s="6"/>
      <c r="AK398" s="6"/>
      <c r="AL398" s="12"/>
      <c r="AM398" s="12"/>
      <c r="AN398" s="12"/>
      <c r="AO398" s="12"/>
      <c r="AP398" s="12"/>
    </row>
    <row r="399" spans="1:42" ht="15" x14ac:dyDescent="0.25">
      <c r="A399" s="82" t="str">
        <f>TDCTRIBE!I407</f>
        <v>Southern Plains</v>
      </c>
      <c r="B399" s="82" t="str">
        <f>TDCTRIBE!B407</f>
        <v>LA</v>
      </c>
      <c r="C399" s="82" t="str">
        <f>TDCTRIBE!F407</f>
        <v>Chitimacha Tribe</v>
      </c>
      <c r="D399" s="83">
        <f>TDCTRIBE!Y407</f>
        <v>261288.67407999997</v>
      </c>
      <c r="E399" s="83">
        <f>TDCTRIBE!Z407</f>
        <v>289560.69119600003</v>
      </c>
      <c r="F399" s="83">
        <f>TDCTRIBE!AA407</f>
        <v>324913.43407600001</v>
      </c>
      <c r="G399" s="83">
        <f>TDCTRIBE!AB407</f>
        <v>350706.21331199998</v>
      </c>
      <c r="H399" s="83">
        <f>TDCTRIBE!AC407</f>
        <v>378165.95420799998</v>
      </c>
      <c r="O399" s="9"/>
      <c r="P399" s="1"/>
      <c r="Q399" s="1"/>
      <c r="R399" s="1"/>
      <c r="S399" s="1"/>
      <c r="T399" s="1"/>
      <c r="U399" s="1"/>
      <c r="V399" s="9"/>
      <c r="W399" s="3"/>
      <c r="X399" s="4"/>
      <c r="Y399" s="1"/>
      <c r="Z399" s="1"/>
      <c r="AA399" s="1"/>
      <c r="AB399" s="1"/>
      <c r="AC399" s="1"/>
      <c r="AD399" s="3"/>
      <c r="AE399" s="3"/>
      <c r="AF399" s="5"/>
      <c r="AG399" s="5"/>
      <c r="AH399" s="5"/>
      <c r="AI399" s="5"/>
      <c r="AJ399" s="6"/>
      <c r="AK399" s="6"/>
      <c r="AL399" s="12"/>
      <c r="AM399" s="12"/>
      <c r="AN399" s="12"/>
      <c r="AO399" s="12"/>
      <c r="AP399" s="12"/>
    </row>
    <row r="400" spans="1:42" ht="15" x14ac:dyDescent="0.25">
      <c r="A400" s="82" t="str">
        <f>TDCTRIBE!I408</f>
        <v>Southern Plains</v>
      </c>
      <c r="B400" s="82" t="str">
        <f>TDCTRIBE!B408</f>
        <v>LA</v>
      </c>
      <c r="C400" s="82" t="str">
        <f>TDCTRIBE!F408</f>
        <v>Coushatta Tribe</v>
      </c>
      <c r="D400" s="83">
        <f>TDCTRIBE!Y408</f>
        <v>261288.67407999997</v>
      </c>
      <c r="E400" s="83">
        <f>TDCTRIBE!Z408</f>
        <v>289560.69119600003</v>
      </c>
      <c r="F400" s="83">
        <f>TDCTRIBE!AA408</f>
        <v>324913.43407600001</v>
      </c>
      <c r="G400" s="83">
        <f>TDCTRIBE!AB408</f>
        <v>350706.21331199998</v>
      </c>
      <c r="H400" s="83">
        <f>TDCTRIBE!AC408</f>
        <v>378165.95420799998</v>
      </c>
      <c r="O400" s="9"/>
      <c r="P400" s="1"/>
      <c r="Q400" s="1"/>
      <c r="R400" s="1"/>
      <c r="S400" s="1"/>
      <c r="T400" s="1"/>
      <c r="U400" s="1"/>
      <c r="V400" s="9"/>
      <c r="W400" s="3"/>
      <c r="X400" s="4"/>
      <c r="Y400" s="1"/>
      <c r="Z400" s="1"/>
      <c r="AA400" s="1"/>
      <c r="AB400" s="1"/>
      <c r="AC400" s="1"/>
      <c r="AD400" s="3"/>
      <c r="AE400" s="3"/>
      <c r="AF400" s="5"/>
      <c r="AG400" s="5"/>
      <c r="AH400" s="5"/>
      <c r="AI400" s="5"/>
      <c r="AJ400" s="6"/>
      <c r="AK400" s="6"/>
      <c r="AL400" s="12"/>
      <c r="AM400" s="12"/>
      <c r="AN400" s="12"/>
      <c r="AO400" s="12"/>
      <c r="AP400" s="12"/>
    </row>
    <row r="401" spans="1:42" ht="15" x14ac:dyDescent="0.25">
      <c r="A401" s="82" t="str">
        <f>TDCTRIBE!I409</f>
        <v>Southern Plains</v>
      </c>
      <c r="B401" s="82" t="str">
        <f>TDCTRIBE!B409</f>
        <v>LA</v>
      </c>
      <c r="C401" s="82" t="str">
        <f>TDCTRIBE!F409</f>
        <v>Jena Band of Choctaw</v>
      </c>
      <c r="D401" s="83">
        <f>TDCTRIBE!Y409</f>
        <v>253413.76158000002</v>
      </c>
      <c r="E401" s="83">
        <f>TDCTRIBE!Z409</f>
        <v>280945.20144600002</v>
      </c>
      <c r="F401" s="83">
        <f>TDCTRIBE!AA409</f>
        <v>315327.80032599997</v>
      </c>
      <c r="G401" s="83">
        <f>TDCTRIBE!AB409</f>
        <v>340460.803312</v>
      </c>
      <c r="H401" s="83">
        <f>TDCTRIBE!AC409</f>
        <v>367129.82420800003</v>
      </c>
      <c r="O401" s="9"/>
      <c r="P401" s="1"/>
      <c r="Q401" s="1"/>
      <c r="R401" s="1"/>
      <c r="S401" s="1"/>
      <c r="T401" s="1"/>
      <c r="U401" s="1"/>
      <c r="V401" s="9"/>
      <c r="W401" s="3"/>
      <c r="X401" s="4"/>
      <c r="Y401" s="7"/>
      <c r="Z401" s="1"/>
      <c r="AA401" s="1"/>
      <c r="AB401" s="1"/>
      <c r="AC401" s="1"/>
      <c r="AD401" s="3"/>
      <c r="AE401" s="3"/>
      <c r="AF401" s="5"/>
      <c r="AG401" s="5"/>
      <c r="AH401" s="5"/>
      <c r="AI401" s="5"/>
      <c r="AJ401" s="6"/>
      <c r="AK401" s="6"/>
      <c r="AL401" s="12"/>
      <c r="AM401" s="12"/>
      <c r="AN401" s="12"/>
      <c r="AO401" s="12"/>
      <c r="AP401" s="12"/>
    </row>
    <row r="402" spans="1:42" ht="15" x14ac:dyDescent="0.25">
      <c r="A402" s="82" t="str">
        <f>TDCTRIBE!I410</f>
        <v>Southern Plains</v>
      </c>
      <c r="B402" s="82" t="str">
        <f>TDCTRIBE!B410</f>
        <v>LA</v>
      </c>
      <c r="C402" s="82" t="str">
        <f>TDCTRIBE!F410</f>
        <v>Tunica-Biloxi Tribe</v>
      </c>
      <c r="D402" s="83">
        <f>TDCTRIBE!Y410</f>
        <v>253413.76158000002</v>
      </c>
      <c r="E402" s="83">
        <f>TDCTRIBE!Z410</f>
        <v>280945.20144600002</v>
      </c>
      <c r="F402" s="83">
        <f>TDCTRIBE!AA410</f>
        <v>315327.80032599997</v>
      </c>
      <c r="G402" s="83">
        <f>TDCTRIBE!AB410</f>
        <v>340460.803312</v>
      </c>
      <c r="H402" s="83">
        <f>TDCTRIBE!AC410</f>
        <v>367129.82420800003</v>
      </c>
      <c r="O402" s="9"/>
      <c r="P402" s="1"/>
      <c r="Q402" s="1"/>
      <c r="R402" s="1"/>
      <c r="S402" s="1"/>
      <c r="T402" s="1"/>
      <c r="U402" s="1"/>
      <c r="V402" s="9"/>
      <c r="W402" s="3"/>
      <c r="X402" s="4"/>
      <c r="Y402" s="1"/>
      <c r="Z402" s="1"/>
      <c r="AA402" s="1"/>
      <c r="AB402" s="1"/>
      <c r="AC402" s="1"/>
      <c r="AD402" s="3"/>
      <c r="AE402" s="3"/>
      <c r="AF402" s="5"/>
      <c r="AG402" s="5"/>
      <c r="AH402" s="5"/>
      <c r="AI402" s="5"/>
      <c r="AJ402" s="6"/>
      <c r="AK402" s="6"/>
      <c r="AL402" s="12"/>
      <c r="AM402" s="12"/>
      <c r="AN402" s="12"/>
      <c r="AO402" s="12"/>
      <c r="AP402" s="12"/>
    </row>
    <row r="403" spans="1:42" ht="15" x14ac:dyDescent="0.25">
      <c r="A403" s="82" t="str">
        <f>TDCTRIBE!I411</f>
        <v>Southern Plains</v>
      </c>
      <c r="B403" s="82" t="str">
        <f>TDCTRIBE!B411</f>
        <v>OK</v>
      </c>
      <c r="C403" s="82" t="str">
        <f>TDCTRIBE!F411</f>
        <v>Absentee-Shawnee</v>
      </c>
      <c r="D403" s="83">
        <f>TDCTRIBE!Y411</f>
        <v>257413.80675500006</v>
      </c>
      <c r="E403" s="83">
        <f>TDCTRIBE!Z411</f>
        <v>285531.63438100001</v>
      </c>
      <c r="F403" s="83">
        <f>TDCTRIBE!AA411</f>
        <v>320586.75896100001</v>
      </c>
      <c r="G403" s="83">
        <f>TDCTRIBE!AB411</f>
        <v>346276.56893199997</v>
      </c>
      <c r="H403" s="83">
        <f>TDCTRIBE!AC411</f>
        <v>373416.765288</v>
      </c>
      <c r="O403" s="9"/>
      <c r="P403" s="1"/>
      <c r="Q403" s="1"/>
      <c r="R403" s="1"/>
      <c r="S403" s="1"/>
      <c r="T403" s="1"/>
      <c r="U403" s="1"/>
      <c r="V403" s="9"/>
      <c r="W403" s="3"/>
      <c r="X403" s="4"/>
      <c r="Y403" s="1"/>
      <c r="Z403" s="1"/>
      <c r="AA403" s="1"/>
      <c r="AB403" s="1"/>
      <c r="AC403" s="1"/>
      <c r="AD403" s="3"/>
      <c r="AE403" s="3"/>
      <c r="AF403" s="5"/>
      <c r="AG403" s="5"/>
      <c r="AH403" s="5"/>
      <c r="AI403" s="5"/>
      <c r="AJ403" s="6"/>
      <c r="AK403" s="6"/>
      <c r="AL403" s="12"/>
      <c r="AM403" s="12"/>
      <c r="AN403" s="12"/>
      <c r="AO403" s="12"/>
      <c r="AP403" s="12"/>
    </row>
    <row r="404" spans="1:42" ht="15" x14ac:dyDescent="0.25">
      <c r="A404" s="82" t="str">
        <f>TDCTRIBE!I412</f>
        <v>Southern Plains</v>
      </c>
      <c r="B404" s="82" t="str">
        <f>TDCTRIBE!B412</f>
        <v>OK</v>
      </c>
      <c r="C404" s="82" t="str">
        <f>TDCTRIBE!F412</f>
        <v>Alabama-Quassarte Tribal Town</v>
      </c>
      <c r="D404" s="83">
        <f>TDCTRIBE!Y412</f>
        <v>254698.78315</v>
      </c>
      <c r="E404" s="83">
        <f>TDCTRIBE!Z412</f>
        <v>282435.15502999997</v>
      </c>
      <c r="F404" s="83">
        <f>TDCTRIBE!AA412</f>
        <v>317047.95843000006</v>
      </c>
      <c r="G404" s="83">
        <f>TDCTRIBE!AB412</f>
        <v>342377.29316</v>
      </c>
      <c r="H404" s="83">
        <f>TDCTRIBE!AC412</f>
        <v>369203.15544000006</v>
      </c>
      <c r="O404" s="9"/>
      <c r="P404" s="1"/>
      <c r="Q404" s="1"/>
      <c r="R404" s="1"/>
      <c r="S404" s="1"/>
      <c r="T404" s="1"/>
      <c r="U404" s="1"/>
      <c r="V404" s="9"/>
      <c r="W404" s="3"/>
      <c r="X404" s="4"/>
      <c r="Y404" s="7"/>
      <c r="Z404" s="1"/>
      <c r="AA404" s="1"/>
      <c r="AB404" s="1"/>
      <c r="AC404" s="1"/>
      <c r="AD404" s="3"/>
      <c r="AE404" s="3"/>
      <c r="AF404" s="5"/>
      <c r="AG404" s="5"/>
      <c r="AH404" s="5"/>
      <c r="AI404" s="5"/>
      <c r="AJ404" s="6"/>
      <c r="AK404" s="6"/>
      <c r="AL404" s="12"/>
      <c r="AM404" s="12"/>
      <c r="AN404" s="12"/>
      <c r="AO404" s="12"/>
      <c r="AP404" s="12"/>
    </row>
    <row r="405" spans="1:42" ht="15" x14ac:dyDescent="0.25">
      <c r="A405" s="82" t="str">
        <f>TDCTRIBE!I413</f>
        <v>Southern Plains</v>
      </c>
      <c r="B405" s="82" t="str">
        <f>TDCTRIBE!B413</f>
        <v>OK</v>
      </c>
      <c r="C405" s="82" t="str">
        <f>TDCTRIBE!F413</f>
        <v>Apache Tribe</v>
      </c>
      <c r="D405" s="83">
        <f>TDCTRIBE!Y413</f>
        <v>252273.72047499998</v>
      </c>
      <c r="E405" s="83">
        <f>TDCTRIBE!Z413</f>
        <v>279571.820045</v>
      </c>
      <c r="F405" s="83">
        <f>TDCTRIBE!AA413</f>
        <v>313706.12654500006</v>
      </c>
      <c r="G405" s="83">
        <f>TDCTRIBE!AB413</f>
        <v>338610.60953999998</v>
      </c>
      <c r="H405" s="83">
        <f>TDCTRIBE!AC413</f>
        <v>365123.44036000001</v>
      </c>
      <c r="O405" s="9"/>
      <c r="P405" s="1"/>
      <c r="Q405" s="1"/>
      <c r="R405" s="1"/>
      <c r="S405" s="1"/>
      <c r="T405" s="1"/>
      <c r="U405" s="1"/>
      <c r="V405" s="9"/>
      <c r="W405" s="3"/>
      <c r="X405" s="4"/>
      <c r="Y405" s="1"/>
      <c r="Z405" s="1"/>
      <c r="AA405" s="1"/>
      <c r="AB405" s="1"/>
      <c r="AC405" s="1"/>
      <c r="AD405" s="3"/>
      <c r="AE405" s="3"/>
      <c r="AF405" s="5"/>
      <c r="AG405" s="5"/>
      <c r="AH405" s="5"/>
      <c r="AI405" s="5"/>
      <c r="AJ405" s="6"/>
      <c r="AK405" s="6"/>
      <c r="AL405" s="12"/>
      <c r="AM405" s="12"/>
      <c r="AN405" s="12"/>
      <c r="AO405" s="12"/>
      <c r="AP405" s="12"/>
    </row>
    <row r="406" spans="1:42" ht="15" x14ac:dyDescent="0.25">
      <c r="A406" s="82" t="str">
        <f>TDCTRIBE!I414</f>
        <v>Southern Plains</v>
      </c>
      <c r="B406" s="82" t="str">
        <f>TDCTRIBE!B414</f>
        <v>OK</v>
      </c>
      <c r="C406" s="82" t="str">
        <f>TDCTRIBE!F414</f>
        <v>Caddo Tribe</v>
      </c>
      <c r="D406" s="83">
        <f>TDCTRIBE!Y414</f>
        <v>252273.72047499998</v>
      </c>
      <c r="E406" s="83">
        <f>TDCTRIBE!Z414</f>
        <v>279571.820045</v>
      </c>
      <c r="F406" s="83">
        <f>TDCTRIBE!AA414</f>
        <v>313706.12654500006</v>
      </c>
      <c r="G406" s="83">
        <f>TDCTRIBE!AB414</f>
        <v>338610.60953999998</v>
      </c>
      <c r="H406" s="83">
        <f>TDCTRIBE!AC414</f>
        <v>365123.44036000001</v>
      </c>
      <c r="O406" s="9"/>
      <c r="P406" s="1"/>
      <c r="Q406" s="1"/>
      <c r="R406" s="1"/>
      <c r="S406" s="1"/>
      <c r="T406" s="1"/>
      <c r="U406" s="1"/>
      <c r="V406" s="9"/>
      <c r="W406" s="3"/>
      <c r="X406" s="4"/>
      <c r="Y406" s="1"/>
      <c r="Z406" s="1"/>
      <c r="AA406" s="1"/>
      <c r="AB406" s="1"/>
      <c r="AC406" s="1"/>
      <c r="AD406" s="3"/>
      <c r="AE406" s="3"/>
      <c r="AF406" s="5"/>
      <c r="AG406" s="5"/>
      <c r="AH406" s="5"/>
      <c r="AI406" s="5"/>
      <c r="AJ406" s="6"/>
      <c r="AK406" s="6"/>
      <c r="AL406" s="12"/>
      <c r="AM406" s="12"/>
      <c r="AN406" s="12"/>
      <c r="AO406" s="12"/>
      <c r="AP406" s="12"/>
    </row>
    <row r="407" spans="1:42" ht="15" x14ac:dyDescent="0.25">
      <c r="A407" s="82" t="str">
        <f>TDCTRIBE!I415</f>
        <v>Southern Plains</v>
      </c>
      <c r="B407" s="82" t="str">
        <f>TDCTRIBE!B415</f>
        <v>OK</v>
      </c>
      <c r="C407" s="82" t="str">
        <f>TDCTRIBE!F415</f>
        <v>Cherokee Nation</v>
      </c>
      <c r="D407" s="83">
        <f>TDCTRIBE!Y415</f>
        <v>254698.78315</v>
      </c>
      <c r="E407" s="83">
        <f>TDCTRIBE!Z415</f>
        <v>282435.15502999997</v>
      </c>
      <c r="F407" s="83">
        <f>TDCTRIBE!AA415</f>
        <v>317047.95843000006</v>
      </c>
      <c r="G407" s="83">
        <f>TDCTRIBE!AB415</f>
        <v>342377.29316</v>
      </c>
      <c r="H407" s="83">
        <f>TDCTRIBE!AC415</f>
        <v>369203.15544000006</v>
      </c>
      <c r="O407" s="9"/>
      <c r="P407" s="1"/>
      <c r="Q407" s="1"/>
      <c r="R407" s="1"/>
      <c r="S407" s="1"/>
      <c r="T407" s="1"/>
      <c r="U407" s="1"/>
      <c r="V407" s="9"/>
      <c r="W407" s="3"/>
      <c r="X407" s="4"/>
      <c r="Y407" s="1"/>
      <c r="Z407" s="1"/>
      <c r="AA407" s="1"/>
      <c r="AB407" s="1"/>
      <c r="AC407" s="1"/>
      <c r="AD407" s="3"/>
      <c r="AE407" s="3"/>
      <c r="AF407" s="5"/>
      <c r="AG407" s="5"/>
      <c r="AH407" s="5"/>
      <c r="AI407" s="5"/>
      <c r="AJ407" s="6"/>
      <c r="AK407" s="6"/>
      <c r="AL407" s="12"/>
      <c r="AM407" s="12"/>
      <c r="AN407" s="12"/>
      <c r="AO407" s="12"/>
      <c r="AP407" s="12"/>
    </row>
    <row r="408" spans="1:42" ht="15" x14ac:dyDescent="0.25">
      <c r="A408" s="82" t="str">
        <f>TDCTRIBE!I416</f>
        <v>Southern Plains</v>
      </c>
      <c r="B408" s="82" t="str">
        <f>TDCTRIBE!B416</f>
        <v>OK</v>
      </c>
      <c r="C408" s="82" t="str">
        <f>TDCTRIBE!F416</f>
        <v>Cheyenne-Arapaho Tribes</v>
      </c>
      <c r="D408" s="83">
        <f>TDCTRIBE!Y416</f>
        <v>260563.77175500002</v>
      </c>
      <c r="E408" s="83">
        <f>TDCTRIBE!Z416</f>
        <v>288977.830281</v>
      </c>
      <c r="F408" s="83">
        <f>TDCTRIBE!AA416</f>
        <v>324421.01246100006</v>
      </c>
      <c r="G408" s="83">
        <f>TDCTRIBE!AB416</f>
        <v>350374.73293200001</v>
      </c>
      <c r="H408" s="83">
        <f>TDCTRIBE!AC416</f>
        <v>377831.21728800004</v>
      </c>
      <c r="O408" s="9"/>
      <c r="P408" s="1"/>
      <c r="Q408" s="1"/>
      <c r="R408" s="1"/>
      <c r="S408" s="1"/>
      <c r="T408" s="1"/>
      <c r="U408" s="1"/>
      <c r="V408" s="9"/>
      <c r="W408" s="3"/>
      <c r="X408" s="4"/>
      <c r="Y408" s="1"/>
      <c r="Z408" s="1"/>
      <c r="AA408" s="1"/>
      <c r="AB408" s="1"/>
      <c r="AC408" s="1"/>
      <c r="AD408" s="3"/>
      <c r="AE408" s="3"/>
      <c r="AF408" s="5"/>
      <c r="AG408" s="5"/>
      <c r="AH408" s="5"/>
      <c r="AI408" s="5"/>
      <c r="AJ408" s="6"/>
      <c r="AK408" s="6"/>
      <c r="AL408" s="12"/>
      <c r="AM408" s="12"/>
      <c r="AN408" s="12"/>
      <c r="AO408" s="12"/>
      <c r="AP408" s="12"/>
    </row>
    <row r="409" spans="1:42" ht="15" x14ac:dyDescent="0.25">
      <c r="A409" s="82" t="str">
        <f>TDCTRIBE!I417</f>
        <v>Southern Plains</v>
      </c>
      <c r="B409" s="82" t="str">
        <f>TDCTRIBE!B417</f>
        <v>OK</v>
      </c>
      <c r="C409" s="82" t="str">
        <f>TDCTRIBE!F417</f>
        <v>Chickasaw</v>
      </c>
      <c r="D409" s="83">
        <f>TDCTRIBE!Y417</f>
        <v>245973.79047500002</v>
      </c>
      <c r="E409" s="83">
        <f>TDCTRIBE!Z417</f>
        <v>272679.42824500002</v>
      </c>
      <c r="F409" s="83">
        <f>TDCTRIBE!AA417</f>
        <v>306037.61954500002</v>
      </c>
      <c r="G409" s="83">
        <f>TDCTRIBE!AB417</f>
        <v>330414.28154</v>
      </c>
      <c r="H409" s="83">
        <f>TDCTRIBE!AC417</f>
        <v>356294.53636000003</v>
      </c>
      <c r="O409" s="9"/>
      <c r="P409" s="1"/>
      <c r="Q409" s="1"/>
      <c r="R409" s="1"/>
      <c r="S409" s="1"/>
      <c r="T409" s="1"/>
      <c r="U409" s="1"/>
      <c r="V409" s="9"/>
      <c r="W409" s="3"/>
      <c r="X409" s="4"/>
      <c r="Y409" s="1"/>
      <c r="Z409" s="1"/>
      <c r="AA409" s="1"/>
      <c r="AB409" s="1"/>
      <c r="AC409" s="1"/>
      <c r="AD409" s="3"/>
      <c r="AE409" s="3"/>
      <c r="AF409" s="5"/>
      <c r="AG409" s="5"/>
      <c r="AH409" s="5"/>
      <c r="AI409" s="5"/>
      <c r="AJ409" s="6"/>
      <c r="AK409" s="6"/>
      <c r="AL409" s="12"/>
      <c r="AM409" s="12"/>
      <c r="AN409" s="12"/>
      <c r="AO409" s="12"/>
      <c r="AP409" s="12"/>
    </row>
    <row r="410" spans="1:42" ht="15" x14ac:dyDescent="0.25">
      <c r="A410" s="82" t="str">
        <f>TDCTRIBE!I418</f>
        <v>Southern Plains</v>
      </c>
      <c r="B410" s="82" t="str">
        <f>TDCTRIBE!B418</f>
        <v>OK</v>
      </c>
      <c r="C410" s="82" t="str">
        <f>TDCTRIBE!F418</f>
        <v>Choctaw Nation</v>
      </c>
      <c r="D410" s="83">
        <f>TDCTRIBE!Y418</f>
        <v>251548.81815000004</v>
      </c>
      <c r="E410" s="83">
        <f>TDCTRIBE!Z418</f>
        <v>278988.95912999997</v>
      </c>
      <c r="F410" s="83">
        <f>TDCTRIBE!AA418</f>
        <v>313213.70493000007</v>
      </c>
      <c r="G410" s="83">
        <f>TDCTRIBE!AB418</f>
        <v>338279.12916000001</v>
      </c>
      <c r="H410" s="83">
        <f>TDCTRIBE!AC418</f>
        <v>364788.70344000001</v>
      </c>
      <c r="O410" s="9"/>
      <c r="P410" s="1"/>
      <c r="Q410" s="1"/>
      <c r="R410" s="1"/>
      <c r="S410" s="1"/>
      <c r="T410" s="1"/>
      <c r="U410" s="1"/>
      <c r="V410" s="9"/>
      <c r="W410" s="3"/>
      <c r="X410" s="4"/>
      <c r="Y410" s="1"/>
      <c r="Z410" s="1"/>
      <c r="AA410" s="1"/>
      <c r="AB410" s="1"/>
      <c r="AC410" s="1"/>
      <c r="AD410" s="3"/>
      <c r="AE410" s="3"/>
      <c r="AF410" s="5"/>
      <c r="AG410" s="5"/>
      <c r="AH410" s="5"/>
      <c r="AI410" s="5"/>
      <c r="AJ410" s="6"/>
      <c r="AK410" s="6"/>
      <c r="AL410" s="12"/>
      <c r="AM410" s="12"/>
      <c r="AN410" s="12"/>
      <c r="AO410" s="12"/>
      <c r="AP410" s="12"/>
    </row>
    <row r="411" spans="1:42" ht="15" x14ac:dyDescent="0.25">
      <c r="A411" s="82" t="str">
        <f>TDCTRIBE!I419</f>
        <v>Southern Plains</v>
      </c>
      <c r="B411" s="82" t="str">
        <f>TDCTRIBE!B419</f>
        <v>OK</v>
      </c>
      <c r="C411" s="82" t="str">
        <f>TDCTRIBE!F419</f>
        <v>Citizen Band Potawatomi Tribe</v>
      </c>
      <c r="D411" s="83">
        <f>TDCTRIBE!Y419</f>
        <v>257413.80675500006</v>
      </c>
      <c r="E411" s="83">
        <f>TDCTRIBE!Z419</f>
        <v>285531.63438100001</v>
      </c>
      <c r="F411" s="83">
        <f>TDCTRIBE!AA419</f>
        <v>320586.75896100001</v>
      </c>
      <c r="G411" s="83">
        <f>TDCTRIBE!AB419</f>
        <v>346276.56893199997</v>
      </c>
      <c r="H411" s="83">
        <f>TDCTRIBE!AC419</f>
        <v>373416.765288</v>
      </c>
      <c r="O411" s="9"/>
      <c r="P411" s="1"/>
      <c r="Q411" s="1"/>
      <c r="R411" s="1"/>
      <c r="S411" s="1"/>
      <c r="T411" s="1"/>
      <c r="U411" s="1"/>
      <c r="V411" s="9"/>
      <c r="W411" s="3"/>
      <c r="X411" s="4"/>
      <c r="Y411" s="1"/>
      <c r="Z411" s="1"/>
      <c r="AA411" s="1"/>
      <c r="AB411" s="1"/>
      <c r="AC411" s="1"/>
      <c r="AD411" s="3"/>
      <c r="AE411" s="3"/>
      <c r="AF411" s="5"/>
      <c r="AG411" s="5"/>
      <c r="AH411" s="5"/>
      <c r="AI411" s="5"/>
      <c r="AJ411" s="6"/>
      <c r="AK411" s="6"/>
      <c r="AL411" s="12"/>
      <c r="AM411" s="12"/>
      <c r="AN411" s="12"/>
      <c r="AO411" s="12"/>
      <c r="AP411" s="12"/>
    </row>
    <row r="412" spans="1:42" ht="15" x14ac:dyDescent="0.25">
      <c r="A412" s="82" t="str">
        <f>TDCTRIBE!I420</f>
        <v>Southern Plains</v>
      </c>
      <c r="B412" s="82" t="str">
        <f>TDCTRIBE!B420</f>
        <v>OK</v>
      </c>
      <c r="C412" s="82" t="str">
        <f>TDCTRIBE!F420</f>
        <v>Comanche Tribe</v>
      </c>
      <c r="D412" s="83">
        <f>TDCTRIBE!Y420</f>
        <v>250698.737975</v>
      </c>
      <c r="E412" s="83">
        <f>TDCTRIBE!Z420</f>
        <v>277848.72209499998</v>
      </c>
      <c r="F412" s="83">
        <f>TDCTRIBE!AA420</f>
        <v>311788.99979500001</v>
      </c>
      <c r="G412" s="83">
        <f>TDCTRIBE!AB420</f>
        <v>336561.52753999998</v>
      </c>
      <c r="H412" s="83">
        <f>TDCTRIBE!AC420</f>
        <v>362916.21435999998</v>
      </c>
      <c r="O412" s="9"/>
      <c r="P412" s="1"/>
      <c r="Q412" s="1"/>
      <c r="R412" s="1"/>
      <c r="S412" s="1"/>
      <c r="T412" s="1"/>
      <c r="U412" s="1"/>
      <c r="V412" s="9"/>
      <c r="W412" s="3"/>
      <c r="X412" s="4"/>
      <c r="Y412" s="1"/>
      <c r="Z412" s="1"/>
      <c r="AA412" s="1"/>
      <c r="AB412" s="1"/>
      <c r="AC412" s="1"/>
      <c r="AD412" s="3"/>
      <c r="AE412" s="3"/>
      <c r="AF412" s="5"/>
      <c r="AG412" s="5"/>
      <c r="AH412" s="5"/>
      <c r="AI412" s="5"/>
      <c r="AJ412" s="6"/>
      <c r="AK412" s="6"/>
      <c r="AL412" s="12"/>
      <c r="AM412" s="12"/>
      <c r="AN412" s="12"/>
      <c r="AO412" s="12"/>
      <c r="AP412" s="12"/>
    </row>
    <row r="413" spans="1:42" ht="15" x14ac:dyDescent="0.25">
      <c r="A413" s="82" t="str">
        <f>TDCTRIBE!I421</f>
        <v>Southern Plains</v>
      </c>
      <c r="B413" s="82" t="str">
        <f>TDCTRIBE!B421</f>
        <v>OK</v>
      </c>
      <c r="C413" s="82" t="str">
        <f>TDCTRIBE!F421</f>
        <v>Delaware Tribe</v>
      </c>
      <c r="D413" s="83">
        <f>TDCTRIBE!Y421</f>
        <v>252273.72047499998</v>
      </c>
      <c r="E413" s="83">
        <f>TDCTRIBE!Z421</f>
        <v>279571.820045</v>
      </c>
      <c r="F413" s="83">
        <f>TDCTRIBE!AA421</f>
        <v>313706.12654500006</v>
      </c>
      <c r="G413" s="83">
        <f>TDCTRIBE!AB421</f>
        <v>338610.60953999998</v>
      </c>
      <c r="H413" s="83">
        <f>TDCTRIBE!AC421</f>
        <v>365123.44036000001</v>
      </c>
      <c r="O413" s="9"/>
      <c r="P413" s="1"/>
      <c r="Q413" s="1"/>
      <c r="R413" s="1"/>
      <c r="S413" s="1"/>
      <c r="T413" s="1"/>
      <c r="U413" s="1"/>
      <c r="V413" s="9"/>
      <c r="W413" s="3"/>
      <c r="X413" s="4"/>
      <c r="Y413" s="1"/>
      <c r="Z413" s="1"/>
      <c r="AA413" s="1"/>
      <c r="AB413" s="1"/>
      <c r="AC413" s="1"/>
      <c r="AD413" s="3"/>
      <c r="AE413" s="3"/>
      <c r="AF413" s="5"/>
      <c r="AG413" s="5"/>
      <c r="AH413" s="5"/>
      <c r="AI413" s="5"/>
      <c r="AJ413" s="6"/>
      <c r="AK413" s="6"/>
      <c r="AL413" s="12"/>
      <c r="AM413" s="12"/>
      <c r="AN413" s="12"/>
      <c r="AO413" s="12"/>
      <c r="AP413" s="12"/>
    </row>
    <row r="414" spans="1:42" ht="15" x14ac:dyDescent="0.25">
      <c r="A414" s="82" t="str">
        <f>TDCTRIBE!I422</f>
        <v>Southern Plains</v>
      </c>
      <c r="B414" s="82" t="str">
        <f>TDCTRIBE!B422</f>
        <v>OK</v>
      </c>
      <c r="C414" s="82" t="str">
        <f>TDCTRIBE!F422</f>
        <v>Delaware Tribe of Indians (Eastern)</v>
      </c>
      <c r="D414" s="83">
        <f>TDCTRIBE!Y422</f>
        <v>254698.78315</v>
      </c>
      <c r="E414" s="83">
        <f>TDCTRIBE!Z422</f>
        <v>282435.15502999997</v>
      </c>
      <c r="F414" s="83">
        <f>TDCTRIBE!AA422</f>
        <v>317047.95843000006</v>
      </c>
      <c r="G414" s="83">
        <f>TDCTRIBE!AB422</f>
        <v>342377.29316</v>
      </c>
      <c r="H414" s="83">
        <f>TDCTRIBE!AC422</f>
        <v>369203.15544000006</v>
      </c>
      <c r="O414" s="9"/>
      <c r="P414" s="1"/>
      <c r="Q414" s="1"/>
      <c r="R414" s="1"/>
      <c r="S414" s="1"/>
      <c r="T414" s="1"/>
      <c r="U414" s="1"/>
      <c r="V414" s="9"/>
      <c r="W414" s="3"/>
      <c r="X414" s="4"/>
      <c r="Y414" s="1"/>
      <c r="Z414" s="7"/>
      <c r="AA414" s="1"/>
      <c r="AB414" s="1"/>
      <c r="AC414" s="1"/>
      <c r="AD414" s="3"/>
      <c r="AE414" s="3"/>
      <c r="AF414" s="5"/>
      <c r="AG414" s="5"/>
      <c r="AH414" s="5"/>
      <c r="AI414" s="5"/>
      <c r="AJ414" s="6"/>
      <c r="AK414" s="6"/>
      <c r="AL414" s="12"/>
      <c r="AM414" s="12"/>
      <c r="AN414" s="12"/>
      <c r="AO414" s="12"/>
      <c r="AP414" s="12"/>
    </row>
    <row r="415" spans="1:42" ht="15" x14ac:dyDescent="0.25">
      <c r="A415" s="82" t="str">
        <f>TDCTRIBE!I423</f>
        <v>Southern Plains</v>
      </c>
      <c r="B415" s="82" t="str">
        <f>TDCTRIBE!B423</f>
        <v>OK</v>
      </c>
      <c r="C415" s="82" t="str">
        <f>TDCTRIBE!F423</f>
        <v>Eastern Shawnee Tribe</v>
      </c>
      <c r="D415" s="83">
        <f>TDCTRIBE!Y423</f>
        <v>254698.78315</v>
      </c>
      <c r="E415" s="83">
        <f>TDCTRIBE!Z423</f>
        <v>282435.15502999997</v>
      </c>
      <c r="F415" s="83">
        <f>TDCTRIBE!AA423</f>
        <v>317047.95843000006</v>
      </c>
      <c r="G415" s="83">
        <f>TDCTRIBE!AB423</f>
        <v>342377.29316</v>
      </c>
      <c r="H415" s="83">
        <f>TDCTRIBE!AC423</f>
        <v>369203.15544000006</v>
      </c>
      <c r="O415" s="9"/>
      <c r="P415" s="1"/>
      <c r="Q415" s="1"/>
      <c r="R415" s="1"/>
      <c r="S415" s="1"/>
      <c r="T415" s="1"/>
      <c r="U415" s="1"/>
      <c r="V415" s="9"/>
      <c r="W415" s="3"/>
      <c r="X415" s="4"/>
      <c r="Y415" s="1"/>
      <c r="Z415" s="1"/>
      <c r="AA415" s="1"/>
      <c r="AB415" s="1"/>
      <c r="AC415" s="1"/>
      <c r="AD415" s="3"/>
      <c r="AE415" s="3"/>
      <c r="AF415" s="5"/>
      <c r="AG415" s="5"/>
      <c r="AH415" s="5"/>
      <c r="AI415" s="5"/>
      <c r="AJ415" s="6"/>
      <c r="AK415" s="6"/>
      <c r="AL415" s="12"/>
      <c r="AM415" s="12"/>
      <c r="AN415" s="12"/>
      <c r="AO415" s="12"/>
      <c r="AP415" s="12"/>
    </row>
    <row r="416" spans="1:42" ht="15" x14ac:dyDescent="0.25">
      <c r="A416" s="82" t="str">
        <f>TDCTRIBE!I424</f>
        <v>Southern Plains</v>
      </c>
      <c r="B416" s="82" t="str">
        <f>TDCTRIBE!B424</f>
        <v>OK</v>
      </c>
      <c r="C416" s="82" t="str">
        <f>TDCTRIBE!F424</f>
        <v>Fort Sill Apache Tribe</v>
      </c>
      <c r="D416" s="83">
        <f>TDCTRIBE!Y424</f>
        <v>252273.72047499998</v>
      </c>
      <c r="E416" s="83">
        <f>TDCTRIBE!Z424</f>
        <v>279571.820045</v>
      </c>
      <c r="F416" s="83">
        <f>TDCTRIBE!AA424</f>
        <v>313706.12654500006</v>
      </c>
      <c r="G416" s="83">
        <f>TDCTRIBE!AB424</f>
        <v>338610.60953999998</v>
      </c>
      <c r="H416" s="83">
        <f>TDCTRIBE!AC424</f>
        <v>365123.44036000001</v>
      </c>
      <c r="O416" s="9"/>
      <c r="P416" s="1"/>
      <c r="Q416" s="1"/>
      <c r="R416" s="1"/>
      <c r="S416" s="1"/>
      <c r="T416" s="1"/>
      <c r="U416" s="1"/>
      <c r="V416" s="9"/>
      <c r="W416" s="3"/>
      <c r="X416" s="4"/>
      <c r="Y416" s="1"/>
      <c r="Z416" s="1"/>
      <c r="AA416" s="1"/>
      <c r="AB416" s="1"/>
      <c r="AC416" s="8"/>
      <c r="AD416" s="3"/>
      <c r="AE416" s="3"/>
      <c r="AF416" s="5"/>
      <c r="AG416" s="5"/>
      <c r="AH416" s="5"/>
      <c r="AI416" s="5"/>
      <c r="AJ416" s="6"/>
      <c r="AK416" s="6"/>
      <c r="AL416" s="12"/>
      <c r="AM416" s="12"/>
      <c r="AN416" s="12"/>
      <c r="AO416" s="12"/>
      <c r="AP416" s="12"/>
    </row>
    <row r="417" spans="1:42" ht="15" x14ac:dyDescent="0.25">
      <c r="A417" s="82" t="str">
        <f>TDCTRIBE!I425</f>
        <v>Southern Plains</v>
      </c>
      <c r="B417" s="82" t="str">
        <f>TDCTRIBE!B425</f>
        <v>OK</v>
      </c>
      <c r="C417" s="82" t="str">
        <f>TDCTRIBE!F425</f>
        <v>Iowa Tribe of Oklahoma</v>
      </c>
      <c r="D417" s="83">
        <f>TDCTRIBE!Y425</f>
        <v>262138.75425500001</v>
      </c>
      <c r="E417" s="83">
        <f>TDCTRIBE!Z425</f>
        <v>290700.92823100003</v>
      </c>
      <c r="F417" s="83">
        <f>TDCTRIBE!AA425</f>
        <v>326338.13921100006</v>
      </c>
      <c r="G417" s="83">
        <f>TDCTRIBE!AB425</f>
        <v>352423.81493200001</v>
      </c>
      <c r="H417" s="83">
        <f>TDCTRIBE!AC425</f>
        <v>380038.44328799995</v>
      </c>
      <c r="O417" s="9"/>
      <c r="P417" s="1"/>
      <c r="Q417" s="1"/>
      <c r="R417" s="1"/>
      <c r="S417" s="1"/>
      <c r="T417" s="1"/>
      <c r="U417" s="1"/>
      <c r="V417" s="9"/>
      <c r="W417" s="3"/>
      <c r="X417" s="4"/>
      <c r="Y417" s="1"/>
      <c r="Z417" s="1"/>
      <c r="AA417" s="1"/>
      <c r="AB417" s="1"/>
      <c r="AC417" s="1"/>
      <c r="AD417" s="3"/>
      <c r="AE417" s="3"/>
      <c r="AF417" s="5"/>
      <c r="AG417" s="5"/>
      <c r="AH417" s="5"/>
      <c r="AI417" s="5"/>
      <c r="AJ417" s="6"/>
      <c r="AK417" s="6"/>
      <c r="AL417" s="12"/>
      <c r="AM417" s="12"/>
      <c r="AN417" s="12"/>
      <c r="AO417" s="12"/>
      <c r="AP417" s="12"/>
    </row>
    <row r="418" spans="1:42" ht="15" x14ac:dyDescent="0.25">
      <c r="A418" s="82" t="str">
        <f>TDCTRIBE!I426</f>
        <v>Southern Plains</v>
      </c>
      <c r="B418" s="82" t="str">
        <f>TDCTRIBE!B426</f>
        <v>OK</v>
      </c>
      <c r="C418" s="82" t="str">
        <f>TDCTRIBE!F426</f>
        <v>Kaw Tribe</v>
      </c>
      <c r="D418" s="83">
        <f>TDCTRIBE!Y426</f>
        <v>257413.80675500006</v>
      </c>
      <c r="E418" s="83">
        <f>TDCTRIBE!Z426</f>
        <v>285531.63438100001</v>
      </c>
      <c r="F418" s="83">
        <f>TDCTRIBE!AA426</f>
        <v>320586.75896100001</v>
      </c>
      <c r="G418" s="83">
        <f>TDCTRIBE!AB426</f>
        <v>346276.56893199997</v>
      </c>
      <c r="H418" s="83">
        <f>TDCTRIBE!AC426</f>
        <v>373416.765288</v>
      </c>
      <c r="O418" s="9"/>
      <c r="P418" s="1"/>
      <c r="Q418" s="1"/>
      <c r="R418" s="1"/>
      <c r="S418" s="1"/>
      <c r="T418" s="1"/>
      <c r="U418" s="1"/>
      <c r="V418" s="9"/>
      <c r="W418" s="3"/>
      <c r="X418" s="4"/>
      <c r="Y418" s="1"/>
      <c r="Z418" s="1"/>
      <c r="AA418" s="1"/>
      <c r="AB418" s="1"/>
      <c r="AC418" s="1"/>
      <c r="AD418" s="3"/>
      <c r="AE418" s="3"/>
      <c r="AF418" s="5"/>
      <c r="AG418" s="5"/>
      <c r="AH418" s="5"/>
      <c r="AI418" s="5"/>
      <c r="AJ418" s="6"/>
      <c r="AK418" s="6"/>
      <c r="AL418" s="12"/>
      <c r="AM418" s="12"/>
      <c r="AN418" s="12"/>
      <c r="AO418" s="12"/>
      <c r="AP418" s="12"/>
    </row>
    <row r="419" spans="1:42" ht="15" x14ac:dyDescent="0.25">
      <c r="A419" s="82" t="str">
        <f>TDCTRIBE!I427</f>
        <v>Southern Plains</v>
      </c>
      <c r="B419" s="82" t="str">
        <f>TDCTRIBE!B427</f>
        <v>OK</v>
      </c>
      <c r="C419" s="82" t="str">
        <f>TDCTRIBE!F427</f>
        <v>Kialegee Tribal Town</v>
      </c>
      <c r="D419" s="83">
        <f>TDCTRIBE!Y427</f>
        <v>253123.80065000002</v>
      </c>
      <c r="E419" s="83">
        <f>TDCTRIBE!Z427</f>
        <v>280712.05708</v>
      </c>
      <c r="F419" s="83">
        <f>TDCTRIBE!AA427</f>
        <v>315130.83168000006</v>
      </c>
      <c r="G419" s="83">
        <f>TDCTRIBE!AB427</f>
        <v>340328.21116000001</v>
      </c>
      <c r="H419" s="83">
        <f>TDCTRIBE!AC427</f>
        <v>366995.92943999998</v>
      </c>
      <c r="O419" s="9"/>
      <c r="P419" s="1"/>
      <c r="Q419" s="1"/>
      <c r="R419" s="1"/>
      <c r="S419" s="1"/>
      <c r="T419" s="1"/>
      <c r="U419" s="1"/>
      <c r="V419" s="9"/>
      <c r="W419" s="3"/>
      <c r="X419" s="4"/>
      <c r="Y419" s="1"/>
      <c r="Z419" s="1"/>
      <c r="AA419" s="1"/>
      <c r="AB419" s="1"/>
      <c r="AC419" s="1"/>
      <c r="AD419" s="3"/>
      <c r="AE419" s="3"/>
      <c r="AF419" s="5"/>
      <c r="AG419" s="5"/>
      <c r="AH419" s="5"/>
      <c r="AI419" s="5"/>
      <c r="AJ419" s="6"/>
      <c r="AK419" s="6"/>
      <c r="AL419" s="12"/>
      <c r="AM419" s="12"/>
      <c r="AN419" s="12"/>
      <c r="AO419" s="12"/>
      <c r="AP419" s="12"/>
    </row>
    <row r="420" spans="1:42" ht="15" x14ac:dyDescent="0.25">
      <c r="A420" s="82" t="str">
        <f>TDCTRIBE!I428</f>
        <v>Southern Plains</v>
      </c>
      <c r="B420" s="82" t="str">
        <f>TDCTRIBE!B428</f>
        <v>OK</v>
      </c>
      <c r="C420" s="82" t="str">
        <f>TDCTRIBE!F428</f>
        <v>Kickapoo Tribe of Oklahoma</v>
      </c>
      <c r="D420" s="83">
        <f>TDCTRIBE!Y428</f>
        <v>253123.80065000002</v>
      </c>
      <c r="E420" s="83">
        <f>TDCTRIBE!Z428</f>
        <v>280712.05708</v>
      </c>
      <c r="F420" s="83">
        <f>TDCTRIBE!AA428</f>
        <v>315130.83168000006</v>
      </c>
      <c r="G420" s="83">
        <f>TDCTRIBE!AB428</f>
        <v>340328.21116000001</v>
      </c>
      <c r="H420" s="83">
        <f>TDCTRIBE!AC428</f>
        <v>366995.92943999998</v>
      </c>
      <c r="O420" s="9"/>
      <c r="P420" s="1"/>
      <c r="Q420" s="1"/>
      <c r="R420" s="1"/>
      <c r="S420" s="7"/>
      <c r="T420" s="1"/>
      <c r="U420" s="1"/>
      <c r="V420" s="9"/>
      <c r="W420" s="3"/>
      <c r="X420" s="4"/>
      <c r="Y420" s="7"/>
      <c r="Z420" s="1"/>
      <c r="AA420" s="1"/>
      <c r="AB420" s="1"/>
      <c r="AC420" s="1"/>
      <c r="AD420" s="3"/>
      <c r="AE420" s="3"/>
      <c r="AF420" s="5"/>
      <c r="AG420" s="5"/>
      <c r="AH420" s="5"/>
      <c r="AI420" s="5"/>
      <c r="AJ420" s="6"/>
      <c r="AK420" s="6"/>
      <c r="AL420" s="12"/>
      <c r="AM420" s="12"/>
      <c r="AN420" s="12"/>
      <c r="AO420" s="12"/>
      <c r="AP420" s="12"/>
    </row>
    <row r="421" spans="1:42" ht="15" x14ac:dyDescent="0.25">
      <c r="A421" s="82" t="str">
        <f>TDCTRIBE!I429</f>
        <v>Southern Plains</v>
      </c>
      <c r="B421" s="82" t="str">
        <f>TDCTRIBE!B429</f>
        <v>OK</v>
      </c>
      <c r="C421" s="82" t="str">
        <f>TDCTRIBE!F429</f>
        <v>Kiowa Tribe</v>
      </c>
      <c r="D421" s="83">
        <f>TDCTRIBE!Y429</f>
        <v>252273.72047499998</v>
      </c>
      <c r="E421" s="83">
        <f>TDCTRIBE!Z429</f>
        <v>279571.820045</v>
      </c>
      <c r="F421" s="83">
        <f>TDCTRIBE!AA429</f>
        <v>313706.12654500006</v>
      </c>
      <c r="G421" s="83">
        <f>TDCTRIBE!AB429</f>
        <v>338610.60953999998</v>
      </c>
      <c r="H421" s="83">
        <f>TDCTRIBE!AC429</f>
        <v>365123.44036000001</v>
      </c>
      <c r="O421" s="9"/>
      <c r="P421" s="1"/>
      <c r="Q421" s="1"/>
      <c r="R421" s="1"/>
      <c r="S421" s="1"/>
      <c r="T421" s="1"/>
      <c r="U421" s="1"/>
      <c r="V421" s="9"/>
      <c r="W421" s="3"/>
      <c r="X421" s="4"/>
      <c r="Y421" s="1"/>
      <c r="Z421" s="1"/>
      <c r="AA421" s="1"/>
      <c r="AB421" s="1"/>
      <c r="AC421" s="1"/>
      <c r="AD421" s="3"/>
      <c r="AE421" s="3"/>
      <c r="AF421" s="5"/>
      <c r="AG421" s="5"/>
      <c r="AH421" s="5"/>
      <c r="AI421" s="5"/>
      <c r="AJ421" s="6"/>
      <c r="AK421" s="6"/>
      <c r="AL421" s="12"/>
      <c r="AM421" s="12"/>
      <c r="AN421" s="12"/>
      <c r="AO421" s="12"/>
      <c r="AP421" s="12"/>
    </row>
    <row r="422" spans="1:42" ht="15" x14ac:dyDescent="0.25">
      <c r="A422" s="82" t="str">
        <f>TDCTRIBE!I430</f>
        <v>Southern Plains</v>
      </c>
      <c r="B422" s="82" t="str">
        <f>TDCTRIBE!B430</f>
        <v>OK</v>
      </c>
      <c r="C422" s="82" t="str">
        <f>TDCTRIBE!F430</f>
        <v>Loyal Shawnee of OK</v>
      </c>
      <c r="D422" s="83">
        <f>TDCTRIBE!Y430</f>
        <v>254698.78315</v>
      </c>
      <c r="E422" s="83">
        <f>TDCTRIBE!Z430</f>
        <v>282435.15502999997</v>
      </c>
      <c r="F422" s="83">
        <f>TDCTRIBE!AA430</f>
        <v>317047.95843000006</v>
      </c>
      <c r="G422" s="83">
        <f>TDCTRIBE!AB430</f>
        <v>342377.29316</v>
      </c>
      <c r="H422" s="83">
        <f>TDCTRIBE!AC430</f>
        <v>369203.15544000006</v>
      </c>
      <c r="O422" s="9"/>
      <c r="P422" s="1"/>
      <c r="Q422" s="1"/>
      <c r="R422" s="1"/>
      <c r="S422" s="1"/>
      <c r="T422" s="1"/>
      <c r="U422" s="1"/>
      <c r="V422" s="9"/>
      <c r="W422" s="3"/>
      <c r="X422" s="4"/>
      <c r="Y422" s="1"/>
      <c r="Z422" s="1"/>
      <c r="AA422" s="1"/>
      <c r="AB422" s="1"/>
      <c r="AC422" s="1"/>
      <c r="AD422" s="3"/>
      <c r="AE422" s="3"/>
      <c r="AF422" s="5"/>
      <c r="AG422" s="5"/>
      <c r="AH422" s="5"/>
      <c r="AI422" s="5"/>
      <c r="AJ422" s="6"/>
      <c r="AK422" s="6"/>
      <c r="AL422" s="12"/>
      <c r="AM422" s="12"/>
      <c r="AN422" s="12"/>
      <c r="AO422" s="12"/>
      <c r="AP422" s="12"/>
    </row>
    <row r="423" spans="1:42" ht="15" x14ac:dyDescent="0.25">
      <c r="A423" s="82" t="str">
        <f>TDCTRIBE!I431</f>
        <v>Southern Plains</v>
      </c>
      <c r="B423" s="82" t="str">
        <f>TDCTRIBE!B431</f>
        <v>OK</v>
      </c>
      <c r="C423" s="82" t="str">
        <f>TDCTRIBE!F431</f>
        <v>Miami Tribe</v>
      </c>
      <c r="D423" s="83">
        <f>TDCTRIBE!Y431</f>
        <v>254698.78315</v>
      </c>
      <c r="E423" s="83">
        <f>TDCTRIBE!Z431</f>
        <v>282435.15502999997</v>
      </c>
      <c r="F423" s="83">
        <f>TDCTRIBE!AA431</f>
        <v>317047.95843000006</v>
      </c>
      <c r="G423" s="83">
        <f>TDCTRIBE!AB431</f>
        <v>342377.29316</v>
      </c>
      <c r="H423" s="83">
        <f>TDCTRIBE!AC431</f>
        <v>369203.15544000006</v>
      </c>
      <c r="O423" s="9"/>
      <c r="P423" s="1"/>
      <c r="Q423" s="1"/>
      <c r="R423" s="1"/>
      <c r="S423" s="1"/>
      <c r="T423" s="1"/>
      <c r="U423" s="1"/>
      <c r="V423" s="9"/>
      <c r="W423" s="3"/>
      <c r="X423" s="4"/>
      <c r="Y423" s="1"/>
      <c r="Z423" s="1"/>
      <c r="AA423" s="1"/>
      <c r="AB423" s="1"/>
      <c r="AC423" s="1"/>
      <c r="AD423" s="3"/>
      <c r="AE423" s="3"/>
      <c r="AF423" s="5"/>
      <c r="AG423" s="5"/>
      <c r="AH423" s="5"/>
      <c r="AI423" s="5"/>
      <c r="AJ423" s="6"/>
      <c r="AK423" s="6"/>
      <c r="AL423" s="12"/>
      <c r="AM423" s="12"/>
      <c r="AN423" s="12"/>
      <c r="AO423" s="12"/>
      <c r="AP423" s="12"/>
    </row>
    <row r="424" spans="1:42" ht="15" x14ac:dyDescent="0.25">
      <c r="A424" s="82" t="str">
        <f>TDCTRIBE!I432</f>
        <v>Southern Plains</v>
      </c>
      <c r="B424" s="82" t="str">
        <f>TDCTRIBE!B432</f>
        <v>OK</v>
      </c>
      <c r="C424" s="82" t="str">
        <f>TDCTRIBE!F432</f>
        <v>Modoc Tribe</v>
      </c>
      <c r="D424" s="83">
        <f>TDCTRIBE!Y432</f>
        <v>254698.78315</v>
      </c>
      <c r="E424" s="83">
        <f>TDCTRIBE!Z432</f>
        <v>282435.15502999997</v>
      </c>
      <c r="F424" s="83">
        <f>TDCTRIBE!AA432</f>
        <v>317047.95843000006</v>
      </c>
      <c r="G424" s="83">
        <f>TDCTRIBE!AB432</f>
        <v>342377.29316</v>
      </c>
      <c r="H424" s="83">
        <f>TDCTRIBE!AC432</f>
        <v>369203.15544000006</v>
      </c>
      <c r="O424" s="9"/>
      <c r="P424" s="1"/>
      <c r="Q424" s="1"/>
      <c r="R424" s="1"/>
      <c r="S424" s="1"/>
      <c r="T424" s="1"/>
      <c r="U424" s="1"/>
      <c r="V424" s="9"/>
      <c r="W424" s="3"/>
      <c r="X424" s="4"/>
      <c r="Y424" s="1"/>
      <c r="Z424" s="1"/>
      <c r="AA424" s="1"/>
      <c r="AB424" s="1"/>
      <c r="AC424" s="1"/>
      <c r="AD424" s="3"/>
      <c r="AE424" s="3"/>
      <c r="AF424" s="5"/>
      <c r="AG424" s="5"/>
      <c r="AH424" s="5"/>
      <c r="AI424" s="5"/>
      <c r="AJ424" s="6"/>
      <c r="AK424" s="6"/>
      <c r="AL424" s="12"/>
      <c r="AM424" s="12"/>
      <c r="AN424" s="12"/>
      <c r="AO424" s="12"/>
      <c r="AP424" s="12"/>
    </row>
    <row r="425" spans="1:42" ht="15" x14ac:dyDescent="0.25">
      <c r="A425" s="82" t="str">
        <f>TDCTRIBE!I433</f>
        <v>Southern Plains</v>
      </c>
      <c r="B425" s="82" t="str">
        <f>TDCTRIBE!B433</f>
        <v>OK</v>
      </c>
      <c r="C425" s="82" t="str">
        <f>TDCTRIBE!F433</f>
        <v>Muskogee (Creek) Nation</v>
      </c>
      <c r="D425" s="83">
        <f>TDCTRIBE!Y433</f>
        <v>254698.78315</v>
      </c>
      <c r="E425" s="83">
        <f>TDCTRIBE!Z433</f>
        <v>282435.15502999997</v>
      </c>
      <c r="F425" s="83">
        <f>TDCTRIBE!AA433</f>
        <v>317047.95843000006</v>
      </c>
      <c r="G425" s="83">
        <f>TDCTRIBE!AB433</f>
        <v>342377.29316</v>
      </c>
      <c r="H425" s="83">
        <f>TDCTRIBE!AC433</f>
        <v>369203.15544000006</v>
      </c>
      <c r="O425" s="9"/>
      <c r="P425" s="1"/>
      <c r="Q425" s="1"/>
      <c r="R425" s="1"/>
      <c r="S425" s="1"/>
      <c r="T425" s="1"/>
      <c r="U425" s="1"/>
      <c r="V425" s="9"/>
      <c r="W425" s="3"/>
      <c r="X425" s="4"/>
      <c r="Y425" s="1"/>
      <c r="Z425" s="1"/>
      <c r="AA425" s="1"/>
      <c r="AB425" s="1"/>
      <c r="AC425" s="1"/>
      <c r="AD425" s="3"/>
      <c r="AE425" s="3"/>
      <c r="AF425" s="5"/>
      <c r="AG425" s="5"/>
      <c r="AH425" s="5"/>
      <c r="AI425" s="5"/>
      <c r="AJ425" s="6"/>
      <c r="AK425" s="6"/>
      <c r="AL425" s="12"/>
      <c r="AM425" s="12"/>
      <c r="AN425" s="12"/>
      <c r="AO425" s="12"/>
      <c r="AP425" s="12"/>
    </row>
    <row r="426" spans="1:42" ht="15" x14ac:dyDescent="0.25">
      <c r="A426" s="82" t="str">
        <f>TDCTRIBE!I434</f>
        <v>Southern Plains</v>
      </c>
      <c r="B426" s="82" t="str">
        <f>TDCTRIBE!B434</f>
        <v>OK</v>
      </c>
      <c r="C426" s="82" t="str">
        <f>TDCTRIBE!F434</f>
        <v>Osage Tribe</v>
      </c>
      <c r="D426" s="83">
        <f>TDCTRIBE!Y434</f>
        <v>252128.74001000001</v>
      </c>
      <c r="E426" s="83">
        <f>TDCTRIBE!Z434</f>
        <v>279455.24786200002</v>
      </c>
      <c r="F426" s="83">
        <f>TDCTRIBE!AA434</f>
        <v>313607.64222200005</v>
      </c>
      <c r="G426" s="83">
        <f>TDCTRIBE!AB434</f>
        <v>338544.31346399995</v>
      </c>
      <c r="H426" s="83">
        <f>TDCTRIBE!AC434</f>
        <v>365056.49297600001</v>
      </c>
      <c r="O426" s="9"/>
      <c r="P426" s="1"/>
      <c r="Q426" s="1"/>
      <c r="R426" s="1"/>
      <c r="S426" s="1"/>
      <c r="T426" s="1"/>
      <c r="U426" s="1"/>
      <c r="V426" s="9"/>
      <c r="W426" s="3"/>
      <c r="X426" s="4"/>
      <c r="Y426" s="1"/>
      <c r="Z426" s="1"/>
      <c r="AA426" s="1"/>
      <c r="AB426" s="1"/>
      <c r="AC426" s="1"/>
      <c r="AD426" s="3"/>
      <c r="AE426" s="3"/>
      <c r="AF426" s="5"/>
      <c r="AG426" s="5"/>
      <c r="AH426" s="5"/>
      <c r="AI426" s="5"/>
      <c r="AJ426" s="6"/>
      <c r="AK426" s="6"/>
      <c r="AL426" s="12"/>
      <c r="AM426" s="12"/>
      <c r="AN426" s="12"/>
      <c r="AO426" s="12"/>
      <c r="AP426" s="12"/>
    </row>
    <row r="427" spans="1:42" ht="15" x14ac:dyDescent="0.25">
      <c r="A427" s="82" t="str">
        <f>TDCTRIBE!I435</f>
        <v>Southern Plains</v>
      </c>
      <c r="B427" s="82" t="str">
        <f>TDCTRIBE!B435</f>
        <v>OK</v>
      </c>
      <c r="C427" s="82" t="str">
        <f>TDCTRIBE!F435</f>
        <v>Otoe-Missouria Tribe</v>
      </c>
      <c r="D427" s="83">
        <f>TDCTRIBE!Y435</f>
        <v>257413.80675500006</v>
      </c>
      <c r="E427" s="83">
        <f>TDCTRIBE!Z435</f>
        <v>285531.63438100001</v>
      </c>
      <c r="F427" s="83">
        <f>TDCTRIBE!AA435</f>
        <v>320586.75896100001</v>
      </c>
      <c r="G427" s="83">
        <f>TDCTRIBE!AB435</f>
        <v>346276.56893199997</v>
      </c>
      <c r="H427" s="83">
        <f>TDCTRIBE!AC435</f>
        <v>373416.765288</v>
      </c>
      <c r="O427" s="9"/>
      <c r="P427" s="1"/>
      <c r="Q427" s="1"/>
      <c r="R427" s="1"/>
      <c r="S427" s="1"/>
      <c r="T427" s="1"/>
      <c r="U427" s="1"/>
      <c r="V427" s="9"/>
      <c r="W427" s="3"/>
      <c r="X427" s="4"/>
      <c r="Y427" s="1"/>
      <c r="Z427" s="1"/>
      <c r="AA427" s="1"/>
      <c r="AB427" s="1"/>
      <c r="AC427" s="1"/>
      <c r="AD427" s="3"/>
      <c r="AE427" s="3"/>
      <c r="AF427" s="5"/>
      <c r="AG427" s="5"/>
      <c r="AH427" s="5"/>
      <c r="AI427" s="5"/>
      <c r="AJ427" s="6"/>
      <c r="AK427" s="6"/>
      <c r="AL427" s="12"/>
      <c r="AM427" s="12"/>
      <c r="AN427" s="12"/>
      <c r="AO427" s="12"/>
      <c r="AP427" s="12"/>
    </row>
    <row r="428" spans="1:42" ht="15" x14ac:dyDescent="0.25">
      <c r="A428" s="82" t="str">
        <f>TDCTRIBE!I436</f>
        <v>Southern Plains</v>
      </c>
      <c r="B428" s="82" t="str">
        <f>TDCTRIBE!B436</f>
        <v>OK</v>
      </c>
      <c r="C428" s="82" t="str">
        <f>TDCTRIBE!F436</f>
        <v>Ottawa Tribe</v>
      </c>
      <c r="D428" s="83">
        <f>TDCTRIBE!Y436</f>
        <v>254698.78315</v>
      </c>
      <c r="E428" s="83">
        <f>TDCTRIBE!Z436</f>
        <v>282435.15502999997</v>
      </c>
      <c r="F428" s="83">
        <f>TDCTRIBE!AA436</f>
        <v>317047.95843000006</v>
      </c>
      <c r="G428" s="83">
        <f>TDCTRIBE!AB436</f>
        <v>342377.29316</v>
      </c>
      <c r="H428" s="83">
        <f>TDCTRIBE!AC436</f>
        <v>369203.15544000006</v>
      </c>
      <c r="O428" s="9"/>
      <c r="P428" s="1"/>
      <c r="Q428" s="1"/>
      <c r="R428" s="1"/>
      <c r="S428" s="1"/>
      <c r="T428" s="1"/>
      <c r="U428" s="1"/>
      <c r="V428" s="9"/>
      <c r="W428" s="3"/>
      <c r="X428" s="4"/>
      <c r="Y428" s="1"/>
      <c r="Z428" s="1"/>
      <c r="AA428" s="1"/>
      <c r="AB428" s="1"/>
      <c r="AC428" s="1"/>
      <c r="AD428" s="3"/>
      <c r="AE428" s="3"/>
      <c r="AF428" s="5"/>
      <c r="AG428" s="5"/>
      <c r="AH428" s="5"/>
      <c r="AI428" s="5"/>
      <c r="AJ428" s="6"/>
      <c r="AK428" s="6"/>
      <c r="AL428" s="12"/>
      <c r="AM428" s="12"/>
      <c r="AN428" s="12"/>
      <c r="AO428" s="12"/>
      <c r="AP428" s="12"/>
    </row>
    <row r="429" spans="1:42" ht="15" x14ac:dyDescent="0.25">
      <c r="A429" s="82" t="str">
        <f>TDCTRIBE!I437</f>
        <v>Southern Plains</v>
      </c>
      <c r="B429" s="82" t="str">
        <f>TDCTRIBE!B437</f>
        <v>OK</v>
      </c>
      <c r="C429" s="82" t="str">
        <f>TDCTRIBE!F437</f>
        <v>Pawnee Tribe</v>
      </c>
      <c r="D429" s="83">
        <f>TDCTRIBE!Y437</f>
        <v>262138.75425500001</v>
      </c>
      <c r="E429" s="83">
        <f>TDCTRIBE!Z437</f>
        <v>290700.92823100003</v>
      </c>
      <c r="F429" s="83">
        <f>TDCTRIBE!AA437</f>
        <v>326338.13921100006</v>
      </c>
      <c r="G429" s="83">
        <f>TDCTRIBE!AB437</f>
        <v>352423.81493200001</v>
      </c>
      <c r="H429" s="83">
        <f>TDCTRIBE!AC437</f>
        <v>380038.44328799995</v>
      </c>
      <c r="O429" s="9"/>
      <c r="P429" s="1"/>
      <c r="Q429" s="1"/>
      <c r="R429" s="1"/>
      <c r="S429" s="1"/>
      <c r="T429" s="1"/>
      <c r="U429" s="1"/>
      <c r="V429" s="9"/>
      <c r="W429" s="3"/>
      <c r="X429" s="4"/>
      <c r="Y429" s="1"/>
      <c r="Z429" s="1"/>
      <c r="AA429" s="1"/>
      <c r="AB429" s="1"/>
      <c r="AC429" s="1"/>
      <c r="AD429" s="3"/>
      <c r="AE429" s="3"/>
      <c r="AF429" s="5"/>
      <c r="AG429" s="5"/>
      <c r="AH429" s="5"/>
      <c r="AI429" s="5"/>
      <c r="AJ429" s="6"/>
      <c r="AK429" s="6"/>
      <c r="AL429" s="12"/>
      <c r="AM429" s="12"/>
      <c r="AN429" s="12"/>
      <c r="AO429" s="12"/>
      <c r="AP429" s="12"/>
    </row>
    <row r="430" spans="1:42" ht="15" x14ac:dyDescent="0.25">
      <c r="A430" s="82" t="str">
        <f>TDCTRIBE!I438</f>
        <v>Southern Plains</v>
      </c>
      <c r="B430" s="82" t="str">
        <f>TDCTRIBE!B438</f>
        <v>OK</v>
      </c>
      <c r="C430" s="82" t="str">
        <f>TDCTRIBE!F438</f>
        <v>Peoria Tribe</v>
      </c>
      <c r="D430" s="83">
        <f>TDCTRIBE!Y438</f>
        <v>254698.78315</v>
      </c>
      <c r="E430" s="83">
        <f>TDCTRIBE!Z438</f>
        <v>282435.15502999997</v>
      </c>
      <c r="F430" s="83">
        <f>TDCTRIBE!AA438</f>
        <v>317047.95843000006</v>
      </c>
      <c r="G430" s="83">
        <f>TDCTRIBE!AB438</f>
        <v>342377.29316</v>
      </c>
      <c r="H430" s="83">
        <f>TDCTRIBE!AC438</f>
        <v>369203.15544000006</v>
      </c>
      <c r="O430" s="9"/>
      <c r="P430" s="1"/>
      <c r="Q430" s="1"/>
      <c r="R430" s="1"/>
      <c r="S430" s="1"/>
      <c r="T430" s="1"/>
      <c r="U430" s="1"/>
      <c r="V430" s="9"/>
      <c r="W430" s="3"/>
      <c r="X430" s="4"/>
      <c r="Y430" s="1"/>
      <c r="Z430" s="1"/>
      <c r="AA430" s="1"/>
      <c r="AB430" s="1"/>
      <c r="AC430" s="1"/>
      <c r="AD430" s="3"/>
      <c r="AE430" s="3"/>
      <c r="AF430" s="5"/>
      <c r="AG430" s="5"/>
      <c r="AH430" s="5"/>
      <c r="AI430" s="5"/>
      <c r="AJ430" s="6"/>
      <c r="AK430" s="6"/>
      <c r="AL430" s="12"/>
      <c r="AM430" s="12"/>
      <c r="AN430" s="12"/>
      <c r="AO430" s="12"/>
      <c r="AP430" s="12"/>
    </row>
    <row r="431" spans="1:42" ht="15" x14ac:dyDescent="0.25">
      <c r="A431" s="82" t="str">
        <f>TDCTRIBE!I439</f>
        <v>Southern Plains</v>
      </c>
      <c r="B431" s="82" t="str">
        <f>TDCTRIBE!B439</f>
        <v>OK</v>
      </c>
      <c r="C431" s="82" t="str">
        <f>TDCTRIBE!F439</f>
        <v>Ponca Tribe</v>
      </c>
      <c r="D431" s="83">
        <f>TDCTRIBE!Y439</f>
        <v>257413.80675500006</v>
      </c>
      <c r="E431" s="83">
        <f>TDCTRIBE!Z439</f>
        <v>285531.63438100001</v>
      </c>
      <c r="F431" s="83">
        <f>TDCTRIBE!AA439</f>
        <v>320586.75896100001</v>
      </c>
      <c r="G431" s="83">
        <f>TDCTRIBE!AB439</f>
        <v>346276.56893199997</v>
      </c>
      <c r="H431" s="83">
        <f>TDCTRIBE!AC439</f>
        <v>373416.765288</v>
      </c>
      <c r="O431" s="9"/>
      <c r="P431" s="1"/>
      <c r="Q431" s="1"/>
      <c r="R431" s="1"/>
      <c r="S431" s="1"/>
      <c r="T431" s="1"/>
      <c r="U431" s="1"/>
      <c r="V431" s="9"/>
      <c r="W431" s="3"/>
      <c r="X431" s="4"/>
      <c r="Y431" s="1"/>
      <c r="Z431" s="1"/>
      <c r="AA431" s="1"/>
      <c r="AB431" s="1"/>
      <c r="AC431" s="1"/>
      <c r="AD431" s="3"/>
      <c r="AE431" s="3"/>
      <c r="AF431" s="5"/>
      <c r="AG431" s="5"/>
      <c r="AH431" s="5"/>
      <c r="AI431" s="5"/>
      <c r="AJ431" s="6"/>
      <c r="AK431" s="6"/>
      <c r="AL431" s="12"/>
      <c r="AM431" s="12"/>
      <c r="AN431" s="12"/>
      <c r="AO431" s="12"/>
      <c r="AP431" s="12"/>
    </row>
    <row r="432" spans="1:42" ht="15" x14ac:dyDescent="0.25">
      <c r="A432" s="82" t="str">
        <f>TDCTRIBE!I440</f>
        <v>Southern Plains</v>
      </c>
      <c r="B432" s="82" t="str">
        <f>TDCTRIBE!B440</f>
        <v>OK</v>
      </c>
      <c r="C432" s="82" t="str">
        <f>TDCTRIBE!F440</f>
        <v>Quapaw Tribe</v>
      </c>
      <c r="D432" s="83">
        <f>TDCTRIBE!Y440</f>
        <v>254698.78315</v>
      </c>
      <c r="E432" s="83">
        <f>TDCTRIBE!Z440</f>
        <v>282435.15502999997</v>
      </c>
      <c r="F432" s="83">
        <f>TDCTRIBE!AA440</f>
        <v>317047.95843000006</v>
      </c>
      <c r="G432" s="83">
        <f>TDCTRIBE!AB440</f>
        <v>342377.29316</v>
      </c>
      <c r="H432" s="83">
        <f>TDCTRIBE!AC440</f>
        <v>369203.15544000006</v>
      </c>
      <c r="O432" s="9"/>
      <c r="P432" s="1"/>
      <c r="Q432" s="1"/>
      <c r="R432" s="1"/>
      <c r="S432" s="1"/>
      <c r="T432" s="1"/>
      <c r="U432" s="1"/>
      <c r="V432" s="9"/>
      <c r="W432" s="3"/>
      <c r="X432" s="4"/>
      <c r="Y432" s="1"/>
      <c r="Z432" s="1"/>
      <c r="AA432" s="1"/>
      <c r="AB432" s="1"/>
      <c r="AC432" s="1"/>
      <c r="AD432" s="3"/>
      <c r="AE432" s="3"/>
      <c r="AF432" s="5"/>
      <c r="AG432" s="5"/>
      <c r="AH432" s="5"/>
      <c r="AI432" s="5"/>
      <c r="AJ432" s="6"/>
      <c r="AK432" s="6"/>
      <c r="AL432" s="12"/>
      <c r="AM432" s="12"/>
      <c r="AN432" s="12"/>
      <c r="AO432" s="12"/>
      <c r="AP432" s="12"/>
    </row>
    <row r="433" spans="1:42" ht="15" x14ac:dyDescent="0.25">
      <c r="A433" s="82" t="str">
        <f>TDCTRIBE!I441</f>
        <v>Southern Plains</v>
      </c>
      <c r="B433" s="82" t="str">
        <f>TDCTRIBE!B441</f>
        <v>OK</v>
      </c>
      <c r="C433" s="82" t="str">
        <f>TDCTRIBE!F441</f>
        <v>Sac and Fox Tribe</v>
      </c>
      <c r="D433" s="83">
        <f>TDCTRIBE!Y441</f>
        <v>257413.80675500006</v>
      </c>
      <c r="E433" s="83">
        <f>TDCTRIBE!Z441</f>
        <v>285531.63438100001</v>
      </c>
      <c r="F433" s="83">
        <f>TDCTRIBE!AA441</f>
        <v>320586.75896100001</v>
      </c>
      <c r="G433" s="83">
        <f>TDCTRIBE!AB441</f>
        <v>346276.56893199997</v>
      </c>
      <c r="H433" s="83">
        <f>TDCTRIBE!AC441</f>
        <v>373416.765288</v>
      </c>
      <c r="O433" s="9"/>
      <c r="P433" s="1"/>
      <c r="Q433" s="1"/>
      <c r="R433" s="1"/>
      <c r="S433" s="1"/>
      <c r="T433" s="1"/>
      <c r="U433" s="1"/>
      <c r="V433" s="9"/>
      <c r="W433" s="3"/>
      <c r="X433" s="4"/>
      <c r="Y433" s="1"/>
      <c r="Z433" s="1"/>
      <c r="AA433" s="1"/>
      <c r="AB433" s="1"/>
      <c r="AC433" s="1"/>
      <c r="AD433" s="3"/>
      <c r="AE433" s="3"/>
      <c r="AF433" s="5"/>
      <c r="AG433" s="5"/>
      <c r="AH433" s="5"/>
      <c r="AI433" s="5"/>
      <c r="AJ433" s="6"/>
      <c r="AK433" s="6"/>
      <c r="AL433" s="12"/>
      <c r="AM433" s="12"/>
      <c r="AN433" s="12"/>
      <c r="AO433" s="12"/>
      <c r="AP433" s="12"/>
    </row>
    <row r="434" spans="1:42" ht="15" x14ac:dyDescent="0.25">
      <c r="A434" s="82" t="str">
        <f>TDCTRIBE!I442</f>
        <v>Southern Plains</v>
      </c>
      <c r="B434" s="82" t="str">
        <f>TDCTRIBE!B442</f>
        <v>OK</v>
      </c>
      <c r="C434" s="82" t="str">
        <f>TDCTRIBE!F442</f>
        <v>Seminole Nation</v>
      </c>
      <c r="D434" s="83">
        <f>TDCTRIBE!Y442</f>
        <v>253123.80065000002</v>
      </c>
      <c r="E434" s="83">
        <f>TDCTRIBE!Z442</f>
        <v>280712.05708</v>
      </c>
      <c r="F434" s="83">
        <f>TDCTRIBE!AA442</f>
        <v>315130.83168000006</v>
      </c>
      <c r="G434" s="83">
        <f>TDCTRIBE!AB442</f>
        <v>340328.21116000001</v>
      </c>
      <c r="H434" s="83">
        <f>TDCTRIBE!AC442</f>
        <v>366995.92943999998</v>
      </c>
      <c r="O434" s="9"/>
      <c r="P434" s="1"/>
      <c r="Q434" s="1"/>
      <c r="R434" s="1"/>
      <c r="S434" s="1"/>
      <c r="T434" s="1"/>
      <c r="U434" s="1"/>
      <c r="V434" s="9"/>
      <c r="W434" s="3"/>
      <c r="X434" s="4"/>
      <c r="Y434" s="7"/>
      <c r="Z434" s="1"/>
      <c r="AA434" s="1"/>
      <c r="AB434" s="1"/>
      <c r="AC434" s="1"/>
      <c r="AD434" s="3"/>
      <c r="AE434" s="3"/>
      <c r="AF434" s="5"/>
      <c r="AG434" s="5"/>
      <c r="AH434" s="5"/>
      <c r="AI434" s="5"/>
      <c r="AJ434" s="6"/>
      <c r="AK434" s="6"/>
      <c r="AL434" s="12"/>
      <c r="AM434" s="12"/>
      <c r="AN434" s="12"/>
      <c r="AO434" s="12"/>
      <c r="AP434" s="12"/>
    </row>
    <row r="435" spans="1:42" ht="15" x14ac:dyDescent="0.25">
      <c r="A435" s="82" t="str">
        <f>TDCTRIBE!I443</f>
        <v>Southern Plains</v>
      </c>
      <c r="B435" s="82" t="str">
        <f>TDCTRIBE!B443</f>
        <v>OK</v>
      </c>
      <c r="C435" s="82" t="str">
        <f>TDCTRIBE!F443</f>
        <v>Seneca-Cayuga</v>
      </c>
      <c r="D435" s="83">
        <f>TDCTRIBE!Y443</f>
        <v>254698.78315</v>
      </c>
      <c r="E435" s="83">
        <f>TDCTRIBE!Z443</f>
        <v>282435.15502999997</v>
      </c>
      <c r="F435" s="83">
        <f>TDCTRIBE!AA443</f>
        <v>317047.95843000006</v>
      </c>
      <c r="G435" s="83">
        <f>TDCTRIBE!AB443</f>
        <v>342377.29316</v>
      </c>
      <c r="H435" s="83">
        <f>TDCTRIBE!AC443</f>
        <v>369203.15544000006</v>
      </c>
      <c r="O435" s="9"/>
      <c r="P435" s="1"/>
      <c r="Q435" s="1"/>
      <c r="R435" s="1"/>
      <c r="S435" s="1"/>
      <c r="T435" s="1"/>
      <c r="U435" s="1"/>
      <c r="V435" s="9"/>
      <c r="W435" s="3"/>
      <c r="X435" s="4"/>
      <c r="Y435" s="1"/>
      <c r="Z435" s="1"/>
      <c r="AA435" s="1"/>
      <c r="AB435" s="1"/>
      <c r="AC435" s="1"/>
      <c r="AD435" s="3"/>
      <c r="AE435" s="3"/>
      <c r="AF435" s="5"/>
      <c r="AG435" s="5"/>
      <c r="AH435" s="5"/>
      <c r="AI435" s="5"/>
      <c r="AJ435" s="6"/>
      <c r="AK435" s="6"/>
      <c r="AL435" s="12"/>
      <c r="AM435" s="12"/>
      <c r="AN435" s="12"/>
      <c r="AO435" s="12"/>
      <c r="AP435" s="12"/>
    </row>
    <row r="436" spans="1:42" ht="15" x14ac:dyDescent="0.25">
      <c r="A436" s="82" t="str">
        <f>TDCTRIBE!I444</f>
        <v>Southern Plains</v>
      </c>
      <c r="B436" s="82" t="str">
        <f>TDCTRIBE!B444</f>
        <v>OK</v>
      </c>
      <c r="C436" s="82" t="str">
        <f>TDCTRIBE!F444</f>
        <v>Thlopthlocco Tribal Town</v>
      </c>
      <c r="D436" s="83">
        <f>TDCTRIBE!Y444</f>
        <v>253123.80065000002</v>
      </c>
      <c r="E436" s="83">
        <f>TDCTRIBE!Z444</f>
        <v>280712.05708</v>
      </c>
      <c r="F436" s="83">
        <f>TDCTRIBE!AA444</f>
        <v>315130.83168000006</v>
      </c>
      <c r="G436" s="83">
        <f>TDCTRIBE!AB444</f>
        <v>340328.21116000001</v>
      </c>
      <c r="H436" s="83">
        <f>TDCTRIBE!AC444</f>
        <v>366995.92943999998</v>
      </c>
      <c r="O436" s="9"/>
      <c r="P436" s="1"/>
      <c r="Q436" s="1"/>
      <c r="R436" s="1"/>
      <c r="S436" s="1"/>
      <c r="T436" s="1"/>
      <c r="U436" s="1"/>
      <c r="V436" s="9"/>
      <c r="W436" s="3"/>
      <c r="X436" s="4"/>
      <c r="Y436" s="1"/>
      <c r="Z436" s="1"/>
      <c r="AA436" s="1"/>
      <c r="AB436" s="1"/>
      <c r="AC436" s="1"/>
      <c r="AD436" s="3"/>
      <c r="AE436" s="3"/>
      <c r="AF436" s="5"/>
      <c r="AG436" s="5"/>
      <c r="AH436" s="5"/>
      <c r="AI436" s="5"/>
      <c r="AJ436" s="6"/>
      <c r="AK436" s="6"/>
      <c r="AL436" s="12"/>
      <c r="AM436" s="12"/>
      <c r="AN436" s="12"/>
      <c r="AO436" s="12"/>
      <c r="AP436" s="12"/>
    </row>
    <row r="437" spans="1:42" ht="15" x14ac:dyDescent="0.25">
      <c r="A437" s="82" t="str">
        <f>TDCTRIBE!I445</f>
        <v>Southern Plains</v>
      </c>
      <c r="B437" s="82" t="str">
        <f>TDCTRIBE!B445</f>
        <v>OK</v>
      </c>
      <c r="C437" s="82" t="str">
        <f>TDCTRIBE!F445</f>
        <v>Tonkawa Tribe</v>
      </c>
      <c r="D437" s="83">
        <f>TDCTRIBE!Y445</f>
        <v>257413.80675500006</v>
      </c>
      <c r="E437" s="83">
        <f>TDCTRIBE!Z445</f>
        <v>285531.63438100001</v>
      </c>
      <c r="F437" s="83">
        <f>TDCTRIBE!AA445</f>
        <v>320586.75896100001</v>
      </c>
      <c r="G437" s="83">
        <f>TDCTRIBE!AB445</f>
        <v>346276.56893199997</v>
      </c>
      <c r="H437" s="83">
        <f>TDCTRIBE!AC445</f>
        <v>373416.765288</v>
      </c>
      <c r="O437" s="9"/>
      <c r="P437" s="1"/>
      <c r="Q437" s="1"/>
      <c r="R437" s="1"/>
      <c r="S437" s="1"/>
      <c r="T437" s="1"/>
      <c r="U437" s="1"/>
      <c r="V437" s="9"/>
      <c r="W437" s="3"/>
      <c r="X437" s="4"/>
      <c r="Y437" s="1"/>
      <c r="Z437" s="1"/>
      <c r="AA437" s="1"/>
      <c r="AB437" s="1"/>
      <c r="AC437" s="1"/>
      <c r="AD437" s="3"/>
      <c r="AE437" s="3"/>
      <c r="AF437" s="5"/>
      <c r="AG437" s="5"/>
      <c r="AH437" s="5"/>
      <c r="AI437" s="5"/>
      <c r="AJ437" s="6"/>
      <c r="AK437" s="6"/>
      <c r="AL437" s="12"/>
      <c r="AM437" s="12"/>
      <c r="AN437" s="12"/>
      <c r="AO437" s="12"/>
      <c r="AP437" s="12"/>
    </row>
    <row r="438" spans="1:42" ht="15" x14ac:dyDescent="0.25">
      <c r="A438" s="82" t="str">
        <f>TDCTRIBE!I446</f>
        <v>Southern Plains</v>
      </c>
      <c r="B438" s="82" t="str">
        <f>TDCTRIBE!B446</f>
        <v>OK</v>
      </c>
      <c r="C438" s="82" t="str">
        <f>TDCTRIBE!F446</f>
        <v>United Keetoowah</v>
      </c>
      <c r="D438" s="83">
        <f>TDCTRIBE!Y446</f>
        <v>254698.78315</v>
      </c>
      <c r="E438" s="83">
        <f>TDCTRIBE!Z446</f>
        <v>282435.15502999997</v>
      </c>
      <c r="F438" s="83">
        <f>TDCTRIBE!AA446</f>
        <v>317047.95843000006</v>
      </c>
      <c r="G438" s="83">
        <f>TDCTRIBE!AB446</f>
        <v>342377.29316</v>
      </c>
      <c r="H438" s="83">
        <f>TDCTRIBE!AC446</f>
        <v>369203.15544000006</v>
      </c>
      <c r="O438" s="9"/>
      <c r="P438" s="1"/>
      <c r="Q438" s="1"/>
      <c r="R438" s="1"/>
      <c r="S438" s="1"/>
      <c r="T438" s="1"/>
      <c r="U438" s="1"/>
      <c r="V438" s="9"/>
      <c r="W438" s="3"/>
      <c r="X438" s="4"/>
      <c r="Y438" s="1"/>
      <c r="Z438" s="1"/>
      <c r="AA438" s="1"/>
      <c r="AB438" s="1"/>
      <c r="AC438" s="1"/>
      <c r="AD438" s="3"/>
      <c r="AE438" s="3"/>
      <c r="AF438" s="5"/>
      <c r="AG438" s="5"/>
      <c r="AH438" s="5"/>
      <c r="AI438" s="5"/>
      <c r="AJ438" s="6"/>
      <c r="AK438" s="6"/>
      <c r="AL438" s="12"/>
      <c r="AM438" s="12"/>
      <c r="AN438" s="12"/>
      <c r="AO438" s="12"/>
      <c r="AP438" s="12"/>
    </row>
    <row r="439" spans="1:42" ht="15" x14ac:dyDescent="0.25">
      <c r="A439" s="82" t="str">
        <f>TDCTRIBE!I447</f>
        <v>Southern Plains</v>
      </c>
      <c r="B439" s="82" t="str">
        <f>TDCTRIBE!B447</f>
        <v>OK</v>
      </c>
      <c r="C439" s="82" t="str">
        <f>TDCTRIBE!F447</f>
        <v>Wichita Tribe</v>
      </c>
      <c r="D439" s="83">
        <f>TDCTRIBE!Y447</f>
        <v>252273.72047499998</v>
      </c>
      <c r="E439" s="83">
        <f>TDCTRIBE!Z447</f>
        <v>279571.820045</v>
      </c>
      <c r="F439" s="83">
        <f>TDCTRIBE!AA447</f>
        <v>313706.12654500006</v>
      </c>
      <c r="G439" s="83">
        <f>TDCTRIBE!AB447</f>
        <v>338610.60953999998</v>
      </c>
      <c r="H439" s="83">
        <f>TDCTRIBE!AC447</f>
        <v>365123.44036000001</v>
      </c>
      <c r="O439" s="9"/>
      <c r="P439" s="1"/>
      <c r="Q439" s="1"/>
      <c r="R439" s="1"/>
      <c r="S439" s="1"/>
      <c r="T439" s="1"/>
      <c r="U439" s="1"/>
      <c r="V439" s="9"/>
      <c r="W439" s="3"/>
      <c r="X439" s="4"/>
      <c r="Y439" s="1"/>
      <c r="Z439" s="1"/>
      <c r="AA439" s="1"/>
      <c r="AB439" s="1"/>
      <c r="AC439" s="1"/>
      <c r="AD439" s="3"/>
      <c r="AE439" s="3"/>
      <c r="AF439" s="5"/>
      <c r="AG439" s="5"/>
      <c r="AH439" s="5"/>
      <c r="AI439" s="5"/>
      <c r="AJ439" s="6"/>
      <c r="AK439" s="6"/>
      <c r="AL439" s="12"/>
      <c r="AM439" s="12"/>
      <c r="AN439" s="12"/>
      <c r="AO439" s="12"/>
      <c r="AP439" s="12"/>
    </row>
    <row r="440" spans="1:42" ht="15" x14ac:dyDescent="0.25">
      <c r="A440" s="82" t="str">
        <f>TDCTRIBE!I448</f>
        <v>Southern Plains</v>
      </c>
      <c r="B440" s="82" t="str">
        <f>TDCTRIBE!B448</f>
        <v>OK</v>
      </c>
      <c r="C440" s="82" t="str">
        <f>TDCTRIBE!F448</f>
        <v>Wyandotte</v>
      </c>
      <c r="D440" s="83">
        <f>TDCTRIBE!Y448</f>
        <v>254698.78315</v>
      </c>
      <c r="E440" s="83">
        <f>TDCTRIBE!Z448</f>
        <v>282435.15502999997</v>
      </c>
      <c r="F440" s="83">
        <f>TDCTRIBE!AA448</f>
        <v>317047.95843000006</v>
      </c>
      <c r="G440" s="83">
        <f>TDCTRIBE!AB448</f>
        <v>342377.29316</v>
      </c>
      <c r="H440" s="83">
        <f>TDCTRIBE!AC448</f>
        <v>369203.15544000006</v>
      </c>
      <c r="O440" s="9"/>
      <c r="P440" s="1"/>
      <c r="Q440" s="1"/>
      <c r="R440" s="1"/>
      <c r="S440" s="1"/>
      <c r="T440" s="1"/>
      <c r="U440" s="1"/>
      <c r="V440" s="9"/>
      <c r="W440" s="3"/>
      <c r="X440" s="4"/>
      <c r="Y440" s="1"/>
      <c r="Z440" s="1"/>
      <c r="AA440" s="1"/>
      <c r="AB440" s="1"/>
      <c r="AC440" s="1"/>
      <c r="AD440" s="3"/>
      <c r="AE440" s="3"/>
      <c r="AF440" s="5"/>
      <c r="AG440" s="5"/>
      <c r="AH440" s="5"/>
      <c r="AI440" s="5"/>
      <c r="AJ440" s="6"/>
      <c r="AK440" s="6"/>
      <c r="AL440" s="12"/>
      <c r="AM440" s="12"/>
      <c r="AN440" s="12"/>
      <c r="AO440" s="12"/>
      <c r="AP440" s="12"/>
    </row>
    <row r="441" spans="1:42" ht="15" x14ac:dyDescent="0.25">
      <c r="A441" s="82" t="str">
        <f>TDCTRIBE!I449</f>
        <v>Southern Plains</v>
      </c>
      <c r="B441" s="82" t="str">
        <f>TDCTRIBE!B449</f>
        <v>TX</v>
      </c>
      <c r="C441" s="82" t="str">
        <f>TDCTRIBE!F449</f>
        <v>Alabama-Coushatta</v>
      </c>
      <c r="D441" s="83">
        <f>TDCTRIBE!Y449</f>
        <v>253268.78111499999</v>
      </c>
      <c r="E441" s="83">
        <f>TDCTRIBE!Z449</f>
        <v>280828.62926300004</v>
      </c>
      <c r="F441" s="83">
        <f>TDCTRIBE!AA449</f>
        <v>315229.31600300001</v>
      </c>
      <c r="G441" s="83">
        <f>TDCTRIBE!AB449</f>
        <v>340394.50723599998</v>
      </c>
      <c r="H441" s="83">
        <f>TDCTRIBE!AC449</f>
        <v>367062.87682400004</v>
      </c>
      <c r="O441" s="9"/>
      <c r="P441" s="1"/>
      <c r="Q441" s="1"/>
      <c r="R441" s="1"/>
      <c r="S441" s="1"/>
      <c r="T441" s="1"/>
      <c r="U441" s="1"/>
      <c r="V441" s="9"/>
      <c r="W441" s="3"/>
      <c r="X441" s="4"/>
      <c r="Y441" s="1"/>
      <c r="Z441" s="1"/>
      <c r="AA441" s="1"/>
      <c r="AB441" s="1"/>
      <c r="AC441" s="1"/>
      <c r="AD441" s="3"/>
      <c r="AE441" s="3"/>
      <c r="AF441" s="5"/>
      <c r="AG441" s="5"/>
      <c r="AH441" s="5"/>
      <c r="AI441" s="5"/>
      <c r="AJ441" s="6"/>
      <c r="AK441" s="6"/>
      <c r="AL441" s="12"/>
      <c r="AM441" s="12"/>
      <c r="AN441" s="12"/>
      <c r="AO441" s="12"/>
      <c r="AP441" s="12"/>
    </row>
    <row r="442" spans="1:42" ht="15" x14ac:dyDescent="0.25">
      <c r="A442" s="82" t="str">
        <f>TDCTRIBE!I450</f>
        <v>Southern Plains</v>
      </c>
      <c r="B442" s="82" t="str">
        <f>TDCTRIBE!B450</f>
        <v>TX</v>
      </c>
      <c r="C442" s="82" t="str">
        <f>TDCTRIBE!F450</f>
        <v>Texas Band of Kickapoo Indians</v>
      </c>
      <c r="D442" s="83">
        <f>TDCTRIBE!Y450</f>
        <v>240398.76279999997</v>
      </c>
      <c r="E442" s="83">
        <f>TDCTRIBE!Z450</f>
        <v>266369.89736000006</v>
      </c>
      <c r="F442" s="83">
        <f>TDCTRIBE!AA450</f>
        <v>301861.35672000004</v>
      </c>
      <c r="G442" s="83">
        <f>TDCTRIBE!AB450</f>
        <v>325820.00864000001</v>
      </c>
      <c r="H442" s="83">
        <f>TDCTRIBE!AC450</f>
        <v>351330.72576</v>
      </c>
      <c r="O442" s="9"/>
      <c r="P442" s="1"/>
      <c r="Q442" s="1"/>
      <c r="R442" s="1"/>
      <c r="S442" s="1"/>
      <c r="T442" s="1"/>
      <c r="U442" s="1"/>
      <c r="V442" s="9"/>
      <c r="W442" s="3"/>
      <c r="X442" s="4"/>
      <c r="Y442" s="1"/>
      <c r="Z442" s="1"/>
      <c r="AA442" s="1"/>
      <c r="AB442" s="1"/>
      <c r="AC442" s="1"/>
      <c r="AD442" s="3"/>
      <c r="AE442" s="3"/>
      <c r="AF442" s="5"/>
      <c r="AG442" s="5"/>
      <c r="AH442" s="5"/>
      <c r="AI442" s="5"/>
      <c r="AJ442" s="6"/>
      <c r="AK442" s="6"/>
      <c r="AL442" s="12"/>
      <c r="AM442" s="12"/>
      <c r="AN442" s="12"/>
      <c r="AO442" s="12"/>
      <c r="AP442" s="12"/>
    </row>
    <row r="443" spans="1:42" ht="15" x14ac:dyDescent="0.25">
      <c r="A443" s="82" t="str">
        <f>TDCTRIBE!I451</f>
        <v>Southwest</v>
      </c>
      <c r="B443" s="82" t="str">
        <f>TDCTRIBE!B451</f>
        <v>AZ</v>
      </c>
      <c r="C443" s="82" t="str">
        <f>TDCTRIBE!F451</f>
        <v>Ak-Chin Papago</v>
      </c>
      <c r="D443" s="83">
        <f>TDCTRIBE!Y451</f>
        <v>281376.33100500004</v>
      </c>
      <c r="E443" s="83">
        <f>TDCTRIBE!Z451</f>
        <v>310981.33523099998</v>
      </c>
      <c r="F443" s="83">
        <f>TDCTRIBE!AA451</f>
        <v>352565.66679950006</v>
      </c>
      <c r="G443" s="83">
        <f>TDCTRIBE!AB451</f>
        <v>381951.95231900003</v>
      </c>
      <c r="H443" s="83">
        <f>TDCTRIBE!AC451</f>
        <v>411765.13107100001</v>
      </c>
      <c r="O443" s="9"/>
      <c r="P443" s="1"/>
      <c r="Q443" s="1"/>
      <c r="R443" s="1"/>
      <c r="S443" s="1"/>
      <c r="T443" s="1"/>
      <c r="U443" s="1"/>
      <c r="V443" s="9"/>
      <c r="W443" s="3"/>
      <c r="X443" s="4"/>
      <c r="Y443" s="1"/>
      <c r="Z443" s="1"/>
      <c r="AA443" s="1"/>
      <c r="AB443" s="1"/>
      <c r="AC443" s="1"/>
      <c r="AD443" s="3"/>
      <c r="AE443" s="3"/>
      <c r="AF443" s="5"/>
      <c r="AG443" s="5"/>
      <c r="AH443" s="5"/>
      <c r="AI443" s="5"/>
      <c r="AJ443" s="6"/>
      <c r="AK443" s="6"/>
      <c r="AL443" s="12"/>
      <c r="AM443" s="12"/>
      <c r="AN443" s="12"/>
      <c r="AO443" s="12"/>
      <c r="AP443" s="12"/>
    </row>
    <row r="444" spans="1:42" ht="15" x14ac:dyDescent="0.25">
      <c r="A444" s="82" t="str">
        <f>TDCTRIBE!I452</f>
        <v>Southwest</v>
      </c>
      <c r="B444" s="82" t="str">
        <f>TDCTRIBE!B452</f>
        <v>AZ</v>
      </c>
      <c r="C444" s="82" t="str">
        <f>TDCTRIBE!F452</f>
        <v>Cocopah Tribe</v>
      </c>
      <c r="D444" s="83">
        <f>TDCTRIBE!Y452</f>
        <v>287715.77257500001</v>
      </c>
      <c r="E444" s="83">
        <f>TDCTRIBE!Z452</f>
        <v>317983.21096499998</v>
      </c>
      <c r="F444" s="83">
        <f>TDCTRIBE!AA452</f>
        <v>360497.03324249998</v>
      </c>
      <c r="G444" s="83">
        <f>TDCTRIBE!AB452</f>
        <v>390540.68728499999</v>
      </c>
      <c r="H444" s="83">
        <f>TDCTRIBE!AC452</f>
        <v>421023.60856499994</v>
      </c>
      <c r="O444" s="9"/>
      <c r="P444" s="1"/>
      <c r="Q444" s="1"/>
      <c r="R444" s="1"/>
      <c r="S444" s="1"/>
      <c r="T444" s="1"/>
      <c r="U444" s="1"/>
      <c r="V444" s="9"/>
      <c r="W444" s="3"/>
      <c r="X444" s="4"/>
      <c r="Y444" s="1"/>
      <c r="Z444" s="1"/>
      <c r="AA444" s="1"/>
      <c r="AB444" s="1"/>
      <c r="AC444" s="1"/>
      <c r="AD444" s="3"/>
      <c r="AE444" s="3"/>
      <c r="AF444" s="5"/>
      <c r="AG444" s="5"/>
      <c r="AH444" s="5"/>
      <c r="AI444" s="5"/>
      <c r="AJ444" s="6"/>
      <c r="AK444" s="6"/>
      <c r="AL444" s="12"/>
      <c r="AM444" s="12"/>
      <c r="AN444" s="12"/>
      <c r="AO444" s="12"/>
      <c r="AP444" s="12"/>
    </row>
    <row r="445" spans="1:42" ht="15" x14ac:dyDescent="0.25">
      <c r="A445" s="82" t="str">
        <f>TDCTRIBE!I453</f>
        <v>Southwest</v>
      </c>
      <c r="B445" s="82" t="str">
        <f>TDCTRIBE!B453</f>
        <v>AZ</v>
      </c>
      <c r="C445" s="82" t="str">
        <f>TDCTRIBE!F453</f>
        <v>Fort McDowell Mohave Apache</v>
      </c>
      <c r="D445" s="83">
        <f>TDCTRIBE!Y453</f>
        <v>281376.33100500004</v>
      </c>
      <c r="E445" s="83">
        <f>TDCTRIBE!Z453</f>
        <v>310981.33523099998</v>
      </c>
      <c r="F445" s="83">
        <f>TDCTRIBE!AA453</f>
        <v>352565.66679950006</v>
      </c>
      <c r="G445" s="83">
        <f>TDCTRIBE!AB453</f>
        <v>381951.95231900003</v>
      </c>
      <c r="H445" s="83">
        <f>TDCTRIBE!AC453</f>
        <v>411765.13107100001</v>
      </c>
      <c r="O445" s="9"/>
      <c r="P445" s="1"/>
      <c r="Q445" s="1"/>
      <c r="R445" s="1"/>
      <c r="S445" s="1"/>
      <c r="T445" s="1"/>
      <c r="U445" s="1"/>
      <c r="V445" s="9"/>
      <c r="W445" s="3"/>
      <c r="X445" s="4"/>
      <c r="Y445" s="1"/>
      <c r="Z445" s="1"/>
      <c r="AA445" s="1"/>
      <c r="AB445" s="1"/>
      <c r="AC445" s="1"/>
      <c r="AD445" s="3"/>
      <c r="AE445" s="3"/>
      <c r="AF445" s="5"/>
      <c r="AG445" s="5"/>
      <c r="AH445" s="5"/>
      <c r="AI445" s="5"/>
      <c r="AJ445" s="6"/>
      <c r="AK445" s="6"/>
      <c r="AL445" s="12"/>
      <c r="AM445" s="12"/>
      <c r="AN445" s="12"/>
      <c r="AO445" s="12"/>
      <c r="AP445" s="12"/>
    </row>
    <row r="446" spans="1:42" ht="15" x14ac:dyDescent="0.25">
      <c r="A446" s="82" t="str">
        <f>TDCTRIBE!I454</f>
        <v>Southwest</v>
      </c>
      <c r="B446" s="82" t="str">
        <f>TDCTRIBE!B454</f>
        <v>AZ</v>
      </c>
      <c r="C446" s="82" t="str">
        <f>TDCTRIBE!F454</f>
        <v>Fort Mojave Tribe</v>
      </c>
      <c r="D446" s="83">
        <f>TDCTRIBE!Y454</f>
        <v>314239.00777499995</v>
      </c>
      <c r="E446" s="83">
        <f>TDCTRIBE!Z454</f>
        <v>347835.78070499992</v>
      </c>
      <c r="F446" s="83">
        <f>TDCTRIBE!AA454</f>
        <v>395142.79747249995</v>
      </c>
      <c r="G446" s="83">
        <f>TDCTRIBE!AB454</f>
        <v>428511.42204499996</v>
      </c>
      <c r="H446" s="83">
        <f>TDCTRIBE!AC454</f>
        <v>462034.68440499995</v>
      </c>
      <c r="O446" s="9"/>
      <c r="P446" s="1"/>
      <c r="Q446" s="1"/>
      <c r="R446" s="1"/>
      <c r="S446" s="1"/>
      <c r="T446" s="1"/>
      <c r="U446" s="1"/>
      <c r="V446" s="9"/>
      <c r="W446" s="3"/>
      <c r="X446" s="4"/>
      <c r="Y446" s="1"/>
      <c r="Z446" s="1"/>
      <c r="AA446" s="1"/>
      <c r="AB446" s="1"/>
      <c r="AC446" s="1"/>
      <c r="AD446" s="3"/>
      <c r="AE446" s="3"/>
      <c r="AF446" s="5"/>
      <c r="AG446" s="5"/>
      <c r="AH446" s="5"/>
      <c r="AI446" s="5"/>
      <c r="AJ446" s="6"/>
      <c r="AK446" s="6"/>
      <c r="AL446" s="12"/>
      <c r="AM446" s="12"/>
      <c r="AN446" s="12"/>
      <c r="AO446" s="12"/>
      <c r="AP446" s="12"/>
    </row>
    <row r="447" spans="1:42" ht="15" x14ac:dyDescent="0.25">
      <c r="A447" s="82" t="str">
        <f>TDCTRIBE!I455</f>
        <v>Southwest</v>
      </c>
      <c r="B447" s="82" t="str">
        <f>TDCTRIBE!B455</f>
        <v>AZ</v>
      </c>
      <c r="C447" s="82" t="str">
        <f>TDCTRIBE!F455</f>
        <v>Gila River</v>
      </c>
      <c r="D447" s="83">
        <f>TDCTRIBE!Y455</f>
        <v>284728.25650500006</v>
      </c>
      <c r="E447" s="83">
        <f>TDCTRIBE!Z455</f>
        <v>314632.80683099997</v>
      </c>
      <c r="F447" s="83">
        <f>TDCTRIBE!AA455</f>
        <v>356626.38499950006</v>
      </c>
      <c r="G447" s="83">
        <f>TDCTRIBE!AB455</f>
        <v>386308.00821900007</v>
      </c>
      <c r="H447" s="83">
        <f>TDCTRIBE!AC455</f>
        <v>416453.64917100006</v>
      </c>
      <c r="O447" s="9"/>
      <c r="P447" s="1"/>
      <c r="Q447" s="1"/>
      <c r="R447" s="1"/>
      <c r="S447" s="1"/>
      <c r="T447" s="1"/>
      <c r="U447" s="1"/>
      <c r="V447" s="9"/>
      <c r="W447" s="3"/>
      <c r="X447" s="4"/>
      <c r="Y447" s="1"/>
      <c r="Z447" s="1"/>
      <c r="AA447" s="1"/>
      <c r="AB447" s="1"/>
      <c r="AC447" s="1"/>
      <c r="AD447" s="3"/>
      <c r="AE447" s="3"/>
      <c r="AF447" s="5"/>
      <c r="AG447" s="5"/>
      <c r="AH447" s="5"/>
      <c r="AI447" s="5"/>
      <c r="AJ447" s="6"/>
      <c r="AK447" s="6"/>
      <c r="AL447" s="12"/>
      <c r="AM447" s="12"/>
      <c r="AN447" s="12"/>
      <c r="AO447" s="12"/>
      <c r="AP447" s="12"/>
    </row>
    <row r="448" spans="1:42" ht="15" x14ac:dyDescent="0.25">
      <c r="A448" s="82" t="str">
        <f>TDCTRIBE!I456</f>
        <v>Southwest</v>
      </c>
      <c r="B448" s="82" t="str">
        <f>TDCTRIBE!B456</f>
        <v>AZ</v>
      </c>
      <c r="C448" s="82" t="str">
        <f>TDCTRIBE!F456</f>
        <v>Havasupai</v>
      </c>
      <c r="D448" s="83">
        <f>TDCTRIBE!Y456</f>
        <v>499584.11603099992</v>
      </c>
      <c r="E448" s="83">
        <f>TDCTRIBE!Z456</f>
        <v>552218.74004219996</v>
      </c>
      <c r="F448" s="83">
        <f>TDCTRIBE!AA456</f>
        <v>626166.7200019001</v>
      </c>
      <c r="G448" s="83">
        <f>TDCTRIBE!AB456</f>
        <v>678415.14751779998</v>
      </c>
      <c r="H448" s="83">
        <f>TDCTRIBE!AC456</f>
        <v>731378.77140019997</v>
      </c>
      <c r="O448" s="9"/>
      <c r="P448" s="1"/>
      <c r="Q448" s="1"/>
      <c r="R448" s="1"/>
      <c r="S448" s="1"/>
      <c r="T448" s="1"/>
      <c r="U448" s="1"/>
      <c r="V448" s="9"/>
      <c r="W448" s="3"/>
      <c r="X448" s="4"/>
      <c r="Y448" s="1"/>
      <c r="Z448" s="1"/>
      <c r="AA448" s="1"/>
      <c r="AB448" s="1"/>
      <c r="AC448" s="1"/>
      <c r="AD448" s="3"/>
      <c r="AE448" s="3"/>
      <c r="AF448" s="5"/>
      <c r="AG448" s="5"/>
      <c r="AH448" s="5"/>
      <c r="AI448" s="5"/>
      <c r="AJ448" s="6"/>
      <c r="AK448" s="6"/>
      <c r="AL448" s="12"/>
      <c r="AM448" s="12"/>
      <c r="AN448" s="12"/>
      <c r="AO448" s="12"/>
      <c r="AP448" s="12"/>
    </row>
    <row r="449" spans="1:42" ht="15" x14ac:dyDescent="0.25">
      <c r="A449" s="82" t="str">
        <f>TDCTRIBE!I457</f>
        <v>Southwest</v>
      </c>
      <c r="B449" s="82" t="str">
        <f>TDCTRIBE!B457</f>
        <v>AZ</v>
      </c>
      <c r="C449" s="82" t="str">
        <f>TDCTRIBE!F457</f>
        <v>Hopi</v>
      </c>
      <c r="D449" s="83">
        <f>TDCTRIBE!Y457</f>
        <v>293873.00942999998</v>
      </c>
      <c r="E449" s="83">
        <f>TDCTRIBE!Z457</f>
        <v>324834.55296599999</v>
      </c>
      <c r="F449" s="83">
        <f>TDCTRIBE!AA457</f>
        <v>368333.36470700009</v>
      </c>
      <c r="G449" s="83">
        <f>TDCTRIBE!AB457</f>
        <v>399067.73383400001</v>
      </c>
      <c r="H449" s="83">
        <f>TDCTRIBE!AC457</f>
        <v>430222.806706</v>
      </c>
      <c r="O449" s="9"/>
      <c r="P449" s="1"/>
      <c r="Q449" s="1"/>
      <c r="R449" s="1"/>
      <c r="S449" s="1"/>
      <c r="T449" s="1"/>
      <c r="U449" s="1"/>
      <c r="V449" s="9"/>
      <c r="W449" s="3"/>
      <c r="X449" s="4"/>
      <c r="Y449" s="1"/>
      <c r="Z449" s="1"/>
      <c r="AA449" s="1"/>
      <c r="AB449" s="1"/>
      <c r="AC449" s="1"/>
      <c r="AD449" s="3"/>
      <c r="AE449" s="3"/>
      <c r="AF449" s="5"/>
      <c r="AG449" s="5"/>
      <c r="AH449" s="5"/>
      <c r="AI449" s="5"/>
      <c r="AJ449" s="6"/>
      <c r="AK449" s="6"/>
      <c r="AL449" s="12"/>
      <c r="AM449" s="12"/>
      <c r="AN449" s="12"/>
      <c r="AO449" s="12"/>
      <c r="AP449" s="12"/>
    </row>
    <row r="450" spans="1:42" ht="15" x14ac:dyDescent="0.25">
      <c r="A450" s="82" t="str">
        <f>TDCTRIBE!I458</f>
        <v>Southwest</v>
      </c>
      <c r="B450" s="82" t="str">
        <f>TDCTRIBE!B458</f>
        <v>AZ</v>
      </c>
      <c r="C450" s="82" t="str">
        <f>TDCTRIBE!F458</f>
        <v>Hualapai</v>
      </c>
      <c r="D450" s="83">
        <f>TDCTRIBE!Y458</f>
        <v>293690.80471499998</v>
      </c>
      <c r="E450" s="83">
        <f>TDCTRIBE!Z458</f>
        <v>324684.019233</v>
      </c>
      <c r="F450" s="83">
        <f>TDCTRIBE!AA458</f>
        <v>368238.32972850004</v>
      </c>
      <c r="G450" s="83">
        <f>TDCTRIBE!AB458</f>
        <v>399006.04541700002</v>
      </c>
      <c r="H450" s="83">
        <f>TDCTRIBE!AC458</f>
        <v>430163.52735299995</v>
      </c>
      <c r="O450" s="9"/>
      <c r="P450" s="1"/>
      <c r="Q450" s="1"/>
      <c r="R450" s="1"/>
      <c r="S450" s="1"/>
      <c r="T450" s="1"/>
      <c r="U450" s="1"/>
      <c r="V450" s="9"/>
      <c r="W450" s="3"/>
      <c r="X450" s="4"/>
      <c r="Y450" s="1"/>
      <c r="Z450" s="1"/>
      <c r="AA450" s="1"/>
      <c r="AB450" s="1"/>
      <c r="AC450" s="1"/>
      <c r="AD450" s="3"/>
      <c r="AE450" s="3"/>
      <c r="AF450" s="5"/>
      <c r="AG450" s="5"/>
      <c r="AH450" s="5"/>
      <c r="AI450" s="5"/>
      <c r="AJ450" s="6"/>
      <c r="AK450" s="6"/>
      <c r="AL450" s="12"/>
      <c r="AM450" s="12"/>
      <c r="AN450" s="12"/>
      <c r="AO450" s="12"/>
      <c r="AP450" s="12"/>
    </row>
    <row r="451" spans="1:42" ht="15" x14ac:dyDescent="0.25">
      <c r="A451" s="82" t="str">
        <f>TDCTRIBE!I459</f>
        <v>Southwest</v>
      </c>
      <c r="B451" s="82" t="str">
        <f>TDCTRIBE!B459</f>
        <v>AZ</v>
      </c>
      <c r="C451" s="82" t="str">
        <f>TDCTRIBE!F459</f>
        <v>Kaibab Band of Paiute</v>
      </c>
      <c r="D451" s="83">
        <f>TDCTRIBE!Y459</f>
        <v>293873.00942999998</v>
      </c>
      <c r="E451" s="83">
        <f>TDCTRIBE!Z459</f>
        <v>324834.55296599999</v>
      </c>
      <c r="F451" s="83">
        <f>TDCTRIBE!AA459</f>
        <v>368333.36470700009</v>
      </c>
      <c r="G451" s="83">
        <f>TDCTRIBE!AB459</f>
        <v>399067.73383400001</v>
      </c>
      <c r="H451" s="83">
        <f>TDCTRIBE!AC459</f>
        <v>430222.806706</v>
      </c>
      <c r="O451" s="9"/>
      <c r="P451" s="1"/>
      <c r="Q451" s="1"/>
      <c r="R451" s="1"/>
      <c r="S451" s="1"/>
      <c r="T451" s="1"/>
      <c r="U451" s="1"/>
      <c r="V451" s="9"/>
      <c r="W451" s="3"/>
      <c r="X451" s="4"/>
      <c r="Y451" s="1"/>
      <c r="Z451" s="1"/>
      <c r="AA451" s="1"/>
      <c r="AB451" s="1"/>
      <c r="AC451" s="1"/>
      <c r="AD451" s="3"/>
      <c r="AE451" s="3"/>
      <c r="AF451" s="5"/>
      <c r="AG451" s="5"/>
      <c r="AH451" s="5"/>
      <c r="AI451" s="5"/>
      <c r="AJ451" s="6"/>
      <c r="AK451" s="6"/>
      <c r="AL451" s="12"/>
      <c r="AM451" s="12"/>
      <c r="AN451" s="12"/>
      <c r="AO451" s="12"/>
      <c r="AP451" s="12"/>
    </row>
    <row r="452" spans="1:42" ht="15" x14ac:dyDescent="0.25">
      <c r="A452" s="82" t="str">
        <f>TDCTRIBE!I460</f>
        <v>Southwest</v>
      </c>
      <c r="B452" s="82" t="str">
        <f>TDCTRIBE!B460</f>
        <v>AZ</v>
      </c>
      <c r="C452" s="82" t="str">
        <f>TDCTRIBE!F460</f>
        <v xml:space="preserve">Navajo Nation </v>
      </c>
      <c r="D452" s="83">
        <f>TDCTRIBE!Y460</f>
        <v>293873.00942999998</v>
      </c>
      <c r="E452" s="83">
        <f>TDCTRIBE!Z460</f>
        <v>324834.55296599999</v>
      </c>
      <c r="F452" s="83">
        <f>TDCTRIBE!AA460</f>
        <v>368333.36470700009</v>
      </c>
      <c r="G452" s="83">
        <f>TDCTRIBE!AB460</f>
        <v>399067.73383400001</v>
      </c>
      <c r="H452" s="83">
        <f>TDCTRIBE!AC460</f>
        <v>430222.806706</v>
      </c>
      <c r="O452" s="9"/>
      <c r="P452" s="1"/>
      <c r="Q452" s="1"/>
      <c r="R452" s="1"/>
      <c r="S452" s="1"/>
      <c r="T452" s="1"/>
      <c r="U452" s="1"/>
      <c r="V452" s="9"/>
      <c r="W452" s="3"/>
      <c r="X452" s="4"/>
      <c r="Y452" s="1"/>
      <c r="Z452" s="1"/>
      <c r="AA452" s="1"/>
      <c r="AB452" s="1"/>
      <c r="AC452" s="1"/>
      <c r="AD452" s="3"/>
      <c r="AE452" s="3"/>
      <c r="AF452" s="5"/>
      <c r="AG452" s="5"/>
      <c r="AH452" s="5"/>
      <c r="AI452" s="5"/>
      <c r="AJ452" s="6"/>
      <c r="AK452" s="6"/>
      <c r="AL452" s="12"/>
      <c r="AM452" s="12"/>
      <c r="AN452" s="12"/>
      <c r="AO452" s="12"/>
      <c r="AP452" s="12"/>
    </row>
    <row r="453" spans="1:42" ht="15" x14ac:dyDescent="0.25">
      <c r="A453" s="82" t="str">
        <f>TDCTRIBE!I461</f>
        <v>Southwest</v>
      </c>
      <c r="B453" s="82" t="str">
        <f>TDCTRIBE!B461</f>
        <v>AZ</v>
      </c>
      <c r="C453" s="82" t="str">
        <f>TDCTRIBE!F461</f>
        <v>Pascua Yaqui Tribe</v>
      </c>
      <c r="D453" s="83">
        <f>TDCTRIBE!Y461</f>
        <v>282870.08903999999</v>
      </c>
      <c r="E453" s="83">
        <f>TDCTRIBE!Z461</f>
        <v>312656.53729799995</v>
      </c>
      <c r="F453" s="83">
        <f>TDCTRIBE!AA461</f>
        <v>354500.99092100002</v>
      </c>
      <c r="G453" s="83">
        <f>TDCTRIBE!AB461</f>
        <v>384068.29185199999</v>
      </c>
      <c r="H453" s="83">
        <f>TDCTRIBE!AC461</f>
        <v>414050.11076800001</v>
      </c>
      <c r="O453" s="9"/>
      <c r="P453" s="1"/>
      <c r="Q453" s="1"/>
      <c r="R453" s="1"/>
      <c r="S453" s="1"/>
      <c r="T453" s="1"/>
      <c r="U453" s="1"/>
      <c r="V453" s="9"/>
      <c r="W453" s="3"/>
      <c r="X453" s="4"/>
      <c r="Y453" s="1"/>
      <c r="Z453" s="1"/>
      <c r="AA453" s="1"/>
      <c r="AB453" s="1"/>
      <c r="AC453" s="1"/>
      <c r="AD453" s="3"/>
      <c r="AE453" s="3"/>
      <c r="AF453" s="5"/>
      <c r="AG453" s="5"/>
      <c r="AH453" s="5"/>
      <c r="AI453" s="5"/>
      <c r="AJ453" s="6"/>
      <c r="AK453" s="6"/>
      <c r="AL453" s="12"/>
      <c r="AM453" s="12"/>
      <c r="AN453" s="12"/>
      <c r="AO453" s="12"/>
      <c r="AP453" s="12"/>
    </row>
    <row r="454" spans="1:42" ht="15" x14ac:dyDescent="0.25">
      <c r="A454" s="82" t="str">
        <f>TDCTRIBE!I462</f>
        <v>Southwest</v>
      </c>
      <c r="B454" s="82" t="str">
        <f>TDCTRIBE!B462</f>
        <v>AZ</v>
      </c>
      <c r="C454" s="82" t="str">
        <f>TDCTRIBE!F462</f>
        <v>Payson Tonto Apache</v>
      </c>
      <c r="D454" s="83">
        <f>TDCTRIBE!Y462</f>
        <v>287169.15843000001</v>
      </c>
      <c r="E454" s="83">
        <f>TDCTRIBE!Z462</f>
        <v>317531.60976599995</v>
      </c>
      <c r="F454" s="83">
        <f>TDCTRIBE!AA462</f>
        <v>360211.92830700002</v>
      </c>
      <c r="G454" s="83">
        <f>TDCTRIBE!AB462</f>
        <v>390355.622034</v>
      </c>
      <c r="H454" s="83">
        <f>TDCTRIBE!AC462</f>
        <v>420845.77050599997</v>
      </c>
      <c r="O454" s="9"/>
      <c r="P454" s="1"/>
      <c r="Q454" s="1"/>
      <c r="R454" s="1"/>
      <c r="S454" s="1"/>
      <c r="T454" s="1"/>
      <c r="U454" s="1"/>
      <c r="V454" s="9"/>
      <c r="W454" s="3"/>
      <c r="X454" s="4"/>
      <c r="Y454" s="1"/>
      <c r="Z454" s="1"/>
      <c r="AA454" s="1"/>
      <c r="AB454" s="1"/>
      <c r="AC454" s="1"/>
      <c r="AD454" s="3"/>
      <c r="AE454" s="3"/>
      <c r="AF454" s="5"/>
      <c r="AG454" s="5"/>
      <c r="AH454" s="5"/>
      <c r="AI454" s="5"/>
      <c r="AJ454" s="6"/>
      <c r="AK454" s="6"/>
      <c r="AL454" s="12"/>
      <c r="AM454" s="12"/>
      <c r="AN454" s="12"/>
      <c r="AO454" s="12"/>
      <c r="AP454" s="12"/>
    </row>
    <row r="455" spans="1:42" ht="15" x14ac:dyDescent="0.25">
      <c r="A455" s="82" t="str">
        <f>TDCTRIBE!I463</f>
        <v>Southwest</v>
      </c>
      <c r="B455" s="82" t="str">
        <f>TDCTRIBE!B463</f>
        <v>AZ</v>
      </c>
      <c r="C455" s="82" t="str">
        <f>TDCTRIBE!F463</f>
        <v>Salt River PIma-Maricopa</v>
      </c>
      <c r="D455" s="83">
        <f>TDCTRIBE!Y463</f>
        <v>284728.25650500006</v>
      </c>
      <c r="E455" s="83">
        <f>TDCTRIBE!Z463</f>
        <v>314632.80683099997</v>
      </c>
      <c r="F455" s="83">
        <f>TDCTRIBE!AA463</f>
        <v>356626.38499950006</v>
      </c>
      <c r="G455" s="83">
        <f>TDCTRIBE!AB463</f>
        <v>386308.00821900007</v>
      </c>
      <c r="H455" s="83">
        <f>TDCTRIBE!AC463</f>
        <v>416453.64917100006</v>
      </c>
      <c r="O455" s="9"/>
      <c r="P455" s="1"/>
      <c r="Q455" s="1"/>
      <c r="R455" s="1"/>
      <c r="S455" s="1"/>
      <c r="T455" s="1"/>
      <c r="U455" s="1"/>
      <c r="V455" s="9"/>
      <c r="W455" s="3"/>
      <c r="X455" s="4"/>
      <c r="Y455" s="1"/>
      <c r="Z455" s="1"/>
      <c r="AA455" s="1"/>
      <c r="AB455" s="1"/>
      <c r="AC455" s="1"/>
      <c r="AD455" s="3"/>
      <c r="AE455" s="3"/>
      <c r="AF455" s="5"/>
      <c r="AG455" s="5"/>
      <c r="AH455" s="5"/>
      <c r="AI455" s="5"/>
      <c r="AJ455" s="6"/>
      <c r="AK455" s="6"/>
      <c r="AL455" s="12"/>
      <c r="AM455" s="12"/>
      <c r="AN455" s="12"/>
      <c r="AO455" s="12"/>
      <c r="AP455" s="12"/>
    </row>
    <row r="456" spans="1:42" ht="15" x14ac:dyDescent="0.25">
      <c r="A456" s="82" t="str">
        <f>TDCTRIBE!I464</f>
        <v>Southwest</v>
      </c>
      <c r="B456" s="82" t="str">
        <f>TDCTRIBE!B464</f>
        <v>AZ</v>
      </c>
      <c r="C456" s="82" t="str">
        <f>TDCTRIBE!F464</f>
        <v>San Carlos Apache</v>
      </c>
      <c r="D456" s="83">
        <f>TDCTRIBE!Y464</f>
        <v>279700.36825499998</v>
      </c>
      <c r="E456" s="83">
        <f>TDCTRIBE!Z464</f>
        <v>309155.59943099995</v>
      </c>
      <c r="F456" s="83">
        <f>TDCTRIBE!AA464</f>
        <v>350535.3076995</v>
      </c>
      <c r="G456" s="83">
        <f>TDCTRIBE!AB464</f>
        <v>379773.92436900001</v>
      </c>
      <c r="H456" s="83">
        <f>TDCTRIBE!AC464</f>
        <v>409420.87202100002</v>
      </c>
      <c r="O456" s="9"/>
      <c r="P456" s="1"/>
      <c r="Q456" s="1"/>
      <c r="R456" s="1"/>
      <c r="S456" s="1"/>
      <c r="T456" s="1"/>
      <c r="U456" s="1"/>
      <c r="V456" s="9"/>
      <c r="W456" s="3"/>
      <c r="X456" s="4"/>
      <c r="Y456" s="1"/>
      <c r="Z456" s="1"/>
      <c r="AA456" s="1"/>
      <c r="AB456" s="1"/>
      <c r="AC456" s="1"/>
      <c r="AD456" s="3"/>
      <c r="AE456" s="3"/>
      <c r="AF456" s="5"/>
      <c r="AG456" s="5"/>
      <c r="AH456" s="5"/>
      <c r="AI456" s="5"/>
      <c r="AJ456" s="6"/>
      <c r="AK456" s="6"/>
      <c r="AL456" s="12"/>
      <c r="AM456" s="12"/>
      <c r="AN456" s="12"/>
      <c r="AO456" s="12"/>
      <c r="AP456" s="12"/>
    </row>
    <row r="457" spans="1:42" ht="15" x14ac:dyDescent="0.25">
      <c r="A457" s="82" t="str">
        <f>TDCTRIBE!I465</f>
        <v>Southwest</v>
      </c>
      <c r="B457" s="82" t="str">
        <f>TDCTRIBE!B465</f>
        <v>AZ</v>
      </c>
      <c r="C457" s="82" t="str">
        <f>TDCTRIBE!F465</f>
        <v>San Juan Southern Paiute Tribe</v>
      </c>
      <c r="D457" s="83">
        <f>TDCTRIBE!Y465</f>
        <v>293873.00942999998</v>
      </c>
      <c r="E457" s="83">
        <f>TDCTRIBE!Z465</f>
        <v>324834.55296599999</v>
      </c>
      <c r="F457" s="83">
        <f>TDCTRIBE!AA465</f>
        <v>368333.36470700009</v>
      </c>
      <c r="G457" s="83">
        <f>TDCTRIBE!AB465</f>
        <v>399067.73383400001</v>
      </c>
      <c r="H457" s="83">
        <f>TDCTRIBE!AC465</f>
        <v>430222.806706</v>
      </c>
      <c r="O457" s="9"/>
      <c r="P457" s="1"/>
      <c r="Q457" s="1"/>
      <c r="R457" s="1"/>
      <c r="S457" s="1"/>
      <c r="T457" s="1"/>
      <c r="U457" s="1"/>
      <c r="V457" s="9"/>
      <c r="W457" s="3"/>
      <c r="X457" s="4"/>
      <c r="Y457" s="1"/>
      <c r="Z457" s="1"/>
      <c r="AA457" s="1"/>
      <c r="AB457" s="1"/>
      <c r="AC457" s="1"/>
      <c r="AD457" s="3"/>
      <c r="AE457" s="3"/>
      <c r="AF457" s="5"/>
      <c r="AG457" s="5"/>
      <c r="AH457" s="5"/>
      <c r="AI457" s="5"/>
      <c r="AJ457" s="6"/>
      <c r="AK457" s="6"/>
      <c r="AL457" s="12"/>
      <c r="AM457" s="12"/>
      <c r="AN457" s="12"/>
      <c r="AO457" s="12"/>
      <c r="AP457" s="12"/>
    </row>
    <row r="458" spans="1:42" ht="15" x14ac:dyDescent="0.25">
      <c r="A458" s="82" t="str">
        <f>TDCTRIBE!I466</f>
        <v>Southwest</v>
      </c>
      <c r="B458" s="82" t="str">
        <f>TDCTRIBE!B466</f>
        <v>AZ</v>
      </c>
      <c r="C458" s="82" t="str">
        <f>TDCTRIBE!F466</f>
        <v>Tohono O'Odham Nation</v>
      </c>
      <c r="D458" s="83">
        <f>TDCTRIBE!Y466</f>
        <v>284728.25650500006</v>
      </c>
      <c r="E458" s="83">
        <f>TDCTRIBE!Z466</f>
        <v>314632.80683099997</v>
      </c>
      <c r="F458" s="83">
        <f>TDCTRIBE!AA466</f>
        <v>356626.38499950006</v>
      </c>
      <c r="G458" s="83">
        <f>TDCTRIBE!AB466</f>
        <v>386308.00821900007</v>
      </c>
      <c r="H458" s="83">
        <f>TDCTRIBE!AC466</f>
        <v>416453.64917100006</v>
      </c>
      <c r="O458" s="9"/>
      <c r="P458" s="1"/>
      <c r="Q458" s="1"/>
      <c r="R458" s="1"/>
      <c r="S458" s="1"/>
      <c r="T458" s="1"/>
      <c r="U458" s="1"/>
      <c r="V458" s="9"/>
      <c r="W458" s="3"/>
      <c r="X458" s="4"/>
      <c r="Y458" s="1"/>
      <c r="Z458" s="1"/>
      <c r="AA458" s="1"/>
      <c r="AB458" s="1"/>
      <c r="AC458" s="1"/>
      <c r="AD458" s="3"/>
      <c r="AE458" s="3"/>
      <c r="AF458" s="5"/>
      <c r="AG458" s="5"/>
      <c r="AH458" s="5"/>
      <c r="AI458" s="5"/>
      <c r="AJ458" s="6"/>
      <c r="AK458" s="6"/>
      <c r="AL458" s="12"/>
      <c r="AM458" s="12"/>
      <c r="AN458" s="12"/>
      <c r="AO458" s="12"/>
      <c r="AP458" s="12"/>
    </row>
    <row r="459" spans="1:42" ht="15" x14ac:dyDescent="0.25">
      <c r="A459" s="82" t="str">
        <f>TDCTRIBE!I467</f>
        <v>Southwest</v>
      </c>
      <c r="B459" s="82" t="str">
        <f>TDCTRIBE!B467</f>
        <v>AZ</v>
      </c>
      <c r="C459" s="82" t="str">
        <f>TDCTRIBE!F467</f>
        <v>White Mountain Apache (Fort Apache)</v>
      </c>
      <c r="D459" s="83">
        <f>TDCTRIBE!Y467</f>
        <v>284728.25650500006</v>
      </c>
      <c r="E459" s="83">
        <f>TDCTRIBE!Z467</f>
        <v>314632.80683099997</v>
      </c>
      <c r="F459" s="83">
        <f>TDCTRIBE!AA467</f>
        <v>356626.38499950006</v>
      </c>
      <c r="G459" s="83">
        <f>TDCTRIBE!AB467</f>
        <v>386308.00821900007</v>
      </c>
      <c r="H459" s="83">
        <f>TDCTRIBE!AC467</f>
        <v>416453.64917100006</v>
      </c>
      <c r="O459" s="9"/>
      <c r="P459" s="1"/>
      <c r="Q459" s="1"/>
      <c r="R459" s="1"/>
      <c r="S459" s="1"/>
      <c r="T459" s="1"/>
      <c r="U459" s="1"/>
      <c r="V459" s="9"/>
      <c r="W459" s="3"/>
      <c r="X459" s="4"/>
      <c r="Y459" s="1"/>
      <c r="Z459" s="1"/>
      <c r="AA459" s="1"/>
      <c r="AB459" s="1"/>
      <c r="AC459" s="1"/>
      <c r="AD459" s="3"/>
      <c r="AE459" s="3"/>
      <c r="AF459" s="5"/>
      <c r="AG459" s="5"/>
      <c r="AH459" s="5"/>
      <c r="AI459" s="5"/>
      <c r="AJ459" s="6"/>
      <c r="AK459" s="6"/>
      <c r="AL459" s="12"/>
      <c r="AM459" s="12"/>
      <c r="AN459" s="12"/>
      <c r="AO459" s="12"/>
      <c r="AP459" s="12"/>
    </row>
    <row r="460" spans="1:42" ht="15" x14ac:dyDescent="0.25">
      <c r="A460" s="82" t="str">
        <f>TDCTRIBE!I468</f>
        <v>Southwest</v>
      </c>
      <c r="B460" s="82" t="str">
        <f>TDCTRIBE!B468</f>
        <v>AZ</v>
      </c>
      <c r="C460" s="82" t="str">
        <f>TDCTRIBE!F468</f>
        <v>Yavapai-Apache (Camp Verde)</v>
      </c>
      <c r="D460" s="83">
        <f>TDCTRIBE!Y468</f>
        <v>293690.80471499998</v>
      </c>
      <c r="E460" s="83">
        <f>TDCTRIBE!Z468</f>
        <v>324684.019233</v>
      </c>
      <c r="F460" s="83">
        <f>TDCTRIBE!AA468</f>
        <v>368238.32972850004</v>
      </c>
      <c r="G460" s="83">
        <f>TDCTRIBE!AB468</f>
        <v>399006.04541700002</v>
      </c>
      <c r="H460" s="83">
        <f>TDCTRIBE!AC468</f>
        <v>430163.52735299995</v>
      </c>
      <c r="O460" s="9"/>
      <c r="P460" s="1"/>
      <c r="Q460" s="1"/>
      <c r="R460" s="1"/>
      <c r="S460" s="1"/>
      <c r="T460" s="1"/>
      <c r="U460" s="1"/>
      <c r="V460" s="9"/>
      <c r="W460" s="3"/>
      <c r="X460" s="4"/>
      <c r="Y460" s="1"/>
      <c r="Z460" s="1"/>
      <c r="AA460" s="1"/>
      <c r="AB460" s="1"/>
      <c r="AC460" s="1"/>
      <c r="AD460" s="3"/>
      <c r="AE460" s="3"/>
      <c r="AF460" s="5"/>
      <c r="AG460" s="5"/>
      <c r="AH460" s="5"/>
      <c r="AI460" s="5"/>
      <c r="AJ460" s="6"/>
      <c r="AK460" s="6"/>
      <c r="AL460" s="12"/>
      <c r="AM460" s="12"/>
      <c r="AN460" s="12"/>
      <c r="AO460" s="12"/>
      <c r="AP460" s="12"/>
    </row>
    <row r="461" spans="1:42" ht="15" x14ac:dyDescent="0.25">
      <c r="A461" s="82" t="str">
        <f>TDCTRIBE!I469</f>
        <v>Southwest</v>
      </c>
      <c r="B461" s="82" t="str">
        <f>TDCTRIBE!B469</f>
        <v>AZ</v>
      </c>
      <c r="C461" s="82" t="str">
        <f>TDCTRIBE!F469</f>
        <v>Yavapai-Prescott</v>
      </c>
      <c r="D461" s="83">
        <f>TDCTRIBE!Y469</f>
        <v>293690.80471499998</v>
      </c>
      <c r="E461" s="83">
        <f>TDCTRIBE!Z469</f>
        <v>324684.019233</v>
      </c>
      <c r="F461" s="83">
        <f>TDCTRIBE!AA469</f>
        <v>368238.32972850004</v>
      </c>
      <c r="G461" s="83">
        <f>TDCTRIBE!AB469</f>
        <v>399006.04541700002</v>
      </c>
      <c r="H461" s="83">
        <f>TDCTRIBE!AC469</f>
        <v>430163.52735299995</v>
      </c>
      <c r="O461" s="9"/>
      <c r="P461" s="1"/>
      <c r="Q461" s="1"/>
      <c r="R461" s="1"/>
      <c r="S461" s="1"/>
      <c r="T461" s="1"/>
      <c r="U461" s="1"/>
      <c r="V461" s="9"/>
      <c r="W461" s="3"/>
      <c r="X461" s="4"/>
      <c r="Y461" s="1"/>
      <c r="Z461" s="1"/>
      <c r="AA461" s="1"/>
      <c r="AB461" s="1"/>
      <c r="AC461" s="1"/>
      <c r="AD461" s="3"/>
      <c r="AE461" s="3"/>
      <c r="AF461" s="5"/>
      <c r="AG461" s="5"/>
      <c r="AH461" s="5"/>
      <c r="AI461" s="5"/>
      <c r="AJ461" s="6"/>
      <c r="AK461" s="6"/>
      <c r="AL461" s="12"/>
      <c r="AM461" s="12"/>
      <c r="AN461" s="12"/>
      <c r="AO461" s="12"/>
      <c r="AP461" s="12"/>
    </row>
    <row r="462" spans="1:42" ht="15" x14ac:dyDescent="0.25">
      <c r="A462" s="82" t="str">
        <f>TDCTRIBE!I470</f>
        <v>Southwest</v>
      </c>
      <c r="B462" s="82" t="str">
        <f>TDCTRIBE!B470</f>
        <v>CA</v>
      </c>
      <c r="C462" s="82" t="str">
        <f>TDCTRIBE!F470</f>
        <v>Agua Caliente Band of Cahuilla</v>
      </c>
      <c r="D462" s="83">
        <f>TDCTRIBE!Y470</f>
        <v>354008.25326999993</v>
      </c>
      <c r="E462" s="83">
        <f>TDCTRIBE!Z470</f>
        <v>392429.30987399997</v>
      </c>
      <c r="F462" s="83">
        <f>TDCTRIBE!AA470</f>
        <v>445001.55499800004</v>
      </c>
      <c r="G462" s="83">
        <f>TDCTRIBE!AB470</f>
        <v>480482.85717599996</v>
      </c>
      <c r="H462" s="83">
        <f>TDCTRIBE!AC470</f>
        <v>518121.54878399998</v>
      </c>
      <c r="O462" s="9"/>
      <c r="P462" s="1"/>
      <c r="Q462" s="1"/>
      <c r="R462" s="1"/>
      <c r="S462" s="1"/>
      <c r="T462" s="1"/>
      <c r="U462" s="1"/>
      <c r="V462" s="9"/>
      <c r="W462" s="3"/>
      <c r="X462" s="4"/>
      <c r="Y462" s="1"/>
      <c r="Z462" s="1"/>
      <c r="AA462" s="1"/>
      <c r="AB462" s="1"/>
      <c r="AC462" s="1"/>
      <c r="AD462" s="3"/>
      <c r="AE462" s="3"/>
      <c r="AF462" s="5"/>
      <c r="AG462" s="5"/>
      <c r="AH462" s="5"/>
      <c r="AI462" s="5"/>
      <c r="AJ462" s="6"/>
      <c r="AK462" s="6"/>
      <c r="AL462" s="12"/>
      <c r="AM462" s="12"/>
      <c r="AN462" s="12"/>
      <c r="AO462" s="12"/>
      <c r="AP462" s="12"/>
    </row>
    <row r="463" spans="1:42" ht="15" x14ac:dyDescent="0.25">
      <c r="A463" s="82" t="str">
        <f>TDCTRIBE!I471</f>
        <v>Southwest</v>
      </c>
      <c r="B463" s="82" t="str">
        <f>TDCTRIBE!B471</f>
        <v>CA</v>
      </c>
      <c r="C463" s="82" t="str">
        <f>TDCTRIBE!F471</f>
        <v>Alturas Rancheria</v>
      </c>
      <c r="D463" s="83">
        <f>TDCTRIBE!Y471</f>
        <v>390057.86126999999</v>
      </c>
      <c r="E463" s="83">
        <f>TDCTRIBE!Z471</f>
        <v>430765.891374</v>
      </c>
      <c r="F463" s="83">
        <f>TDCTRIBE!AA471</f>
        <v>487874.07122300001</v>
      </c>
      <c r="G463" s="83">
        <f>TDCTRIBE!AB471</f>
        <v>528268.88882599992</v>
      </c>
      <c r="H463" s="83">
        <f>TDCTRIBE!AC471</f>
        <v>569455.64523400005</v>
      </c>
      <c r="O463" s="9"/>
      <c r="P463" s="1"/>
      <c r="Q463" s="1"/>
      <c r="R463" s="1"/>
      <c r="S463" s="1"/>
      <c r="T463" s="1"/>
      <c r="U463" s="1"/>
      <c r="V463" s="9"/>
      <c r="W463" s="3"/>
      <c r="X463" s="4"/>
      <c r="Y463" s="1"/>
      <c r="Z463" s="1"/>
      <c r="AA463" s="1"/>
      <c r="AB463" s="1"/>
      <c r="AC463" s="1"/>
      <c r="AD463" s="3"/>
      <c r="AE463" s="3"/>
      <c r="AF463" s="5"/>
      <c r="AG463" s="5"/>
      <c r="AH463" s="5"/>
      <c r="AI463" s="5"/>
      <c r="AJ463" s="6"/>
      <c r="AK463" s="6"/>
      <c r="AL463" s="12"/>
      <c r="AM463" s="12"/>
      <c r="AN463" s="12"/>
      <c r="AO463" s="12"/>
      <c r="AP463" s="12"/>
    </row>
    <row r="464" spans="1:42" ht="15" x14ac:dyDescent="0.25">
      <c r="A464" s="82" t="str">
        <f>TDCTRIBE!I472</f>
        <v>Southwest</v>
      </c>
      <c r="B464" s="82" t="str">
        <f>TDCTRIBE!B472</f>
        <v>CA</v>
      </c>
      <c r="C464" s="82" t="str">
        <f>TDCTRIBE!F472</f>
        <v>Auburn Rancheria</v>
      </c>
      <c r="D464" s="83">
        <f>TDCTRIBE!Y472</f>
        <v>390057.86126999999</v>
      </c>
      <c r="E464" s="83">
        <f>TDCTRIBE!Z472</f>
        <v>430765.891374</v>
      </c>
      <c r="F464" s="83">
        <f>TDCTRIBE!AA472</f>
        <v>487874.07122300001</v>
      </c>
      <c r="G464" s="83">
        <f>TDCTRIBE!AB472</f>
        <v>528268.88882599992</v>
      </c>
      <c r="H464" s="83">
        <f>TDCTRIBE!AC472</f>
        <v>569455.64523400005</v>
      </c>
      <c r="O464" s="9"/>
      <c r="P464" s="1"/>
      <c r="Q464" s="1"/>
      <c r="R464" s="1"/>
      <c r="S464" s="1"/>
      <c r="T464" s="1"/>
      <c r="U464" s="1"/>
      <c r="V464" s="9"/>
      <c r="W464" s="3"/>
      <c r="X464" s="4"/>
      <c r="Y464" s="1"/>
      <c r="Z464" s="1"/>
      <c r="AA464" s="1"/>
      <c r="AB464" s="1"/>
      <c r="AC464" s="1"/>
      <c r="AD464" s="3"/>
      <c r="AE464" s="3"/>
      <c r="AF464" s="5"/>
      <c r="AG464" s="5"/>
      <c r="AH464" s="5"/>
      <c r="AI464" s="5"/>
      <c r="AJ464" s="6"/>
      <c r="AK464" s="6"/>
      <c r="AL464" s="12"/>
      <c r="AM464" s="12"/>
      <c r="AN464" s="12"/>
      <c r="AO464" s="12"/>
      <c r="AP464" s="12"/>
    </row>
    <row r="465" spans="1:42" ht="15" x14ac:dyDescent="0.25">
      <c r="A465" s="82" t="str">
        <f>TDCTRIBE!I473</f>
        <v>Southwest</v>
      </c>
      <c r="B465" s="82" t="str">
        <f>TDCTRIBE!B473</f>
        <v>CA</v>
      </c>
      <c r="C465" s="82" t="str">
        <f>TDCTRIBE!F473</f>
        <v>Augustine Band of Cahuilla</v>
      </c>
      <c r="D465" s="83">
        <f>TDCTRIBE!Y473</f>
        <v>354008.25326999993</v>
      </c>
      <c r="E465" s="83">
        <f>TDCTRIBE!Z473</f>
        <v>392429.30987399997</v>
      </c>
      <c r="F465" s="83">
        <f>TDCTRIBE!AA473</f>
        <v>445001.55499800004</v>
      </c>
      <c r="G465" s="83">
        <f>TDCTRIBE!AB473</f>
        <v>480482.85717599996</v>
      </c>
      <c r="H465" s="83">
        <f>TDCTRIBE!AC473</f>
        <v>518121.54878399998</v>
      </c>
      <c r="O465" s="9"/>
      <c r="P465" s="1"/>
      <c r="Q465" s="1"/>
      <c r="R465" s="1"/>
      <c r="S465" s="1"/>
      <c r="T465" s="1"/>
      <c r="U465" s="1"/>
      <c r="V465" s="9"/>
      <c r="W465" s="3"/>
      <c r="X465" s="4"/>
      <c r="Y465" s="1"/>
      <c r="Z465" s="1"/>
      <c r="AA465" s="1"/>
      <c r="AB465" s="1"/>
      <c r="AC465" s="1"/>
      <c r="AD465" s="3"/>
      <c r="AE465" s="3"/>
      <c r="AF465" s="5"/>
      <c r="AG465" s="5"/>
      <c r="AH465" s="5"/>
      <c r="AI465" s="5"/>
      <c r="AJ465" s="6"/>
      <c r="AK465" s="6"/>
      <c r="AL465" s="12"/>
      <c r="AM465" s="12"/>
      <c r="AN465" s="12"/>
      <c r="AO465" s="12"/>
      <c r="AP465" s="12"/>
    </row>
    <row r="466" spans="1:42" ht="15" x14ac:dyDescent="0.25">
      <c r="A466" s="82" t="str">
        <f>TDCTRIBE!I474</f>
        <v>Southwest</v>
      </c>
      <c r="B466" s="82" t="str">
        <f>TDCTRIBE!B474</f>
        <v>CA</v>
      </c>
      <c r="C466" s="82" t="str">
        <f>TDCTRIBE!F474</f>
        <v xml:space="preserve">Barona </v>
      </c>
      <c r="D466" s="83">
        <f>TDCTRIBE!Y474</f>
        <v>340558.31309499999</v>
      </c>
      <c r="E466" s="83">
        <f>TDCTRIBE!Z474</f>
        <v>377504.28923900001</v>
      </c>
      <c r="F466" s="83">
        <f>TDCTRIBE!AA474</f>
        <v>428052.34695300006</v>
      </c>
      <c r="G466" s="83">
        <f>TDCTRIBE!AB474</f>
        <v>462168.18863599998</v>
      </c>
      <c r="H466" s="83">
        <f>TDCTRIBE!AC474</f>
        <v>498370.60442400002</v>
      </c>
      <c r="O466" s="9"/>
      <c r="P466" s="1"/>
      <c r="Q466" s="1"/>
      <c r="R466" s="1"/>
      <c r="S466" s="1"/>
      <c r="T466" s="1"/>
      <c r="U466" s="1"/>
      <c r="V466" s="9"/>
      <c r="W466" s="3"/>
      <c r="X466" s="4"/>
      <c r="Y466" s="1"/>
      <c r="Z466" s="1"/>
      <c r="AA466" s="1"/>
      <c r="AB466" s="1"/>
      <c r="AC466" s="1"/>
      <c r="AD466" s="3"/>
      <c r="AE466" s="3"/>
      <c r="AF466" s="5"/>
      <c r="AG466" s="5"/>
      <c r="AH466" s="5"/>
      <c r="AI466" s="5"/>
      <c r="AJ466" s="6"/>
      <c r="AK466" s="6"/>
      <c r="AL466" s="12"/>
      <c r="AM466" s="12"/>
      <c r="AN466" s="12"/>
      <c r="AO466" s="12"/>
      <c r="AP466" s="12"/>
    </row>
    <row r="467" spans="1:42" ht="15" x14ac:dyDescent="0.25">
      <c r="A467" s="82" t="str">
        <f>TDCTRIBE!I475</f>
        <v>Southwest</v>
      </c>
      <c r="B467" s="82" t="str">
        <f>TDCTRIBE!B475</f>
        <v>CA</v>
      </c>
      <c r="C467" s="82" t="str">
        <f>TDCTRIBE!F475</f>
        <v>Berry Creek Rancheria</v>
      </c>
      <c r="D467" s="83">
        <f>TDCTRIBE!Y475</f>
        <v>383354.01027000003</v>
      </c>
      <c r="E467" s="83">
        <f>TDCTRIBE!Z475</f>
        <v>423462.94817400002</v>
      </c>
      <c r="F467" s="83">
        <f>TDCTRIBE!AA475</f>
        <v>479752.63482300006</v>
      </c>
      <c r="G467" s="83">
        <f>TDCTRIBE!AB475</f>
        <v>519556.77702600003</v>
      </c>
      <c r="H467" s="83">
        <f>TDCTRIBE!AC475</f>
        <v>560078.60903400008</v>
      </c>
      <c r="O467" s="9"/>
      <c r="P467" s="1"/>
      <c r="Q467" s="1"/>
      <c r="R467" s="1"/>
      <c r="S467" s="1"/>
      <c r="T467" s="1"/>
      <c r="U467" s="1"/>
      <c r="V467" s="9"/>
      <c r="W467" s="3"/>
      <c r="X467" s="4"/>
      <c r="Y467" s="1"/>
      <c r="Z467" s="1"/>
      <c r="AA467" s="1"/>
      <c r="AB467" s="1"/>
      <c r="AC467" s="1"/>
      <c r="AD467" s="3"/>
      <c r="AE467" s="3"/>
      <c r="AF467" s="5"/>
      <c r="AG467" s="5"/>
      <c r="AH467" s="5"/>
      <c r="AI467" s="5"/>
      <c r="AJ467" s="6"/>
      <c r="AK467" s="6"/>
      <c r="AL467" s="12"/>
      <c r="AM467" s="12"/>
      <c r="AN467" s="12"/>
      <c r="AO467" s="12"/>
      <c r="AP467" s="12"/>
    </row>
    <row r="468" spans="1:42" ht="15" x14ac:dyDescent="0.25">
      <c r="A468" s="82" t="str">
        <f>TDCTRIBE!I476</f>
        <v>Southwest</v>
      </c>
      <c r="B468" s="82" t="str">
        <f>TDCTRIBE!B476</f>
        <v>CA</v>
      </c>
      <c r="C468" s="82" t="str">
        <f>TDCTRIBE!F476</f>
        <v>Big Lagoon Rancheria</v>
      </c>
      <c r="D468" s="83">
        <f>TDCTRIBE!Y476</f>
        <v>396032.89341000002</v>
      </c>
      <c r="E468" s="83">
        <f>TDCTRIBE!Z476</f>
        <v>437466.69964199996</v>
      </c>
      <c r="F468" s="83">
        <f>TDCTRIBE!AA476</f>
        <v>495615.36770900013</v>
      </c>
      <c r="G468" s="83">
        <f>TDCTRIBE!AB476</f>
        <v>536734.24695800012</v>
      </c>
      <c r="H468" s="83">
        <f>TDCTRIBE!AC476</f>
        <v>578595.56402199995</v>
      </c>
      <c r="O468" s="9"/>
      <c r="P468" s="1"/>
      <c r="Q468" s="1"/>
      <c r="R468" s="1"/>
      <c r="S468" s="1"/>
      <c r="T468" s="1"/>
      <c r="U468" s="1"/>
      <c r="V468" s="9"/>
      <c r="W468" s="3"/>
      <c r="X468" s="4"/>
      <c r="Y468" s="1"/>
      <c r="Z468" s="1"/>
      <c r="AA468" s="1"/>
      <c r="AB468" s="1"/>
      <c r="AC468" s="1"/>
      <c r="AD468" s="3"/>
      <c r="AE468" s="3"/>
      <c r="AF468" s="5"/>
      <c r="AG468" s="5"/>
      <c r="AH468" s="5"/>
      <c r="AI468" s="5"/>
      <c r="AJ468" s="6"/>
      <c r="AK468" s="6"/>
      <c r="AL468" s="12"/>
      <c r="AM468" s="12"/>
      <c r="AN468" s="12"/>
      <c r="AO468" s="12"/>
      <c r="AP468" s="12"/>
    </row>
    <row r="469" spans="1:42" ht="15" x14ac:dyDescent="0.25">
      <c r="A469" s="82" t="str">
        <f>TDCTRIBE!I477</f>
        <v>Southwest</v>
      </c>
      <c r="B469" s="82" t="str">
        <f>TDCTRIBE!B477</f>
        <v>CA</v>
      </c>
      <c r="C469" s="82" t="str">
        <f>TDCTRIBE!F477</f>
        <v>Big Pine Band</v>
      </c>
      <c r="D469" s="83">
        <f>TDCTRIBE!Y477</f>
        <v>371622.27102000004</v>
      </c>
      <c r="E469" s="83">
        <f>TDCTRIBE!Z477</f>
        <v>410682.79757399991</v>
      </c>
      <c r="F469" s="83">
        <f>TDCTRIBE!AA477</f>
        <v>465540.12112300005</v>
      </c>
      <c r="G469" s="83">
        <f>TDCTRIBE!AB477</f>
        <v>504310.58137600002</v>
      </c>
      <c r="H469" s="83">
        <f>TDCTRIBE!AC477</f>
        <v>543668.7956839999</v>
      </c>
      <c r="O469" s="9"/>
      <c r="P469" s="1"/>
      <c r="Q469" s="1"/>
      <c r="R469" s="1"/>
      <c r="S469" s="1"/>
      <c r="T469" s="1"/>
      <c r="U469" s="1"/>
      <c r="V469" s="9"/>
      <c r="W469" s="3"/>
      <c r="X469" s="4"/>
      <c r="Y469" s="1"/>
      <c r="Z469" s="1"/>
      <c r="AA469" s="1"/>
      <c r="AB469" s="1"/>
      <c r="AC469" s="1"/>
      <c r="AD469" s="3"/>
      <c r="AE469" s="3"/>
      <c r="AF469" s="5"/>
      <c r="AG469" s="5"/>
      <c r="AH469" s="5"/>
      <c r="AI469" s="5"/>
      <c r="AJ469" s="6"/>
      <c r="AK469" s="6"/>
      <c r="AL469" s="12"/>
      <c r="AM469" s="12"/>
      <c r="AN469" s="12"/>
      <c r="AO469" s="12"/>
      <c r="AP469" s="12"/>
    </row>
    <row r="470" spans="1:42" ht="15" x14ac:dyDescent="0.25">
      <c r="A470" s="82" t="str">
        <f>TDCTRIBE!I478</f>
        <v>Southwest</v>
      </c>
      <c r="B470" s="82" t="str">
        <f>TDCTRIBE!B478</f>
        <v>CA</v>
      </c>
      <c r="C470" s="82" t="str">
        <f>TDCTRIBE!F478</f>
        <v>Big Sandy Rancheria</v>
      </c>
      <c r="D470" s="83">
        <f>TDCTRIBE!Y478</f>
        <v>391769.94433500001</v>
      </c>
      <c r="E470" s="83">
        <f>TDCTRIBE!Z478</f>
        <v>433062.55937699997</v>
      </c>
      <c r="F470" s="83">
        <f>TDCTRIBE!AA478</f>
        <v>491079.47461650008</v>
      </c>
      <c r="G470" s="83">
        <f>TDCTRIBE!AB478</f>
        <v>532069.74897299998</v>
      </c>
      <c r="H470" s="83">
        <f>TDCTRIBE!AC478</f>
        <v>573610.64915700001</v>
      </c>
      <c r="O470" s="9"/>
      <c r="P470" s="1"/>
      <c r="Q470" s="1"/>
      <c r="R470" s="1"/>
      <c r="S470" s="1"/>
      <c r="T470" s="1"/>
      <c r="U470" s="1"/>
      <c r="V470" s="9"/>
      <c r="W470" s="3"/>
      <c r="X470" s="4"/>
      <c r="Y470" s="1"/>
      <c r="Z470" s="1"/>
      <c r="AA470" s="1"/>
      <c r="AB470" s="1"/>
      <c r="AC470" s="1"/>
      <c r="AD470" s="3"/>
      <c r="AE470" s="3"/>
      <c r="AF470" s="5"/>
      <c r="AG470" s="5"/>
      <c r="AH470" s="5"/>
      <c r="AI470" s="5"/>
      <c r="AJ470" s="6"/>
      <c r="AK470" s="6"/>
      <c r="AL470" s="12"/>
      <c r="AM470" s="12"/>
      <c r="AN470" s="12"/>
      <c r="AO470" s="12"/>
      <c r="AP470" s="12"/>
    </row>
    <row r="471" spans="1:42" ht="15" x14ac:dyDescent="0.25">
      <c r="A471" s="82" t="str">
        <f>TDCTRIBE!I479</f>
        <v>Southwest</v>
      </c>
      <c r="B471" s="82" t="str">
        <f>TDCTRIBE!B479</f>
        <v>CA</v>
      </c>
      <c r="C471" s="82" t="str">
        <f>TDCTRIBE!F479</f>
        <v>Big Valley Rancheria</v>
      </c>
      <c r="D471" s="83">
        <f>TDCTRIBE!Y479</f>
        <v>395085.74952000001</v>
      </c>
      <c r="E471" s="83">
        <f>TDCTRIBE!Z479</f>
        <v>436243.09877399995</v>
      </c>
      <c r="F471" s="83">
        <f>TDCTRIBE!AA479</f>
        <v>493965.14852300007</v>
      </c>
      <c r="G471" s="83">
        <f>TDCTRIBE!AB479</f>
        <v>534802.97267599998</v>
      </c>
      <c r="H471" s="83">
        <f>TDCTRIBE!AC479</f>
        <v>576488.42238400003</v>
      </c>
      <c r="O471" s="9"/>
      <c r="P471" s="1"/>
      <c r="Q471" s="1"/>
      <c r="R471" s="1"/>
      <c r="S471" s="1"/>
      <c r="T471" s="1"/>
      <c r="U471" s="1"/>
      <c r="V471" s="9"/>
      <c r="W471" s="3"/>
      <c r="X471" s="4"/>
      <c r="Y471" s="1"/>
      <c r="Z471" s="1"/>
      <c r="AA471" s="1"/>
      <c r="AB471" s="1"/>
      <c r="AC471" s="1"/>
      <c r="AD471" s="3"/>
      <c r="AE471" s="3"/>
      <c r="AF471" s="5"/>
      <c r="AG471" s="5"/>
      <c r="AH471" s="5"/>
      <c r="AI471" s="5"/>
      <c r="AJ471" s="6"/>
      <c r="AK471" s="6"/>
      <c r="AL471" s="12"/>
      <c r="AM471" s="12"/>
      <c r="AN471" s="12"/>
      <c r="AO471" s="12"/>
      <c r="AP471" s="12"/>
    </row>
    <row r="472" spans="1:42" ht="15" x14ac:dyDescent="0.25">
      <c r="A472" s="82" t="str">
        <f>TDCTRIBE!I480</f>
        <v>Southwest</v>
      </c>
      <c r="B472" s="82" t="str">
        <f>TDCTRIBE!B480</f>
        <v>CA</v>
      </c>
      <c r="C472" s="82" t="str">
        <f>TDCTRIBE!F480</f>
        <v>Blue Lake Rancheria</v>
      </c>
      <c r="D472" s="83">
        <f>TDCTRIBE!Y480</f>
        <v>396032.89341000002</v>
      </c>
      <c r="E472" s="83">
        <f>TDCTRIBE!Z480</f>
        <v>437466.69964199996</v>
      </c>
      <c r="F472" s="83">
        <f>TDCTRIBE!AA480</f>
        <v>495615.36770900013</v>
      </c>
      <c r="G472" s="83">
        <f>TDCTRIBE!AB480</f>
        <v>536734.24695800012</v>
      </c>
      <c r="H472" s="83">
        <f>TDCTRIBE!AC480</f>
        <v>578595.56402199995</v>
      </c>
      <c r="O472" s="9"/>
      <c r="P472" s="1"/>
      <c r="Q472" s="1"/>
      <c r="R472" s="1"/>
      <c r="S472" s="1"/>
      <c r="T472" s="1"/>
      <c r="U472" s="1"/>
      <c r="V472" s="9"/>
      <c r="W472" s="3"/>
      <c r="X472" s="4"/>
      <c r="Y472" s="1"/>
      <c r="Z472" s="1"/>
      <c r="AA472" s="1"/>
      <c r="AB472" s="1"/>
      <c r="AC472" s="1"/>
      <c r="AD472" s="3"/>
      <c r="AE472" s="3"/>
      <c r="AF472" s="5"/>
      <c r="AG472" s="5"/>
      <c r="AH472" s="5"/>
      <c r="AI472" s="5"/>
      <c r="AJ472" s="6"/>
      <c r="AK472" s="6"/>
      <c r="AL472" s="12"/>
      <c r="AM472" s="12"/>
      <c r="AN472" s="12"/>
      <c r="AO472" s="12"/>
      <c r="AP472" s="12"/>
    </row>
    <row r="473" spans="1:42" ht="15" x14ac:dyDescent="0.25">
      <c r="A473" s="82" t="str">
        <f>TDCTRIBE!I481</f>
        <v>Southwest</v>
      </c>
      <c r="B473" s="82" t="str">
        <f>TDCTRIBE!B481</f>
        <v>CA</v>
      </c>
      <c r="C473" s="82" t="str">
        <f>TDCTRIBE!F481</f>
        <v>Bridgeport Paiute Indian Colony</v>
      </c>
      <c r="D473" s="83">
        <f>TDCTRIBE!Y481</f>
        <v>371622.27102000004</v>
      </c>
      <c r="E473" s="83">
        <f>TDCTRIBE!Z481</f>
        <v>410682.79757399991</v>
      </c>
      <c r="F473" s="83">
        <f>TDCTRIBE!AA481</f>
        <v>465540.12112300005</v>
      </c>
      <c r="G473" s="83">
        <f>TDCTRIBE!AB481</f>
        <v>504310.58137600002</v>
      </c>
      <c r="H473" s="83">
        <f>TDCTRIBE!AC481</f>
        <v>543668.7956839999</v>
      </c>
      <c r="O473" s="9"/>
      <c r="P473" s="1"/>
      <c r="Q473" s="1"/>
      <c r="R473" s="1"/>
      <c r="S473" s="1"/>
      <c r="T473" s="1"/>
      <c r="U473" s="1"/>
      <c r="V473" s="9"/>
      <c r="W473" s="3"/>
      <c r="X473" s="4"/>
      <c r="Y473" s="1"/>
      <c r="Z473" s="1"/>
      <c r="AA473" s="1"/>
      <c r="AB473" s="1"/>
      <c r="AC473" s="1"/>
      <c r="AD473" s="3"/>
      <c r="AE473" s="3"/>
      <c r="AF473" s="5"/>
      <c r="AG473" s="5"/>
      <c r="AH473" s="5"/>
      <c r="AI473" s="5"/>
      <c r="AJ473" s="6"/>
      <c r="AK473" s="6"/>
      <c r="AL473" s="12"/>
      <c r="AM473" s="12"/>
      <c r="AN473" s="12"/>
      <c r="AO473" s="12"/>
      <c r="AP473" s="12"/>
    </row>
    <row r="474" spans="1:42" ht="15" x14ac:dyDescent="0.25">
      <c r="A474" s="82" t="str">
        <f>TDCTRIBE!I482</f>
        <v>Southwest</v>
      </c>
      <c r="B474" s="82" t="str">
        <f>TDCTRIBE!B482</f>
        <v>CA</v>
      </c>
      <c r="C474" s="82" t="str">
        <f>TDCTRIBE!F482</f>
        <v>Buena Vista Rancheria</v>
      </c>
      <c r="D474" s="83">
        <f>TDCTRIBE!Y482</f>
        <v>390057.86126999999</v>
      </c>
      <c r="E474" s="83">
        <f>TDCTRIBE!Z482</f>
        <v>430765.891374</v>
      </c>
      <c r="F474" s="83">
        <f>TDCTRIBE!AA482</f>
        <v>487874.07122300001</v>
      </c>
      <c r="G474" s="83">
        <f>TDCTRIBE!AB482</f>
        <v>528268.88882599992</v>
      </c>
      <c r="H474" s="83">
        <f>TDCTRIBE!AC482</f>
        <v>569455.64523400005</v>
      </c>
      <c r="O474" s="9"/>
      <c r="P474" s="1"/>
      <c r="Q474" s="1"/>
      <c r="R474" s="1"/>
      <c r="S474" s="1"/>
      <c r="T474" s="1"/>
      <c r="U474" s="1"/>
      <c r="V474" s="9"/>
      <c r="W474" s="3"/>
      <c r="X474" s="4"/>
      <c r="Y474" s="1"/>
      <c r="Z474" s="1"/>
      <c r="AA474" s="1"/>
      <c r="AB474" s="1"/>
      <c r="AC474" s="1"/>
      <c r="AD474" s="3"/>
      <c r="AE474" s="3"/>
      <c r="AF474" s="5"/>
      <c r="AG474" s="5"/>
      <c r="AH474" s="5"/>
      <c r="AI474" s="5"/>
      <c r="AJ474" s="6"/>
      <c r="AK474" s="6"/>
      <c r="AL474" s="12"/>
      <c r="AM474" s="12"/>
      <c r="AN474" s="12"/>
      <c r="AO474" s="12"/>
      <c r="AP474" s="12"/>
    </row>
    <row r="475" spans="1:42" ht="15" x14ac:dyDescent="0.25">
      <c r="A475" s="82" t="str">
        <f>TDCTRIBE!I483</f>
        <v>Southwest</v>
      </c>
      <c r="B475" s="82" t="str">
        <f>TDCTRIBE!B483</f>
        <v>CA</v>
      </c>
      <c r="C475" s="82" t="str">
        <f>TDCTRIBE!F483</f>
        <v>Cabazon Band</v>
      </c>
      <c r="D475" s="83">
        <f>TDCTRIBE!Y483</f>
        <v>354008.25326999993</v>
      </c>
      <c r="E475" s="83">
        <f>TDCTRIBE!Z483</f>
        <v>392429.30987399997</v>
      </c>
      <c r="F475" s="83">
        <f>TDCTRIBE!AA483</f>
        <v>445001.55499800004</v>
      </c>
      <c r="G475" s="83">
        <f>TDCTRIBE!AB483</f>
        <v>480482.85717599996</v>
      </c>
      <c r="H475" s="83">
        <f>TDCTRIBE!AC483</f>
        <v>518121.54878399998</v>
      </c>
      <c r="O475" s="9"/>
      <c r="P475" s="1"/>
      <c r="Q475" s="1"/>
      <c r="R475" s="1"/>
      <c r="S475" s="1"/>
      <c r="T475" s="1"/>
      <c r="U475" s="1"/>
      <c r="V475" s="9"/>
      <c r="W475" s="3"/>
      <c r="X475" s="4"/>
      <c r="Y475" s="1"/>
      <c r="Z475" s="1"/>
      <c r="AA475" s="1"/>
      <c r="AB475" s="1"/>
      <c r="AC475" s="1"/>
      <c r="AD475" s="3"/>
      <c r="AE475" s="3"/>
      <c r="AF475" s="5"/>
      <c r="AG475" s="5"/>
      <c r="AH475" s="5"/>
      <c r="AI475" s="5"/>
      <c r="AJ475" s="6"/>
      <c r="AK475" s="6"/>
      <c r="AL475" s="12"/>
      <c r="AM475" s="12"/>
      <c r="AN475" s="12"/>
      <c r="AO475" s="12"/>
      <c r="AP475" s="12"/>
    </row>
    <row r="476" spans="1:42" ht="15" x14ac:dyDescent="0.25">
      <c r="A476" s="82" t="str">
        <f>TDCTRIBE!I484</f>
        <v>Southwest</v>
      </c>
      <c r="B476" s="82" t="str">
        <f>TDCTRIBE!B484</f>
        <v>CA</v>
      </c>
      <c r="C476" s="82" t="str">
        <f>TDCTRIBE!F484</f>
        <v>Cahuilla Band</v>
      </c>
      <c r="D476" s="83">
        <f>TDCTRIBE!Y484</f>
        <v>354008.25326999993</v>
      </c>
      <c r="E476" s="83">
        <f>TDCTRIBE!Z484</f>
        <v>392429.30987399997</v>
      </c>
      <c r="F476" s="83">
        <f>TDCTRIBE!AA484</f>
        <v>445001.55499800004</v>
      </c>
      <c r="G476" s="83">
        <f>TDCTRIBE!AB484</f>
        <v>480482.85717599996</v>
      </c>
      <c r="H476" s="83">
        <f>TDCTRIBE!AC484</f>
        <v>518121.54878399998</v>
      </c>
      <c r="O476" s="9"/>
      <c r="P476" s="1"/>
      <c r="Q476" s="1"/>
      <c r="R476" s="1"/>
      <c r="S476" s="1"/>
      <c r="T476" s="1"/>
      <c r="U476" s="1"/>
      <c r="V476" s="9"/>
      <c r="W476" s="3"/>
      <c r="X476" s="4"/>
      <c r="Y476" s="1"/>
      <c r="Z476" s="1"/>
      <c r="AA476" s="1"/>
      <c r="AB476" s="1"/>
      <c r="AC476" s="1"/>
      <c r="AD476" s="3"/>
      <c r="AE476" s="3"/>
      <c r="AF476" s="5"/>
      <c r="AG476" s="5"/>
      <c r="AH476" s="5"/>
      <c r="AI476" s="5"/>
      <c r="AJ476" s="6"/>
      <c r="AK476" s="6"/>
      <c r="AL476" s="12"/>
      <c r="AM476" s="12"/>
      <c r="AN476" s="12"/>
      <c r="AO476" s="12"/>
      <c r="AP476" s="12"/>
    </row>
    <row r="477" spans="1:42" ht="15" x14ac:dyDescent="0.25">
      <c r="A477" s="82" t="str">
        <f>TDCTRIBE!I485</f>
        <v>Southwest</v>
      </c>
      <c r="B477" s="82" t="str">
        <f>TDCTRIBE!B485</f>
        <v>CA</v>
      </c>
      <c r="C477" s="82" t="str">
        <f>TDCTRIBE!F485</f>
        <v>Camp Antelope Tribe</v>
      </c>
      <c r="D477" s="83">
        <f>TDCTRIBE!Y485</f>
        <v>371622.27102000004</v>
      </c>
      <c r="E477" s="83">
        <f>TDCTRIBE!Z485</f>
        <v>410682.79757399991</v>
      </c>
      <c r="F477" s="83">
        <f>TDCTRIBE!AA485</f>
        <v>465540.12112300005</v>
      </c>
      <c r="G477" s="83">
        <f>TDCTRIBE!AB485</f>
        <v>504310.58137600002</v>
      </c>
      <c r="H477" s="83">
        <f>TDCTRIBE!AC485</f>
        <v>543668.7956839999</v>
      </c>
      <c r="O477" s="9"/>
      <c r="P477" s="1"/>
      <c r="Q477" s="1"/>
      <c r="R477" s="1"/>
      <c r="S477" s="1"/>
      <c r="T477" s="1"/>
      <c r="U477" s="1"/>
      <c r="V477" s="9"/>
      <c r="W477" s="3"/>
      <c r="X477" s="4"/>
      <c r="Y477" s="1"/>
      <c r="Z477" s="1"/>
      <c r="AA477" s="1"/>
      <c r="AB477" s="1"/>
      <c r="AC477" s="1"/>
      <c r="AD477" s="3"/>
      <c r="AE477" s="3"/>
      <c r="AF477" s="5"/>
      <c r="AG477" s="5"/>
      <c r="AH477" s="5"/>
      <c r="AI477" s="5"/>
      <c r="AJ477" s="6"/>
      <c r="AK477" s="6"/>
      <c r="AL477" s="12"/>
      <c r="AM477" s="12"/>
      <c r="AN477" s="12"/>
      <c r="AO477" s="12"/>
      <c r="AP477" s="12"/>
    </row>
    <row r="478" spans="1:42" ht="15" x14ac:dyDescent="0.25">
      <c r="A478" s="82" t="str">
        <f>TDCTRIBE!I486</f>
        <v>Southwest</v>
      </c>
      <c r="B478" s="82" t="str">
        <f>TDCTRIBE!B486</f>
        <v>CA</v>
      </c>
      <c r="C478" s="82" t="str">
        <f>TDCTRIBE!F486</f>
        <v>Campo Band</v>
      </c>
      <c r="D478" s="83">
        <f>TDCTRIBE!Y486</f>
        <v>340558.31309499999</v>
      </c>
      <c r="E478" s="83">
        <f>TDCTRIBE!Z486</f>
        <v>377504.28923900001</v>
      </c>
      <c r="F478" s="83">
        <f>TDCTRIBE!AA486</f>
        <v>428052.34695300006</v>
      </c>
      <c r="G478" s="83">
        <f>TDCTRIBE!AB486</f>
        <v>462168.18863599998</v>
      </c>
      <c r="H478" s="83">
        <f>TDCTRIBE!AC486</f>
        <v>498370.60442400002</v>
      </c>
      <c r="O478" s="9"/>
      <c r="P478" s="1"/>
      <c r="Q478" s="1"/>
      <c r="R478" s="1"/>
      <c r="S478" s="1"/>
      <c r="T478" s="1"/>
      <c r="U478" s="1"/>
      <c r="V478" s="9"/>
      <c r="W478" s="3"/>
      <c r="X478" s="4"/>
      <c r="Y478" s="1"/>
      <c r="Z478" s="1"/>
      <c r="AA478" s="1"/>
      <c r="AB478" s="1"/>
      <c r="AC478" s="1"/>
      <c r="AD478" s="3"/>
      <c r="AE478" s="3"/>
      <c r="AF478" s="5"/>
      <c r="AG478" s="5"/>
      <c r="AH478" s="5"/>
      <c r="AI478" s="5"/>
      <c r="AJ478" s="6"/>
      <c r="AK478" s="6"/>
      <c r="AL478" s="12"/>
      <c r="AM478" s="12"/>
      <c r="AN478" s="12"/>
      <c r="AO478" s="12"/>
      <c r="AP478" s="12"/>
    </row>
    <row r="479" spans="1:42" ht="15" x14ac:dyDescent="0.25">
      <c r="A479" s="82" t="str">
        <f>TDCTRIBE!I487</f>
        <v>Southwest</v>
      </c>
      <c r="B479" s="82" t="str">
        <f>TDCTRIBE!B487</f>
        <v>CA</v>
      </c>
      <c r="C479" s="82" t="str">
        <f>TDCTRIBE!F487</f>
        <v>Cedarville Rancheria</v>
      </c>
      <c r="D479" s="83">
        <f>TDCTRIBE!Y487</f>
        <v>390057.86126999999</v>
      </c>
      <c r="E479" s="83">
        <f>TDCTRIBE!Z487</f>
        <v>430765.891374</v>
      </c>
      <c r="F479" s="83">
        <f>TDCTRIBE!AA487</f>
        <v>487874.07122300001</v>
      </c>
      <c r="G479" s="83">
        <f>TDCTRIBE!AB487</f>
        <v>528268.88882599992</v>
      </c>
      <c r="H479" s="83">
        <f>TDCTRIBE!AC487</f>
        <v>569455.64523400005</v>
      </c>
      <c r="O479" s="9"/>
      <c r="P479" s="1"/>
      <c r="Q479" s="1"/>
      <c r="R479" s="1"/>
      <c r="S479" s="1"/>
      <c r="T479" s="1"/>
      <c r="U479" s="1"/>
      <c r="V479" s="9"/>
      <c r="W479" s="3"/>
      <c r="X479" s="4"/>
      <c r="Y479" s="1"/>
      <c r="Z479" s="1"/>
      <c r="AA479" s="1"/>
      <c r="AB479" s="1"/>
      <c r="AC479" s="1"/>
      <c r="AD479" s="3"/>
      <c r="AE479" s="3"/>
      <c r="AF479" s="5"/>
      <c r="AG479" s="5"/>
      <c r="AH479" s="5"/>
      <c r="AI479" s="5"/>
      <c r="AJ479" s="6"/>
      <c r="AK479" s="6"/>
      <c r="AL479" s="12"/>
      <c r="AM479" s="12"/>
      <c r="AN479" s="12"/>
      <c r="AO479" s="12"/>
      <c r="AP479" s="12"/>
    </row>
    <row r="480" spans="1:42" ht="15" x14ac:dyDescent="0.25">
      <c r="A480" s="82" t="str">
        <f>TDCTRIBE!I488</f>
        <v>Southwest</v>
      </c>
      <c r="B480" s="82" t="str">
        <f>TDCTRIBE!B488</f>
        <v>CA</v>
      </c>
      <c r="C480" s="82" t="str">
        <f>TDCTRIBE!F488</f>
        <v>Chemehuevi</v>
      </c>
      <c r="D480" s="83">
        <f>TDCTRIBE!Y488</f>
        <v>352433.27076999994</v>
      </c>
      <c r="E480" s="83">
        <f>TDCTRIBE!Z488</f>
        <v>390706.21192399994</v>
      </c>
      <c r="F480" s="83">
        <f>TDCTRIBE!AA488</f>
        <v>443084.42824800004</v>
      </c>
      <c r="G480" s="83">
        <f>TDCTRIBE!AB488</f>
        <v>478433.77517599997</v>
      </c>
      <c r="H480" s="83">
        <f>TDCTRIBE!AC488</f>
        <v>515914.32278399996</v>
      </c>
      <c r="O480" s="9"/>
      <c r="P480" s="1"/>
      <c r="Q480" s="1"/>
      <c r="R480" s="1"/>
      <c r="S480" s="1"/>
      <c r="T480" s="1"/>
      <c r="U480" s="1"/>
      <c r="V480" s="9"/>
      <c r="W480" s="3"/>
      <c r="X480" s="4"/>
      <c r="Y480" s="1"/>
      <c r="Z480" s="1"/>
      <c r="AA480" s="1"/>
      <c r="AB480" s="1"/>
      <c r="AC480" s="1"/>
      <c r="AD480" s="3"/>
      <c r="AE480" s="3"/>
      <c r="AF480" s="5"/>
      <c r="AG480" s="5"/>
      <c r="AH480" s="5"/>
      <c r="AI480" s="5"/>
      <c r="AJ480" s="6"/>
      <c r="AK480" s="6"/>
      <c r="AL480" s="12"/>
      <c r="AM480" s="12"/>
      <c r="AN480" s="12"/>
      <c r="AO480" s="12"/>
      <c r="AP480" s="12"/>
    </row>
    <row r="481" spans="1:42" ht="15" x14ac:dyDescent="0.25">
      <c r="A481" s="82" t="str">
        <f>TDCTRIBE!I489</f>
        <v>Southwest</v>
      </c>
      <c r="B481" s="82" t="str">
        <f>TDCTRIBE!B489</f>
        <v>CA</v>
      </c>
      <c r="C481" s="82" t="str">
        <f>TDCTRIBE!F489</f>
        <v>Chicken Ranch Rancheria</v>
      </c>
      <c r="D481" s="83">
        <f>TDCTRIBE!Y489</f>
        <v>380002.08476999996</v>
      </c>
      <c r="E481" s="83">
        <f>TDCTRIBE!Z489</f>
        <v>419811.47657399997</v>
      </c>
      <c r="F481" s="83">
        <f>TDCTRIBE!AA489</f>
        <v>475691.91662300006</v>
      </c>
      <c r="G481" s="83">
        <f>TDCTRIBE!AB489</f>
        <v>515200.72112599993</v>
      </c>
      <c r="H481" s="83">
        <f>TDCTRIBE!AC489</f>
        <v>555390.09093399998</v>
      </c>
      <c r="O481" s="9"/>
      <c r="P481" s="1"/>
      <c r="Q481" s="1"/>
      <c r="R481" s="1"/>
      <c r="S481" s="1"/>
      <c r="T481" s="1"/>
      <c r="U481" s="1"/>
      <c r="V481" s="9"/>
      <c r="W481" s="3"/>
      <c r="X481" s="4"/>
      <c r="Y481" s="1"/>
      <c r="Z481" s="1"/>
      <c r="AA481" s="1"/>
      <c r="AB481" s="1"/>
      <c r="AC481" s="1"/>
      <c r="AD481" s="3"/>
      <c r="AE481" s="3"/>
      <c r="AF481" s="5"/>
      <c r="AG481" s="5"/>
      <c r="AH481" s="5"/>
      <c r="AI481" s="5"/>
      <c r="AJ481" s="6"/>
      <c r="AK481" s="6"/>
      <c r="AL481" s="12"/>
      <c r="AM481" s="12"/>
      <c r="AN481" s="12"/>
      <c r="AO481" s="12"/>
      <c r="AP481" s="12"/>
    </row>
    <row r="482" spans="1:42" ht="15" x14ac:dyDescent="0.25">
      <c r="A482" s="82" t="str">
        <f>TDCTRIBE!I490</f>
        <v>Southwest</v>
      </c>
      <c r="B482" s="82" t="str">
        <f>TDCTRIBE!B490</f>
        <v>CA</v>
      </c>
      <c r="C482" s="82" t="str">
        <f>TDCTRIBE!F490</f>
        <v>Chico Rancheria</v>
      </c>
      <c r="D482" s="83">
        <f>TDCTRIBE!Y490</f>
        <v>383354.01027000003</v>
      </c>
      <c r="E482" s="83">
        <f>TDCTRIBE!Z490</f>
        <v>423462.94817400002</v>
      </c>
      <c r="F482" s="83">
        <f>TDCTRIBE!AA490</f>
        <v>479752.63482300006</v>
      </c>
      <c r="G482" s="83">
        <f>TDCTRIBE!AB490</f>
        <v>519556.77702600003</v>
      </c>
      <c r="H482" s="83">
        <f>TDCTRIBE!AC490</f>
        <v>560078.60903400008</v>
      </c>
      <c r="O482" s="9"/>
      <c r="P482" s="1"/>
      <c r="Q482" s="1"/>
      <c r="R482" s="1"/>
      <c r="S482" s="1"/>
      <c r="T482" s="1"/>
      <c r="U482" s="1"/>
      <c r="V482" s="9"/>
      <c r="W482" s="3"/>
      <c r="X482" s="4"/>
      <c r="Y482" s="1"/>
      <c r="Z482" s="1"/>
      <c r="AA482" s="1"/>
      <c r="AB482" s="1"/>
      <c r="AC482" s="1"/>
      <c r="AD482" s="3"/>
      <c r="AE482" s="3"/>
      <c r="AF482" s="5"/>
      <c r="AG482" s="5"/>
      <c r="AH482" s="5"/>
      <c r="AI482" s="5"/>
      <c r="AJ482" s="6"/>
      <c r="AK482" s="6"/>
      <c r="AL482" s="12"/>
      <c r="AM482" s="12"/>
      <c r="AN482" s="12"/>
      <c r="AO482" s="12"/>
      <c r="AP482" s="12"/>
    </row>
    <row r="483" spans="1:42" ht="15" x14ac:dyDescent="0.25">
      <c r="A483" s="82" t="str">
        <f>TDCTRIBE!I491</f>
        <v>Southwest</v>
      </c>
      <c r="B483" s="82" t="str">
        <f>TDCTRIBE!B491</f>
        <v>CA</v>
      </c>
      <c r="C483" s="82" t="str">
        <f>TDCTRIBE!F491</f>
        <v>Cloverdale Rancheria</v>
      </c>
      <c r="D483" s="83">
        <f>TDCTRIBE!Y491</f>
        <v>399567.02362500003</v>
      </c>
      <c r="E483" s="83">
        <f>TDCTRIBE!Z491</f>
        <v>441268.704975</v>
      </c>
      <c r="F483" s="83">
        <f>TDCTRIBE!AA491</f>
        <v>499771.12088750006</v>
      </c>
      <c r="G483" s="83">
        <f>TDCTRIBE!AB491</f>
        <v>541151.99127499992</v>
      </c>
      <c r="H483" s="83">
        <f>TDCTRIBE!AC491</f>
        <v>583343.36147500016</v>
      </c>
      <c r="O483" s="9"/>
      <c r="P483" s="1"/>
      <c r="Q483" s="1"/>
      <c r="R483" s="1"/>
      <c r="S483" s="1"/>
      <c r="T483" s="1"/>
      <c r="U483" s="1"/>
      <c r="V483" s="9"/>
      <c r="W483" s="3"/>
      <c r="X483" s="4"/>
      <c r="Y483" s="1"/>
      <c r="Z483" s="1"/>
      <c r="AA483" s="1"/>
      <c r="AB483" s="1"/>
      <c r="AC483" s="1"/>
      <c r="AD483" s="3"/>
      <c r="AE483" s="3"/>
      <c r="AF483" s="5"/>
      <c r="AG483" s="5"/>
      <c r="AH483" s="5"/>
      <c r="AI483" s="5"/>
      <c r="AJ483" s="6"/>
      <c r="AK483" s="6"/>
      <c r="AL483" s="12"/>
      <c r="AM483" s="12"/>
      <c r="AN483" s="12"/>
      <c r="AO483" s="12"/>
      <c r="AP483" s="12"/>
    </row>
    <row r="484" spans="1:42" ht="15" x14ac:dyDescent="0.25">
      <c r="A484" s="82" t="str">
        <f>TDCTRIBE!I492</f>
        <v>Southwest</v>
      </c>
      <c r="B484" s="82" t="str">
        <f>TDCTRIBE!B492</f>
        <v>CA</v>
      </c>
      <c r="C484" s="82" t="str">
        <f>TDCTRIBE!F492</f>
        <v>Cold Springs Rancheria</v>
      </c>
      <c r="D484" s="83">
        <f>TDCTRIBE!Y492</f>
        <v>391769.94433500001</v>
      </c>
      <c r="E484" s="83">
        <f>TDCTRIBE!Z492</f>
        <v>433062.55937699997</v>
      </c>
      <c r="F484" s="83">
        <f>TDCTRIBE!AA492</f>
        <v>491079.47461650008</v>
      </c>
      <c r="G484" s="83">
        <f>TDCTRIBE!AB492</f>
        <v>532069.74897299998</v>
      </c>
      <c r="H484" s="83">
        <f>TDCTRIBE!AC492</f>
        <v>573610.64915700001</v>
      </c>
      <c r="O484" s="9"/>
      <c r="P484" s="1"/>
      <c r="Q484" s="1"/>
      <c r="R484" s="1"/>
      <c r="S484" s="1"/>
      <c r="T484" s="1"/>
      <c r="U484" s="1"/>
      <c r="V484" s="9"/>
      <c r="W484" s="3"/>
      <c r="X484" s="4"/>
      <c r="Y484" s="1"/>
      <c r="Z484" s="1"/>
      <c r="AA484" s="1"/>
      <c r="AB484" s="1"/>
      <c r="AC484" s="1"/>
      <c r="AD484" s="3"/>
      <c r="AE484" s="3"/>
      <c r="AF484" s="5"/>
      <c r="AG484" s="5"/>
      <c r="AH484" s="5"/>
      <c r="AI484" s="5"/>
      <c r="AJ484" s="6"/>
      <c r="AK484" s="6"/>
      <c r="AL484" s="12"/>
      <c r="AM484" s="12"/>
      <c r="AN484" s="12"/>
      <c r="AO484" s="12"/>
      <c r="AP484" s="12"/>
    </row>
    <row r="485" spans="1:42" ht="15" x14ac:dyDescent="0.25">
      <c r="A485" s="82" t="str">
        <f>TDCTRIBE!I493</f>
        <v>Southwest</v>
      </c>
      <c r="B485" s="82" t="str">
        <f>TDCTRIBE!B493</f>
        <v>CA</v>
      </c>
      <c r="C485" s="82" t="str">
        <f>TDCTRIBE!F493</f>
        <v>Colorado River Indian Tribes</v>
      </c>
      <c r="D485" s="83">
        <f>TDCTRIBE!Y493</f>
        <v>352433.27076999994</v>
      </c>
      <c r="E485" s="83">
        <f>TDCTRIBE!Z493</f>
        <v>390706.21192399994</v>
      </c>
      <c r="F485" s="83">
        <f>TDCTRIBE!AA493</f>
        <v>443084.42824800004</v>
      </c>
      <c r="G485" s="83">
        <f>TDCTRIBE!AB493</f>
        <v>478433.77517599997</v>
      </c>
      <c r="H485" s="83">
        <f>TDCTRIBE!AC493</f>
        <v>515914.32278399996</v>
      </c>
      <c r="O485" s="9"/>
      <c r="P485" s="1"/>
      <c r="Q485" s="1"/>
      <c r="R485" s="1"/>
      <c r="S485" s="1"/>
      <c r="T485" s="1"/>
      <c r="U485" s="1"/>
      <c r="V485" s="9"/>
      <c r="W485" s="3"/>
      <c r="X485" s="4"/>
      <c r="Y485" s="1"/>
      <c r="Z485" s="1"/>
      <c r="AA485" s="1"/>
      <c r="AB485" s="1"/>
      <c r="AC485" s="1"/>
      <c r="AD485" s="3"/>
      <c r="AE485" s="3"/>
      <c r="AF485" s="5"/>
      <c r="AG485" s="5"/>
      <c r="AH485" s="5"/>
      <c r="AI485" s="5"/>
      <c r="AJ485" s="6"/>
      <c r="AK485" s="6"/>
      <c r="AL485" s="12"/>
      <c r="AM485" s="12"/>
      <c r="AN485" s="12"/>
      <c r="AO485" s="12"/>
      <c r="AP485" s="12"/>
    </row>
    <row r="486" spans="1:42" ht="15" x14ac:dyDescent="0.25">
      <c r="A486" s="82" t="str">
        <f>TDCTRIBE!I494</f>
        <v>Southwest</v>
      </c>
      <c r="B486" s="82" t="str">
        <f>TDCTRIBE!B494</f>
        <v>CA</v>
      </c>
      <c r="C486" s="82" t="str">
        <f>TDCTRIBE!F494</f>
        <v>Colusa Rancheria</v>
      </c>
      <c r="D486" s="83">
        <f>TDCTRIBE!Y494</f>
        <v>383354.01027000003</v>
      </c>
      <c r="E486" s="83">
        <f>TDCTRIBE!Z494</f>
        <v>423462.94817400002</v>
      </c>
      <c r="F486" s="83">
        <f>TDCTRIBE!AA494</f>
        <v>479752.63482300006</v>
      </c>
      <c r="G486" s="83">
        <f>TDCTRIBE!AB494</f>
        <v>519556.77702600003</v>
      </c>
      <c r="H486" s="83">
        <f>TDCTRIBE!AC494</f>
        <v>560078.60903400008</v>
      </c>
      <c r="O486" s="9"/>
      <c r="P486" s="1"/>
      <c r="Q486" s="1"/>
      <c r="R486" s="1"/>
      <c r="S486" s="1"/>
      <c r="T486" s="1"/>
      <c r="U486" s="1"/>
      <c r="V486" s="9"/>
      <c r="W486" s="3"/>
      <c r="X486" s="4"/>
      <c r="Y486" s="1"/>
      <c r="Z486" s="1"/>
      <c r="AA486" s="1"/>
      <c r="AB486" s="1"/>
      <c r="AC486" s="1"/>
      <c r="AD486" s="3"/>
      <c r="AE486" s="3"/>
      <c r="AF486" s="5"/>
      <c r="AG486" s="5"/>
      <c r="AH486" s="5"/>
      <c r="AI486" s="5"/>
      <c r="AJ486" s="6"/>
      <c r="AK486" s="6"/>
      <c r="AL486" s="12"/>
      <c r="AM486" s="12"/>
      <c r="AN486" s="12"/>
      <c r="AO486" s="12"/>
      <c r="AP486" s="12"/>
    </row>
    <row r="487" spans="1:42" ht="15" x14ac:dyDescent="0.25">
      <c r="A487" s="82" t="str">
        <f>TDCTRIBE!I495</f>
        <v>Southwest</v>
      </c>
      <c r="B487" s="82" t="str">
        <f>TDCTRIBE!B495</f>
        <v>CA</v>
      </c>
      <c r="C487" s="82" t="str">
        <f>TDCTRIBE!F495</f>
        <v>Cortina Rancheria</v>
      </c>
      <c r="D487" s="83">
        <f>TDCTRIBE!Y495</f>
        <v>390057.86126999999</v>
      </c>
      <c r="E487" s="83">
        <f>TDCTRIBE!Z495</f>
        <v>430765.891374</v>
      </c>
      <c r="F487" s="83">
        <f>TDCTRIBE!AA495</f>
        <v>487874.07122300001</v>
      </c>
      <c r="G487" s="83">
        <f>TDCTRIBE!AB495</f>
        <v>528268.88882599992</v>
      </c>
      <c r="H487" s="83">
        <f>TDCTRIBE!AC495</f>
        <v>569455.64523400005</v>
      </c>
      <c r="O487" s="9"/>
      <c r="P487" s="1"/>
      <c r="Q487" s="1"/>
      <c r="R487" s="1"/>
      <c r="S487" s="1"/>
      <c r="T487" s="1"/>
      <c r="U487" s="1"/>
      <c r="V487" s="9"/>
      <c r="W487" s="3"/>
      <c r="X487" s="4"/>
      <c r="Y487" s="1"/>
      <c r="Z487" s="1"/>
      <c r="AA487" s="1"/>
      <c r="AB487" s="1"/>
      <c r="AC487" s="1"/>
      <c r="AD487" s="3"/>
      <c r="AE487" s="3"/>
      <c r="AF487" s="5"/>
      <c r="AG487" s="5"/>
      <c r="AH487" s="5"/>
      <c r="AI487" s="5"/>
      <c r="AJ487" s="6"/>
      <c r="AK487" s="6"/>
      <c r="AL487" s="12"/>
      <c r="AM487" s="12"/>
      <c r="AN487" s="12"/>
      <c r="AO487" s="12"/>
      <c r="AP487" s="12"/>
    </row>
    <row r="488" spans="1:42" ht="15" x14ac:dyDescent="0.25">
      <c r="A488" s="82" t="str">
        <f>TDCTRIBE!I496</f>
        <v>Southwest</v>
      </c>
      <c r="B488" s="82" t="str">
        <f>TDCTRIBE!B496</f>
        <v>CA</v>
      </c>
      <c r="C488" s="82" t="str">
        <f>TDCTRIBE!F496</f>
        <v>Coyote Valley Band</v>
      </c>
      <c r="D488" s="83">
        <f>TDCTRIBE!Y496</f>
        <v>395085.74952000001</v>
      </c>
      <c r="E488" s="83">
        <f>TDCTRIBE!Z496</f>
        <v>436243.09877399995</v>
      </c>
      <c r="F488" s="83">
        <f>TDCTRIBE!AA496</f>
        <v>493965.14852300007</v>
      </c>
      <c r="G488" s="83">
        <f>TDCTRIBE!AB496</f>
        <v>534802.97267599998</v>
      </c>
      <c r="H488" s="83">
        <f>TDCTRIBE!AC496</f>
        <v>576488.42238400003</v>
      </c>
      <c r="O488" s="9"/>
      <c r="P488" s="1"/>
      <c r="Q488" s="1"/>
      <c r="R488" s="1"/>
      <c r="S488" s="1"/>
      <c r="T488" s="1"/>
      <c r="U488" s="1"/>
      <c r="V488" s="9"/>
      <c r="W488" s="3"/>
      <c r="X488" s="4"/>
      <c r="Y488" s="1"/>
      <c r="Z488" s="1"/>
      <c r="AA488" s="1"/>
      <c r="AB488" s="1"/>
      <c r="AC488" s="1"/>
      <c r="AD488" s="3"/>
      <c r="AE488" s="3"/>
      <c r="AF488" s="5"/>
      <c r="AG488" s="5"/>
      <c r="AH488" s="5"/>
      <c r="AI488" s="5"/>
      <c r="AJ488" s="6"/>
      <c r="AK488" s="6"/>
      <c r="AL488" s="12"/>
      <c r="AM488" s="12"/>
      <c r="AN488" s="12"/>
      <c r="AO488" s="12"/>
      <c r="AP488" s="12"/>
    </row>
    <row r="489" spans="1:42" ht="15" x14ac:dyDescent="0.25">
      <c r="A489" s="82" t="str">
        <f>TDCTRIBE!I497</f>
        <v>Southwest</v>
      </c>
      <c r="B489" s="82" t="str">
        <f>TDCTRIBE!B497</f>
        <v>CA</v>
      </c>
      <c r="C489" s="82" t="str">
        <f>TDCTRIBE!F497</f>
        <v>Cuyapaipe Community</v>
      </c>
      <c r="D489" s="83">
        <f>TDCTRIBE!Y497</f>
        <v>340558.31309499999</v>
      </c>
      <c r="E489" s="83">
        <f>TDCTRIBE!Z497</f>
        <v>377504.28923900001</v>
      </c>
      <c r="F489" s="83">
        <f>TDCTRIBE!AA497</f>
        <v>428052.34695300006</v>
      </c>
      <c r="G489" s="83">
        <f>TDCTRIBE!AB497</f>
        <v>462168.18863599998</v>
      </c>
      <c r="H489" s="83">
        <f>TDCTRIBE!AC497</f>
        <v>498370.60442400002</v>
      </c>
      <c r="O489" s="9"/>
      <c r="P489" s="1"/>
      <c r="Q489" s="1"/>
      <c r="R489" s="1"/>
      <c r="S489" s="1"/>
      <c r="T489" s="1"/>
      <c r="U489" s="1"/>
      <c r="V489" s="9"/>
      <c r="W489" s="3"/>
      <c r="X489" s="4"/>
      <c r="Y489" s="1"/>
      <c r="Z489" s="1"/>
      <c r="AA489" s="1"/>
      <c r="AB489" s="1"/>
      <c r="AC489" s="1"/>
      <c r="AD489" s="3"/>
      <c r="AE489" s="3"/>
      <c r="AF489" s="5"/>
      <c r="AG489" s="5"/>
      <c r="AH489" s="5"/>
      <c r="AI489" s="5"/>
      <c r="AJ489" s="6"/>
      <c r="AK489" s="6"/>
      <c r="AL489" s="12"/>
      <c r="AM489" s="12"/>
      <c r="AN489" s="12"/>
      <c r="AO489" s="12"/>
      <c r="AP489" s="12"/>
    </row>
    <row r="490" spans="1:42" ht="15" x14ac:dyDescent="0.25">
      <c r="A490" s="82" t="str">
        <f>TDCTRIBE!I498</f>
        <v>Southwest</v>
      </c>
      <c r="B490" s="82" t="str">
        <f>TDCTRIBE!B498</f>
        <v>CA</v>
      </c>
      <c r="C490" s="82" t="str">
        <f>TDCTRIBE!F498</f>
        <v>Death Valley Timba-Sha</v>
      </c>
      <c r="D490" s="83">
        <f>TDCTRIBE!Y498</f>
        <v>371622.27102000004</v>
      </c>
      <c r="E490" s="83">
        <f>TDCTRIBE!Z498</f>
        <v>410682.79757399991</v>
      </c>
      <c r="F490" s="83">
        <f>TDCTRIBE!AA498</f>
        <v>465540.12112300005</v>
      </c>
      <c r="G490" s="83">
        <f>TDCTRIBE!AB498</f>
        <v>504310.58137600002</v>
      </c>
      <c r="H490" s="83">
        <f>TDCTRIBE!AC498</f>
        <v>543668.7956839999</v>
      </c>
      <c r="O490" s="9"/>
      <c r="P490" s="1"/>
      <c r="Q490" s="1"/>
      <c r="R490" s="1"/>
      <c r="S490" s="1"/>
      <c r="T490" s="1"/>
      <c r="U490" s="1"/>
      <c r="V490" s="9"/>
      <c r="W490" s="3"/>
      <c r="X490" s="4"/>
      <c r="Y490" s="1"/>
      <c r="Z490" s="1"/>
      <c r="AA490" s="1"/>
      <c r="AB490" s="1"/>
      <c r="AC490" s="1"/>
      <c r="AD490" s="3"/>
      <c r="AE490" s="3"/>
      <c r="AF490" s="5"/>
      <c r="AG490" s="5"/>
      <c r="AH490" s="5"/>
      <c r="AI490" s="5"/>
      <c r="AJ490" s="6"/>
      <c r="AK490" s="6"/>
      <c r="AL490" s="12"/>
      <c r="AM490" s="12"/>
      <c r="AN490" s="12"/>
      <c r="AO490" s="12"/>
      <c r="AP490" s="12"/>
    </row>
    <row r="491" spans="1:42" ht="15" x14ac:dyDescent="0.25">
      <c r="A491" s="82" t="str">
        <f>TDCTRIBE!I499</f>
        <v>Southwest</v>
      </c>
      <c r="B491" s="82" t="str">
        <f>TDCTRIBE!B499</f>
        <v>CA</v>
      </c>
      <c r="C491" s="82" t="str">
        <f>TDCTRIBE!F499</f>
        <v>Dry Creek Rancheria</v>
      </c>
      <c r="D491" s="83">
        <f>TDCTRIBE!Y499</f>
        <v>399567.02362500003</v>
      </c>
      <c r="E491" s="83">
        <f>TDCTRIBE!Z499</f>
        <v>441268.704975</v>
      </c>
      <c r="F491" s="83">
        <f>TDCTRIBE!AA499</f>
        <v>499771.12088750006</v>
      </c>
      <c r="G491" s="83">
        <f>TDCTRIBE!AB499</f>
        <v>541151.99127499992</v>
      </c>
      <c r="H491" s="83">
        <f>TDCTRIBE!AC499</f>
        <v>583343.36147500016</v>
      </c>
      <c r="O491" s="9"/>
      <c r="P491" s="1"/>
      <c r="Q491" s="1"/>
      <c r="R491" s="1"/>
      <c r="S491" s="1"/>
      <c r="T491" s="1"/>
      <c r="U491" s="1"/>
      <c r="V491" s="9"/>
      <c r="W491" s="3"/>
      <c r="X491" s="4"/>
      <c r="Y491" s="1"/>
      <c r="Z491" s="1"/>
      <c r="AA491" s="1"/>
      <c r="AB491" s="1"/>
      <c r="AC491" s="1"/>
      <c r="AD491" s="3"/>
      <c r="AE491" s="3"/>
      <c r="AF491" s="5"/>
      <c r="AG491" s="5"/>
      <c r="AH491" s="5"/>
      <c r="AI491" s="5"/>
      <c r="AJ491" s="6"/>
      <c r="AK491" s="6"/>
      <c r="AL491" s="12"/>
      <c r="AM491" s="12"/>
      <c r="AN491" s="12"/>
      <c r="AO491" s="12"/>
      <c r="AP491" s="12"/>
    </row>
    <row r="492" spans="1:42" ht="15" x14ac:dyDescent="0.25">
      <c r="A492" s="82" t="str">
        <f>TDCTRIBE!I500</f>
        <v>Southwest</v>
      </c>
      <c r="B492" s="82" t="str">
        <f>TDCTRIBE!B500</f>
        <v>CA</v>
      </c>
      <c r="C492" s="82" t="str">
        <f>TDCTRIBE!F500</f>
        <v>Elk Valley Rancheria</v>
      </c>
      <c r="D492" s="83">
        <f>TDCTRIBE!Y500</f>
        <v>390057.86126999999</v>
      </c>
      <c r="E492" s="83">
        <f>TDCTRIBE!Z500</f>
        <v>430765.891374</v>
      </c>
      <c r="F492" s="83">
        <f>TDCTRIBE!AA500</f>
        <v>487874.07122300001</v>
      </c>
      <c r="G492" s="83">
        <f>TDCTRIBE!AB500</f>
        <v>528268.88882599992</v>
      </c>
      <c r="H492" s="83">
        <f>TDCTRIBE!AC500</f>
        <v>569455.64523400005</v>
      </c>
      <c r="O492" s="9"/>
      <c r="P492" s="1"/>
      <c r="Q492" s="1"/>
      <c r="R492" s="1"/>
      <c r="S492" s="1"/>
      <c r="T492" s="1"/>
      <c r="U492" s="1"/>
      <c r="V492" s="9"/>
      <c r="W492" s="3"/>
      <c r="X492" s="4"/>
      <c r="Y492" s="1"/>
      <c r="Z492" s="1"/>
      <c r="AA492" s="1"/>
      <c r="AB492" s="1"/>
      <c r="AC492" s="1"/>
      <c r="AD492" s="3"/>
      <c r="AE492" s="3"/>
      <c r="AF492" s="5"/>
      <c r="AG492" s="5"/>
      <c r="AH492" s="5"/>
      <c r="AI492" s="5"/>
      <c r="AJ492" s="6"/>
      <c r="AK492" s="6"/>
      <c r="AL492" s="12"/>
      <c r="AM492" s="12"/>
      <c r="AN492" s="12"/>
      <c r="AO492" s="12"/>
      <c r="AP492" s="12"/>
    </row>
    <row r="493" spans="1:42" ht="15" x14ac:dyDescent="0.25">
      <c r="A493" s="82" t="str">
        <f>TDCTRIBE!I501</f>
        <v>Southwest</v>
      </c>
      <c r="B493" s="82" t="str">
        <f>TDCTRIBE!B501</f>
        <v>CA</v>
      </c>
      <c r="C493" s="82" t="str">
        <f>TDCTRIBE!F501</f>
        <v>Enterprise Rancheria</v>
      </c>
      <c r="D493" s="83">
        <f>TDCTRIBE!Y501</f>
        <v>383354.01027000003</v>
      </c>
      <c r="E493" s="83">
        <f>TDCTRIBE!Z501</f>
        <v>423462.94817400002</v>
      </c>
      <c r="F493" s="83">
        <f>TDCTRIBE!AA501</f>
        <v>479752.63482300006</v>
      </c>
      <c r="G493" s="83">
        <f>TDCTRIBE!AB501</f>
        <v>519556.77702600003</v>
      </c>
      <c r="H493" s="83">
        <f>TDCTRIBE!AC501</f>
        <v>560078.60903400008</v>
      </c>
      <c r="O493" s="9"/>
      <c r="P493" s="1"/>
      <c r="Q493" s="1"/>
      <c r="R493" s="1"/>
      <c r="S493" s="1"/>
      <c r="T493" s="1"/>
      <c r="U493" s="1"/>
      <c r="V493" s="9"/>
      <c r="W493" s="3"/>
      <c r="X493" s="4"/>
      <c r="Y493" s="1"/>
      <c r="Z493" s="1"/>
      <c r="AA493" s="1"/>
      <c r="AB493" s="1"/>
      <c r="AC493" s="1"/>
      <c r="AD493" s="3"/>
      <c r="AE493" s="3"/>
      <c r="AF493" s="5"/>
      <c r="AG493" s="5"/>
      <c r="AH493" s="5"/>
      <c r="AI493" s="5"/>
      <c r="AJ493" s="6"/>
      <c r="AK493" s="6"/>
      <c r="AL493" s="12"/>
      <c r="AM493" s="12"/>
      <c r="AN493" s="12"/>
      <c r="AO493" s="12"/>
      <c r="AP493" s="12"/>
    </row>
    <row r="494" spans="1:42" ht="15" x14ac:dyDescent="0.25">
      <c r="A494" s="82" t="str">
        <f>TDCTRIBE!I502</f>
        <v>Southwest</v>
      </c>
      <c r="B494" s="82" t="str">
        <f>TDCTRIBE!B502</f>
        <v>CA</v>
      </c>
      <c r="C494" s="82" t="str">
        <f>TDCTRIBE!F502</f>
        <v>Fort Bidwell</v>
      </c>
      <c r="D494" s="83">
        <f>TDCTRIBE!Y502</f>
        <v>382589.07109500002</v>
      </c>
      <c r="E494" s="83">
        <f>TDCTRIBE!Z502</f>
        <v>422389.88103899994</v>
      </c>
      <c r="F494" s="83">
        <f>TDCTRIBE!AA502</f>
        <v>478197.45061550004</v>
      </c>
      <c r="G494" s="83">
        <f>TDCTRIBE!AB502</f>
        <v>517687.19116099994</v>
      </c>
      <c r="H494" s="83">
        <f>TDCTRIBE!AC502</f>
        <v>558030.74674900004</v>
      </c>
      <c r="O494" s="9"/>
      <c r="P494" s="1"/>
      <c r="Q494" s="1"/>
      <c r="R494" s="1"/>
      <c r="S494" s="1"/>
      <c r="T494" s="1"/>
      <c r="U494" s="1"/>
      <c r="V494" s="9"/>
      <c r="W494" s="3"/>
      <c r="X494" s="4"/>
      <c r="Y494" s="1"/>
      <c r="Z494" s="1"/>
      <c r="AA494" s="1"/>
      <c r="AB494" s="1"/>
      <c r="AC494" s="1"/>
      <c r="AD494" s="3"/>
      <c r="AE494" s="3"/>
      <c r="AF494" s="5"/>
      <c r="AG494" s="5"/>
      <c r="AH494" s="5"/>
      <c r="AI494" s="5"/>
      <c r="AJ494" s="6"/>
      <c r="AK494" s="6"/>
      <c r="AL494" s="12"/>
      <c r="AM494" s="12"/>
      <c r="AN494" s="12"/>
      <c r="AO494" s="12"/>
      <c r="AP494" s="12"/>
    </row>
    <row r="495" spans="1:42" ht="15" x14ac:dyDescent="0.25">
      <c r="A495" s="82" t="str">
        <f>TDCTRIBE!I503</f>
        <v>Southwest</v>
      </c>
      <c r="B495" s="82" t="str">
        <f>TDCTRIBE!B503</f>
        <v>CA</v>
      </c>
      <c r="C495" s="82" t="str">
        <f>TDCTRIBE!F503</f>
        <v>Fort Independence</v>
      </c>
      <c r="D495" s="83">
        <f>TDCTRIBE!Y503</f>
        <v>371622.27102000004</v>
      </c>
      <c r="E495" s="83">
        <f>TDCTRIBE!Z503</f>
        <v>410682.79757399991</v>
      </c>
      <c r="F495" s="83">
        <f>TDCTRIBE!AA503</f>
        <v>465540.12112300005</v>
      </c>
      <c r="G495" s="83">
        <f>TDCTRIBE!AB503</f>
        <v>504310.58137600002</v>
      </c>
      <c r="H495" s="83">
        <f>TDCTRIBE!AC503</f>
        <v>543668.7956839999</v>
      </c>
      <c r="O495" s="9"/>
      <c r="P495" s="1"/>
      <c r="Q495" s="1"/>
      <c r="R495" s="1"/>
      <c r="S495" s="1"/>
      <c r="T495" s="1"/>
      <c r="U495" s="1"/>
      <c r="V495" s="9"/>
      <c r="W495" s="3"/>
      <c r="X495" s="4"/>
      <c r="Y495" s="1"/>
      <c r="Z495" s="1"/>
      <c r="AA495" s="1"/>
      <c r="AB495" s="1"/>
      <c r="AC495" s="1"/>
      <c r="AD495" s="3"/>
      <c r="AE495" s="3"/>
      <c r="AF495" s="5"/>
      <c r="AG495" s="5"/>
      <c r="AH495" s="5"/>
      <c r="AI495" s="5"/>
      <c r="AJ495" s="6"/>
      <c r="AK495" s="6"/>
      <c r="AL495" s="12"/>
      <c r="AM495" s="12"/>
      <c r="AN495" s="12"/>
      <c r="AO495" s="12"/>
      <c r="AP495" s="12"/>
    </row>
    <row r="496" spans="1:42" ht="15" x14ac:dyDescent="0.25">
      <c r="A496" s="82" t="str">
        <f>TDCTRIBE!I504</f>
        <v>Southwest</v>
      </c>
      <c r="B496" s="82" t="str">
        <f>TDCTRIBE!B504</f>
        <v>CA</v>
      </c>
      <c r="C496" s="82" t="str">
        <f>TDCTRIBE!F504</f>
        <v>Graton Rancheria</v>
      </c>
      <c r="D496" s="83">
        <f>TDCTRIBE!Y504</f>
        <v>424013.76632999995</v>
      </c>
      <c r="E496" s="83">
        <f>TDCTRIBE!Z504</f>
        <v>468523.539246</v>
      </c>
      <c r="F496" s="83">
        <f>TDCTRIBE!AA504</f>
        <v>525625.96270100004</v>
      </c>
      <c r="G496" s="83">
        <f>TDCTRIBE!AB504</f>
        <v>569298.390962</v>
      </c>
      <c r="H496" s="83">
        <f>TDCTRIBE!AC504</f>
        <v>613710.6282579999</v>
      </c>
      <c r="O496" s="9"/>
      <c r="P496" s="1"/>
      <c r="Q496" s="1"/>
      <c r="R496" s="1"/>
      <c r="S496" s="1"/>
      <c r="T496" s="1"/>
      <c r="U496" s="1"/>
      <c r="V496" s="9"/>
      <c r="W496" s="3"/>
      <c r="X496" s="4"/>
      <c r="Y496" s="1"/>
      <c r="Z496" s="1"/>
      <c r="AA496" s="1"/>
      <c r="AB496" s="1"/>
      <c r="AC496" s="1"/>
      <c r="AD496" s="3"/>
      <c r="AE496" s="3"/>
      <c r="AF496" s="5"/>
      <c r="AG496" s="5"/>
      <c r="AH496" s="5"/>
      <c r="AI496" s="5"/>
      <c r="AJ496" s="6"/>
      <c r="AK496" s="6"/>
      <c r="AL496" s="12"/>
      <c r="AM496" s="12"/>
      <c r="AN496" s="12"/>
      <c r="AO496" s="12"/>
      <c r="AP496" s="12"/>
    </row>
    <row r="497" spans="1:42" ht="15" x14ac:dyDescent="0.25">
      <c r="A497" s="82" t="str">
        <f>TDCTRIBE!I505</f>
        <v>Southwest</v>
      </c>
      <c r="B497" s="82" t="str">
        <f>TDCTRIBE!B505</f>
        <v>CA</v>
      </c>
      <c r="C497" s="82" t="str">
        <f>TDCTRIBE!F505</f>
        <v>Greenville Rancheria</v>
      </c>
      <c r="D497" s="83">
        <f>TDCTRIBE!Y505</f>
        <v>383354.01027000003</v>
      </c>
      <c r="E497" s="83">
        <f>TDCTRIBE!Z505</f>
        <v>423462.94817400002</v>
      </c>
      <c r="F497" s="83">
        <f>TDCTRIBE!AA505</f>
        <v>479752.63482300006</v>
      </c>
      <c r="G497" s="83">
        <f>TDCTRIBE!AB505</f>
        <v>519556.77702600003</v>
      </c>
      <c r="H497" s="83">
        <f>TDCTRIBE!AC505</f>
        <v>560078.60903400008</v>
      </c>
      <c r="O497" s="9"/>
      <c r="P497" s="1"/>
      <c r="Q497" s="1"/>
      <c r="R497" s="1"/>
      <c r="S497" s="1"/>
      <c r="T497" s="1"/>
      <c r="U497" s="1"/>
      <c r="V497" s="9"/>
      <c r="W497" s="3"/>
      <c r="X497" s="4"/>
      <c r="Y497" s="1"/>
      <c r="Z497" s="7"/>
      <c r="AA497" s="1"/>
      <c r="AB497" s="1"/>
      <c r="AC497" s="1"/>
      <c r="AD497" s="3"/>
      <c r="AE497" s="3"/>
      <c r="AF497" s="5"/>
      <c r="AG497" s="5"/>
      <c r="AH497" s="5"/>
      <c r="AI497" s="5"/>
      <c r="AJ497" s="6"/>
      <c r="AK497" s="6"/>
      <c r="AL497" s="12"/>
      <c r="AM497" s="12"/>
      <c r="AN497" s="12"/>
      <c r="AO497" s="12"/>
      <c r="AP497" s="12"/>
    </row>
    <row r="498" spans="1:42" ht="15" x14ac:dyDescent="0.25">
      <c r="A498" s="82" t="str">
        <f>TDCTRIBE!I506</f>
        <v>Southwest</v>
      </c>
      <c r="B498" s="82" t="str">
        <f>TDCTRIBE!B506</f>
        <v>CA</v>
      </c>
      <c r="C498" s="82" t="str">
        <f>TDCTRIBE!F506</f>
        <v>Grindstone Rancheria</v>
      </c>
      <c r="D498" s="83">
        <f>TDCTRIBE!Y506</f>
        <v>375885.220095</v>
      </c>
      <c r="E498" s="83">
        <f>TDCTRIBE!Z506</f>
        <v>415086.9378389999</v>
      </c>
      <c r="F498" s="83">
        <f>TDCTRIBE!AA506</f>
        <v>470076.01421550009</v>
      </c>
      <c r="G498" s="83">
        <f>TDCTRIBE!AB506</f>
        <v>508975.07936100004</v>
      </c>
      <c r="H498" s="83">
        <f>TDCTRIBE!AC506</f>
        <v>548653.71054899995</v>
      </c>
      <c r="O498" s="9"/>
      <c r="P498" s="1"/>
      <c r="Q498" s="1"/>
      <c r="R498" s="1"/>
      <c r="S498" s="1"/>
      <c r="T498" s="1"/>
      <c r="U498" s="1"/>
      <c r="V498" s="9"/>
      <c r="W498" s="3"/>
      <c r="X498" s="4"/>
      <c r="Y498" s="1"/>
      <c r="Z498" s="1"/>
      <c r="AA498" s="1"/>
      <c r="AB498" s="1"/>
      <c r="AC498" s="1"/>
      <c r="AD498" s="3"/>
      <c r="AE498" s="3"/>
      <c r="AF498" s="5"/>
      <c r="AG498" s="5"/>
      <c r="AH498" s="5"/>
      <c r="AI498" s="5"/>
      <c r="AJ498" s="6"/>
      <c r="AK498" s="6"/>
      <c r="AL498" s="12"/>
      <c r="AM498" s="12"/>
      <c r="AN498" s="12"/>
      <c r="AO498" s="12"/>
      <c r="AP498" s="12"/>
    </row>
    <row r="499" spans="1:42" ht="15" x14ac:dyDescent="0.25">
      <c r="A499" s="82" t="str">
        <f>TDCTRIBE!I507</f>
        <v>Southwest</v>
      </c>
      <c r="B499" s="82" t="str">
        <f>TDCTRIBE!B507</f>
        <v>CA</v>
      </c>
      <c r="C499" s="82" t="str">
        <f>TDCTRIBE!F507</f>
        <v>Guidiville Rancheria</v>
      </c>
      <c r="D499" s="83">
        <f>TDCTRIBE!Y507</f>
        <v>395085.74952000001</v>
      </c>
      <c r="E499" s="83">
        <f>TDCTRIBE!Z507</f>
        <v>436243.09877399995</v>
      </c>
      <c r="F499" s="83">
        <f>TDCTRIBE!AA507</f>
        <v>493965.14852300007</v>
      </c>
      <c r="G499" s="83">
        <f>TDCTRIBE!AB507</f>
        <v>534802.97267599998</v>
      </c>
      <c r="H499" s="83">
        <f>TDCTRIBE!AC507</f>
        <v>576488.42238400003</v>
      </c>
      <c r="O499" s="9"/>
      <c r="P499" s="1"/>
      <c r="Q499" s="1"/>
      <c r="R499" s="1"/>
      <c r="S499" s="1"/>
      <c r="T499" s="1"/>
      <c r="U499" s="1"/>
      <c r="V499" s="9"/>
      <c r="W499" s="3"/>
      <c r="X499" s="4"/>
      <c r="Y499" s="1"/>
      <c r="Z499" s="1"/>
      <c r="AA499" s="1"/>
      <c r="AB499" s="1"/>
      <c r="AC499" s="1"/>
      <c r="AD499" s="3"/>
      <c r="AE499" s="3"/>
      <c r="AF499" s="5"/>
      <c r="AG499" s="5"/>
      <c r="AH499" s="5"/>
      <c r="AI499" s="5"/>
      <c r="AJ499" s="6"/>
      <c r="AK499" s="6"/>
      <c r="AL499" s="12"/>
      <c r="AM499" s="12"/>
      <c r="AN499" s="12"/>
      <c r="AO499" s="12"/>
      <c r="AP499" s="12"/>
    </row>
    <row r="500" spans="1:42" ht="15" x14ac:dyDescent="0.25">
      <c r="A500" s="82" t="str">
        <f>TDCTRIBE!I508</f>
        <v>Southwest</v>
      </c>
      <c r="B500" s="82" t="str">
        <f>TDCTRIBE!B508</f>
        <v>CA</v>
      </c>
      <c r="C500" s="82" t="str">
        <f>TDCTRIBE!F508</f>
        <v>Hoopa Valley</v>
      </c>
      <c r="D500" s="83">
        <f>TDCTRIBE!Y508</f>
        <v>396032.89341000002</v>
      </c>
      <c r="E500" s="83">
        <f>TDCTRIBE!Z508</f>
        <v>437466.69964199996</v>
      </c>
      <c r="F500" s="83">
        <f>TDCTRIBE!AA508</f>
        <v>495615.36770900013</v>
      </c>
      <c r="G500" s="83">
        <f>TDCTRIBE!AB508</f>
        <v>536734.24695800012</v>
      </c>
      <c r="H500" s="83">
        <f>TDCTRIBE!AC508</f>
        <v>578595.56402199995</v>
      </c>
      <c r="O500" s="9"/>
      <c r="P500" s="1"/>
      <c r="Q500" s="1"/>
      <c r="R500" s="1"/>
      <c r="S500" s="1"/>
      <c r="T500" s="1"/>
      <c r="U500" s="1"/>
      <c r="V500" s="9"/>
      <c r="W500" s="3"/>
      <c r="X500" s="4"/>
      <c r="Y500" s="1"/>
      <c r="Z500" s="1"/>
      <c r="AA500" s="1"/>
      <c r="AB500" s="1"/>
      <c r="AC500" s="1"/>
      <c r="AD500" s="3"/>
      <c r="AE500" s="3"/>
      <c r="AF500" s="5"/>
      <c r="AG500" s="5"/>
      <c r="AH500" s="5"/>
      <c r="AI500" s="5"/>
      <c r="AJ500" s="6"/>
      <c r="AK500" s="6"/>
      <c r="AL500" s="12"/>
      <c r="AM500" s="12"/>
      <c r="AN500" s="12"/>
      <c r="AO500" s="12"/>
      <c r="AP500" s="12"/>
    </row>
    <row r="501" spans="1:42" ht="15" x14ac:dyDescent="0.25">
      <c r="A501" s="82" t="str">
        <f>TDCTRIBE!I509</f>
        <v>Southwest</v>
      </c>
      <c r="B501" s="82" t="str">
        <f>TDCTRIBE!B509</f>
        <v>CA</v>
      </c>
      <c r="C501" s="82" t="str">
        <f>TDCTRIBE!F509</f>
        <v>Hopland Rancheria</v>
      </c>
      <c r="D501" s="83">
        <f>TDCTRIBE!Y509</f>
        <v>395085.74952000001</v>
      </c>
      <c r="E501" s="83">
        <f>TDCTRIBE!Z509</f>
        <v>436243.09877399995</v>
      </c>
      <c r="F501" s="83">
        <f>TDCTRIBE!AA509</f>
        <v>493965.14852300007</v>
      </c>
      <c r="G501" s="83">
        <f>TDCTRIBE!AB509</f>
        <v>534802.97267599998</v>
      </c>
      <c r="H501" s="83">
        <f>TDCTRIBE!AC509</f>
        <v>576488.42238400003</v>
      </c>
      <c r="O501" s="9"/>
      <c r="P501" s="1"/>
      <c r="Q501" s="1"/>
      <c r="R501" s="1"/>
      <c r="S501" s="1"/>
      <c r="T501" s="1"/>
      <c r="U501" s="1"/>
      <c r="V501" s="9"/>
      <c r="W501" s="3"/>
      <c r="X501" s="4"/>
      <c r="Y501" s="1"/>
      <c r="Z501" s="1"/>
      <c r="AA501" s="1"/>
      <c r="AB501" s="1"/>
      <c r="AC501" s="1"/>
      <c r="AD501" s="3"/>
      <c r="AE501" s="3"/>
      <c r="AF501" s="5"/>
      <c r="AG501" s="5"/>
      <c r="AH501" s="5"/>
      <c r="AI501" s="5"/>
      <c r="AJ501" s="6"/>
      <c r="AK501" s="6"/>
      <c r="AL501" s="12"/>
      <c r="AM501" s="12"/>
      <c r="AN501" s="12"/>
      <c r="AO501" s="12"/>
      <c r="AP501" s="12"/>
    </row>
    <row r="502" spans="1:42" ht="15" x14ac:dyDescent="0.25">
      <c r="A502" s="82" t="str">
        <f>TDCTRIBE!I510</f>
        <v>Southwest</v>
      </c>
      <c r="B502" s="82" t="str">
        <f>TDCTRIBE!B510</f>
        <v>CA</v>
      </c>
      <c r="C502" s="82" t="str">
        <f>TDCTRIBE!F510</f>
        <v>Inaja Band</v>
      </c>
      <c r="D502" s="83">
        <f>TDCTRIBE!Y510</f>
        <v>340558.31309499999</v>
      </c>
      <c r="E502" s="83">
        <f>TDCTRIBE!Z510</f>
        <v>377504.28923900001</v>
      </c>
      <c r="F502" s="83">
        <f>TDCTRIBE!AA510</f>
        <v>428052.34695300006</v>
      </c>
      <c r="G502" s="83">
        <f>TDCTRIBE!AB510</f>
        <v>462168.18863599998</v>
      </c>
      <c r="H502" s="83">
        <f>TDCTRIBE!AC510</f>
        <v>498370.60442400002</v>
      </c>
      <c r="O502" s="9"/>
      <c r="P502" s="1"/>
      <c r="Q502" s="1"/>
      <c r="R502" s="1"/>
      <c r="S502" s="1"/>
      <c r="T502" s="1"/>
      <c r="U502" s="1"/>
      <c r="V502" s="9"/>
      <c r="W502" s="3"/>
      <c r="X502" s="4"/>
      <c r="Y502" s="1"/>
      <c r="Z502" s="1"/>
      <c r="AA502" s="1"/>
      <c r="AB502" s="1"/>
      <c r="AC502" s="1"/>
      <c r="AD502" s="3"/>
      <c r="AE502" s="3"/>
      <c r="AF502" s="5"/>
      <c r="AG502" s="5"/>
      <c r="AH502" s="5"/>
      <c r="AI502" s="5"/>
      <c r="AJ502" s="6"/>
      <c r="AK502" s="6"/>
      <c r="AL502" s="12"/>
      <c r="AM502" s="12"/>
      <c r="AN502" s="12"/>
      <c r="AO502" s="12"/>
      <c r="AP502" s="12"/>
    </row>
    <row r="503" spans="1:42" ht="15" x14ac:dyDescent="0.25">
      <c r="A503" s="82" t="str">
        <f>TDCTRIBE!I511</f>
        <v>Southwest</v>
      </c>
      <c r="B503" s="82" t="str">
        <f>TDCTRIBE!B511</f>
        <v>CA</v>
      </c>
      <c r="C503" s="82" t="str">
        <f>TDCTRIBE!F511</f>
        <v>Ione Band of Miwok Indians</v>
      </c>
      <c r="D503" s="83">
        <f>TDCTRIBE!Y511</f>
        <v>390057.86126999999</v>
      </c>
      <c r="E503" s="83">
        <f>TDCTRIBE!Z511</f>
        <v>430765.891374</v>
      </c>
      <c r="F503" s="83">
        <f>TDCTRIBE!AA511</f>
        <v>487874.07122300001</v>
      </c>
      <c r="G503" s="83">
        <f>TDCTRIBE!AB511</f>
        <v>528268.88882599992</v>
      </c>
      <c r="H503" s="83">
        <f>TDCTRIBE!AC511</f>
        <v>569455.64523400005</v>
      </c>
      <c r="O503" s="9"/>
      <c r="P503" s="1"/>
      <c r="Q503" s="1"/>
      <c r="R503" s="1"/>
      <c r="S503" s="1"/>
      <c r="T503" s="1"/>
      <c r="U503" s="1"/>
      <c r="V503" s="9"/>
      <c r="W503" s="3"/>
      <c r="X503" s="4"/>
      <c r="Y503" s="1"/>
      <c r="Z503" s="1"/>
      <c r="AA503" s="1"/>
      <c r="AB503" s="1"/>
      <c r="AC503" s="1"/>
      <c r="AD503" s="3"/>
      <c r="AE503" s="3"/>
      <c r="AF503" s="5"/>
      <c r="AG503" s="5"/>
      <c r="AH503" s="5"/>
      <c r="AI503" s="5"/>
      <c r="AJ503" s="6"/>
      <c r="AK503" s="6"/>
      <c r="AL503" s="12"/>
      <c r="AM503" s="12"/>
      <c r="AN503" s="12"/>
      <c r="AO503" s="12"/>
      <c r="AP503" s="12"/>
    </row>
    <row r="504" spans="1:42" ht="15" x14ac:dyDescent="0.25">
      <c r="A504" s="82" t="str">
        <f>TDCTRIBE!I512</f>
        <v>Southwest</v>
      </c>
      <c r="B504" s="82" t="str">
        <f>TDCTRIBE!B512</f>
        <v>CA</v>
      </c>
      <c r="C504" s="82" t="str">
        <f>TDCTRIBE!F512</f>
        <v>Jackson Rancheria</v>
      </c>
      <c r="D504" s="83">
        <f>TDCTRIBE!Y512</f>
        <v>390057.86126999999</v>
      </c>
      <c r="E504" s="83">
        <f>TDCTRIBE!Z512</f>
        <v>430765.891374</v>
      </c>
      <c r="F504" s="83">
        <f>TDCTRIBE!AA512</f>
        <v>487874.07122300001</v>
      </c>
      <c r="G504" s="83">
        <f>TDCTRIBE!AB512</f>
        <v>528268.88882599992</v>
      </c>
      <c r="H504" s="83">
        <f>TDCTRIBE!AC512</f>
        <v>569455.64523400005</v>
      </c>
      <c r="O504" s="9"/>
      <c r="P504" s="1"/>
      <c r="Q504" s="1"/>
      <c r="R504" s="1"/>
      <c r="S504" s="1"/>
      <c r="T504" s="1"/>
      <c r="U504" s="1"/>
      <c r="V504" s="9"/>
      <c r="W504" s="3"/>
      <c r="X504" s="4"/>
      <c r="Y504" s="1"/>
      <c r="Z504" s="1"/>
      <c r="AA504" s="1"/>
      <c r="AB504" s="1"/>
      <c r="AC504" s="1"/>
      <c r="AD504" s="3"/>
      <c r="AE504" s="3"/>
      <c r="AF504" s="5"/>
      <c r="AG504" s="5"/>
      <c r="AH504" s="5"/>
      <c r="AI504" s="5"/>
      <c r="AJ504" s="6"/>
      <c r="AK504" s="6"/>
      <c r="AL504" s="12"/>
      <c r="AM504" s="12"/>
      <c r="AN504" s="12"/>
      <c r="AO504" s="12"/>
      <c r="AP504" s="12"/>
    </row>
    <row r="505" spans="1:42" ht="15" x14ac:dyDescent="0.25">
      <c r="A505" s="82" t="str">
        <f>TDCTRIBE!I513</f>
        <v>Southwest</v>
      </c>
      <c r="B505" s="82" t="str">
        <f>TDCTRIBE!B513</f>
        <v>CA</v>
      </c>
      <c r="C505" s="82" t="str">
        <f>TDCTRIBE!F513</f>
        <v>Jamul Indian Village</v>
      </c>
      <c r="D505" s="83">
        <f>TDCTRIBE!Y513</f>
        <v>340558.31309499999</v>
      </c>
      <c r="E505" s="83">
        <f>TDCTRIBE!Z513</f>
        <v>377504.28923900001</v>
      </c>
      <c r="F505" s="83">
        <f>TDCTRIBE!AA513</f>
        <v>428052.34695300006</v>
      </c>
      <c r="G505" s="83">
        <f>TDCTRIBE!AB513</f>
        <v>462168.18863599998</v>
      </c>
      <c r="H505" s="83">
        <f>TDCTRIBE!AC513</f>
        <v>498370.60442400002</v>
      </c>
      <c r="O505" s="9"/>
      <c r="P505" s="1"/>
      <c r="Q505" s="1"/>
      <c r="R505" s="1"/>
      <c r="S505" s="1"/>
      <c r="T505" s="1"/>
      <c r="U505" s="1"/>
      <c r="V505" s="9"/>
      <c r="W505" s="3"/>
      <c r="X505" s="4"/>
      <c r="Y505" s="1"/>
      <c r="Z505" s="1"/>
      <c r="AA505" s="1"/>
      <c r="AB505" s="1"/>
      <c r="AC505" s="1"/>
      <c r="AD505" s="3"/>
      <c r="AE505" s="3"/>
      <c r="AF505" s="5"/>
      <c r="AG505" s="5"/>
      <c r="AH505" s="5"/>
      <c r="AI505" s="5"/>
      <c r="AJ505" s="6"/>
      <c r="AK505" s="6"/>
      <c r="AL505" s="12"/>
      <c r="AM505" s="12"/>
      <c r="AN505" s="12"/>
      <c r="AO505" s="12"/>
      <c r="AP505" s="12"/>
    </row>
    <row r="506" spans="1:42" ht="15" x14ac:dyDescent="0.25">
      <c r="A506" s="82" t="str">
        <f>TDCTRIBE!I514</f>
        <v>Southwest</v>
      </c>
      <c r="B506" s="82" t="str">
        <f>TDCTRIBE!B514</f>
        <v>CA</v>
      </c>
      <c r="C506" s="82" t="str">
        <f>TDCTRIBE!F514</f>
        <v>Karuk</v>
      </c>
      <c r="D506" s="83">
        <f>TDCTRIBE!Y514</f>
        <v>396032.89341000002</v>
      </c>
      <c r="E506" s="83">
        <f>TDCTRIBE!Z514</f>
        <v>437466.69964199996</v>
      </c>
      <c r="F506" s="83">
        <f>TDCTRIBE!AA514</f>
        <v>495615.36770900013</v>
      </c>
      <c r="G506" s="83">
        <f>TDCTRIBE!AB514</f>
        <v>536734.24695800012</v>
      </c>
      <c r="H506" s="83">
        <f>TDCTRIBE!AC514</f>
        <v>578595.56402199995</v>
      </c>
      <c r="O506" s="9"/>
      <c r="P506" s="1"/>
      <c r="Q506" s="1"/>
      <c r="R506" s="1"/>
      <c r="S506" s="1"/>
      <c r="T506" s="1"/>
      <c r="U506" s="1"/>
      <c r="V506" s="9"/>
      <c r="W506" s="3"/>
      <c r="X506" s="4"/>
      <c r="Y506" s="1"/>
      <c r="Z506" s="1"/>
      <c r="AA506" s="1"/>
      <c r="AB506" s="1"/>
      <c r="AC506" s="1"/>
      <c r="AD506" s="3"/>
      <c r="AE506" s="3"/>
      <c r="AF506" s="5"/>
      <c r="AG506" s="5"/>
      <c r="AH506" s="5"/>
      <c r="AI506" s="5"/>
      <c r="AJ506" s="6"/>
      <c r="AK506" s="6"/>
      <c r="AL506" s="12"/>
      <c r="AM506" s="12"/>
      <c r="AN506" s="12"/>
      <c r="AO506" s="12"/>
      <c r="AP506" s="12"/>
    </row>
    <row r="507" spans="1:42" ht="15" x14ac:dyDescent="0.25">
      <c r="A507" s="82" t="str">
        <f>TDCTRIBE!I515</f>
        <v>Southwest</v>
      </c>
      <c r="B507" s="82" t="str">
        <f>TDCTRIBE!B515</f>
        <v>CA</v>
      </c>
      <c r="C507" s="82" t="str">
        <f>TDCTRIBE!F515</f>
        <v>La Jolla Band</v>
      </c>
      <c r="D507" s="83">
        <f>TDCTRIBE!Y515</f>
        <v>340558.31309499999</v>
      </c>
      <c r="E507" s="83">
        <f>TDCTRIBE!Z515</f>
        <v>377504.28923900001</v>
      </c>
      <c r="F507" s="83">
        <f>TDCTRIBE!AA515</f>
        <v>428052.34695300006</v>
      </c>
      <c r="G507" s="83">
        <f>TDCTRIBE!AB515</f>
        <v>462168.18863599998</v>
      </c>
      <c r="H507" s="83">
        <f>TDCTRIBE!AC515</f>
        <v>498370.60442400002</v>
      </c>
      <c r="O507" s="9"/>
      <c r="P507" s="1"/>
      <c r="Q507" s="1"/>
      <c r="R507" s="1"/>
      <c r="S507" s="1"/>
      <c r="T507" s="1"/>
      <c r="U507" s="1"/>
      <c r="V507" s="9"/>
      <c r="W507" s="3"/>
      <c r="X507" s="4"/>
      <c r="Y507" s="1"/>
      <c r="Z507" s="1"/>
      <c r="AA507" s="1"/>
      <c r="AB507" s="1"/>
      <c r="AC507" s="1"/>
      <c r="AD507" s="3"/>
      <c r="AE507" s="3"/>
      <c r="AF507" s="5"/>
      <c r="AG507" s="5"/>
      <c r="AH507" s="5"/>
      <c r="AI507" s="5"/>
      <c r="AJ507" s="6"/>
      <c r="AK507" s="6"/>
      <c r="AL507" s="12"/>
      <c r="AM507" s="12"/>
      <c r="AN507" s="12"/>
      <c r="AO507" s="12"/>
      <c r="AP507" s="12"/>
    </row>
    <row r="508" spans="1:42" ht="15" x14ac:dyDescent="0.25">
      <c r="A508" s="82" t="str">
        <f>TDCTRIBE!I516</f>
        <v>Southwest</v>
      </c>
      <c r="B508" s="82" t="str">
        <f>TDCTRIBE!B516</f>
        <v>CA</v>
      </c>
      <c r="C508" s="82" t="str">
        <f>TDCTRIBE!F516</f>
        <v>La Posta Band</v>
      </c>
      <c r="D508" s="83">
        <f>TDCTRIBE!Y516</f>
        <v>343708.27809500002</v>
      </c>
      <c r="E508" s="83">
        <f>TDCTRIBE!Z516</f>
        <v>380950.485139</v>
      </c>
      <c r="F508" s="83">
        <f>TDCTRIBE!AA516</f>
        <v>431886.60045300005</v>
      </c>
      <c r="G508" s="83">
        <f>TDCTRIBE!AB516</f>
        <v>466266.35263600003</v>
      </c>
      <c r="H508" s="83">
        <f>TDCTRIBE!AC516</f>
        <v>502785.05642399995</v>
      </c>
      <c r="O508" s="9"/>
      <c r="P508" s="1"/>
      <c r="Q508" s="1"/>
      <c r="R508" s="1"/>
      <c r="S508" s="1"/>
      <c r="T508" s="1"/>
      <c r="U508" s="1"/>
      <c r="V508" s="9"/>
      <c r="W508" s="3"/>
      <c r="X508" s="4"/>
      <c r="Y508" s="1"/>
      <c r="Z508" s="1"/>
      <c r="AA508" s="1"/>
      <c r="AB508" s="1"/>
      <c r="AC508" s="1"/>
      <c r="AD508" s="3"/>
      <c r="AE508" s="3"/>
      <c r="AF508" s="5"/>
      <c r="AG508" s="5"/>
      <c r="AH508" s="5"/>
      <c r="AI508" s="5"/>
      <c r="AJ508" s="6"/>
      <c r="AK508" s="6"/>
      <c r="AL508" s="12"/>
      <c r="AM508" s="12"/>
      <c r="AN508" s="12"/>
      <c r="AO508" s="12"/>
      <c r="AP508" s="12"/>
    </row>
    <row r="509" spans="1:42" ht="15" x14ac:dyDescent="0.25">
      <c r="A509" s="82" t="str">
        <f>TDCTRIBE!I517</f>
        <v>Southwest</v>
      </c>
      <c r="B509" s="82" t="str">
        <f>TDCTRIBE!B517</f>
        <v>CA</v>
      </c>
      <c r="C509" s="82" t="str">
        <f>TDCTRIBE!F517</f>
        <v>Laytonville Rancheria</v>
      </c>
      <c r="D509" s="83">
        <f>TDCTRIBE!Y517</f>
        <v>395085.74952000001</v>
      </c>
      <c r="E509" s="83">
        <f>TDCTRIBE!Z517</f>
        <v>436243.09877399995</v>
      </c>
      <c r="F509" s="83">
        <f>TDCTRIBE!AA517</f>
        <v>493965.14852300007</v>
      </c>
      <c r="G509" s="83">
        <f>TDCTRIBE!AB517</f>
        <v>534802.97267599998</v>
      </c>
      <c r="H509" s="83">
        <f>TDCTRIBE!AC517</f>
        <v>576488.42238400003</v>
      </c>
      <c r="O509" s="9"/>
      <c r="P509" s="1"/>
      <c r="Q509" s="1"/>
      <c r="R509" s="1"/>
      <c r="S509" s="1"/>
      <c r="T509" s="1"/>
      <c r="U509" s="1"/>
      <c r="V509" s="9"/>
      <c r="W509" s="3"/>
      <c r="X509" s="4"/>
      <c r="Y509" s="1"/>
      <c r="Z509" s="1"/>
      <c r="AA509" s="1"/>
      <c r="AB509" s="1"/>
      <c r="AC509" s="1"/>
      <c r="AD509" s="3"/>
      <c r="AE509" s="3"/>
      <c r="AF509" s="5"/>
      <c r="AG509" s="5"/>
      <c r="AH509" s="5"/>
      <c r="AI509" s="5"/>
      <c r="AJ509" s="6"/>
      <c r="AK509" s="6"/>
      <c r="AL509" s="12"/>
      <c r="AM509" s="12"/>
      <c r="AN509" s="12"/>
      <c r="AO509" s="12"/>
      <c r="AP509" s="12"/>
    </row>
    <row r="510" spans="1:42" ht="15" x14ac:dyDescent="0.25">
      <c r="A510" s="82" t="str">
        <f>TDCTRIBE!I518</f>
        <v>Southwest</v>
      </c>
      <c r="B510" s="82" t="str">
        <f>TDCTRIBE!B518</f>
        <v>CA</v>
      </c>
      <c r="C510" s="82" t="str">
        <f>TDCTRIBE!F518</f>
        <v>Lone Pine Paiute-Shoshone</v>
      </c>
      <c r="D510" s="83">
        <f>TDCTRIBE!Y518</f>
        <v>364153.48084500001</v>
      </c>
      <c r="E510" s="83">
        <f>TDCTRIBE!Z518</f>
        <v>402306.78723899997</v>
      </c>
      <c r="F510" s="83">
        <f>TDCTRIBE!AA518</f>
        <v>455863.50051550003</v>
      </c>
      <c r="G510" s="83">
        <f>TDCTRIBE!AB518</f>
        <v>493728.88371099991</v>
      </c>
      <c r="H510" s="83">
        <f>TDCTRIBE!AC518</f>
        <v>532243.897199</v>
      </c>
      <c r="O510" s="9"/>
      <c r="P510" s="1"/>
      <c r="Q510" s="1"/>
      <c r="R510" s="1"/>
      <c r="S510" s="1"/>
      <c r="T510" s="1"/>
      <c r="U510" s="1"/>
      <c r="V510" s="9"/>
      <c r="W510" s="3"/>
      <c r="X510" s="4"/>
      <c r="Y510" s="1"/>
      <c r="Z510" s="1"/>
      <c r="AA510" s="1"/>
      <c r="AB510" s="1"/>
      <c r="AC510" s="1"/>
      <c r="AD510" s="3"/>
      <c r="AE510" s="3"/>
      <c r="AF510" s="5"/>
      <c r="AG510" s="5"/>
      <c r="AH510" s="5"/>
      <c r="AI510" s="5"/>
      <c r="AJ510" s="6"/>
      <c r="AK510" s="6"/>
      <c r="AL510" s="12"/>
      <c r="AM510" s="12"/>
      <c r="AN510" s="12"/>
      <c r="AO510" s="12"/>
      <c r="AP510" s="12"/>
    </row>
    <row r="511" spans="1:42" ht="15" x14ac:dyDescent="0.25">
      <c r="A511" s="82" t="str">
        <f>TDCTRIBE!I519</f>
        <v>Southwest</v>
      </c>
      <c r="B511" s="82" t="str">
        <f>TDCTRIBE!B519</f>
        <v>CA</v>
      </c>
      <c r="C511" s="82" t="str">
        <f>TDCTRIBE!F519</f>
        <v>Los Coyotes Band of Cahuilla</v>
      </c>
      <c r="D511" s="83">
        <f>TDCTRIBE!Y519</f>
        <v>340558.31309499999</v>
      </c>
      <c r="E511" s="83">
        <f>TDCTRIBE!Z519</f>
        <v>377504.28923900001</v>
      </c>
      <c r="F511" s="83">
        <f>TDCTRIBE!AA519</f>
        <v>428052.34695300006</v>
      </c>
      <c r="G511" s="83">
        <f>TDCTRIBE!AB519</f>
        <v>462168.18863599998</v>
      </c>
      <c r="H511" s="83">
        <f>TDCTRIBE!AC519</f>
        <v>498370.60442400002</v>
      </c>
      <c r="O511" s="9"/>
      <c r="P511" s="1"/>
      <c r="Q511" s="1"/>
      <c r="R511" s="1"/>
      <c r="S511" s="1"/>
      <c r="T511" s="1"/>
      <c r="U511" s="1"/>
      <c r="V511" s="9"/>
      <c r="W511" s="3"/>
      <c r="X511" s="4"/>
      <c r="Y511" s="1"/>
      <c r="Z511" s="1"/>
      <c r="AA511" s="1"/>
      <c r="AB511" s="1"/>
      <c r="AC511" s="1"/>
      <c r="AD511" s="3"/>
      <c r="AE511" s="3"/>
      <c r="AF511" s="5"/>
      <c r="AG511" s="5"/>
      <c r="AH511" s="5"/>
      <c r="AI511" s="5"/>
      <c r="AJ511" s="6"/>
      <c r="AK511" s="6"/>
      <c r="AL511" s="12"/>
      <c r="AM511" s="12"/>
      <c r="AN511" s="12"/>
      <c r="AO511" s="12"/>
      <c r="AP511" s="12"/>
    </row>
    <row r="512" spans="1:42" ht="15" x14ac:dyDescent="0.25">
      <c r="A512" s="82" t="str">
        <f>TDCTRIBE!I520</f>
        <v>Southwest</v>
      </c>
      <c r="B512" s="82" t="str">
        <f>TDCTRIBE!B520</f>
        <v>CA</v>
      </c>
      <c r="C512" s="82" t="str">
        <f>TDCTRIBE!F520</f>
        <v>Lower Lake Rancheria</v>
      </c>
      <c r="D512" s="83">
        <f>TDCTRIBE!Y520</f>
        <v>399567.02362500003</v>
      </c>
      <c r="E512" s="83">
        <f>TDCTRIBE!Z520</f>
        <v>441268.704975</v>
      </c>
      <c r="F512" s="83">
        <f>TDCTRIBE!AA520</f>
        <v>494883.93876250007</v>
      </c>
      <c r="G512" s="83">
        <f>TDCTRIBE!AB520</f>
        <v>535807.69952500006</v>
      </c>
      <c r="H512" s="83">
        <f>TDCTRIBE!AC520</f>
        <v>577573.21072500001</v>
      </c>
      <c r="O512" s="9"/>
      <c r="P512" s="1"/>
      <c r="Q512" s="1"/>
      <c r="R512" s="1"/>
      <c r="S512" s="1"/>
      <c r="T512" s="1"/>
      <c r="U512" s="1"/>
      <c r="V512" s="9"/>
      <c r="W512" s="3"/>
      <c r="X512" s="4"/>
      <c r="Y512" s="1"/>
      <c r="Z512" s="1"/>
      <c r="AA512" s="1"/>
      <c r="AB512" s="1"/>
      <c r="AC512" s="1"/>
      <c r="AD512" s="3"/>
      <c r="AE512" s="3"/>
      <c r="AF512" s="5"/>
      <c r="AG512" s="5"/>
      <c r="AH512" s="5"/>
      <c r="AI512" s="5"/>
      <c r="AJ512" s="6"/>
      <c r="AK512" s="6"/>
      <c r="AL512" s="12"/>
      <c r="AM512" s="12"/>
      <c r="AN512" s="12"/>
      <c r="AO512" s="12"/>
      <c r="AP512" s="12"/>
    </row>
    <row r="513" spans="1:42" ht="15" x14ac:dyDescent="0.25">
      <c r="A513" s="82" t="str">
        <f>TDCTRIBE!I521</f>
        <v>Southwest</v>
      </c>
      <c r="B513" s="82" t="str">
        <f>TDCTRIBE!B521</f>
        <v>CA</v>
      </c>
      <c r="C513" s="82" t="str">
        <f>TDCTRIBE!F521</f>
        <v>Lytton Rancheria of California</v>
      </c>
      <c r="D513" s="83">
        <f>TDCTRIBE!Y521</f>
        <v>399567.02362500003</v>
      </c>
      <c r="E513" s="83">
        <f>TDCTRIBE!Z521</f>
        <v>441268.704975</v>
      </c>
      <c r="F513" s="83">
        <f>TDCTRIBE!AA521</f>
        <v>499771.12088750006</v>
      </c>
      <c r="G513" s="83">
        <f>TDCTRIBE!AB521</f>
        <v>541151.99127499992</v>
      </c>
      <c r="H513" s="83">
        <f>TDCTRIBE!AC521</f>
        <v>583343.36147500016</v>
      </c>
      <c r="O513" s="9"/>
      <c r="P513" s="1"/>
      <c r="Q513" s="1"/>
      <c r="R513" s="1"/>
      <c r="S513" s="1"/>
      <c r="T513" s="1"/>
      <c r="U513" s="1"/>
      <c r="V513" s="9"/>
      <c r="W513" s="3"/>
      <c r="X513" s="4"/>
      <c r="Y513" s="1"/>
      <c r="Z513" s="1"/>
      <c r="AA513" s="1"/>
      <c r="AB513" s="1"/>
      <c r="AC513" s="1"/>
      <c r="AD513" s="3"/>
      <c r="AE513" s="3"/>
      <c r="AF513" s="5"/>
      <c r="AG513" s="5"/>
      <c r="AH513" s="5"/>
      <c r="AI513" s="5"/>
      <c r="AJ513" s="6"/>
      <c r="AK513" s="6"/>
      <c r="AL513" s="12"/>
      <c r="AM513" s="12"/>
      <c r="AN513" s="12"/>
      <c r="AO513" s="12"/>
      <c r="AP513" s="12"/>
    </row>
    <row r="514" spans="1:42" ht="15" x14ac:dyDescent="0.25">
      <c r="A514" s="82" t="str">
        <f>TDCTRIBE!I522</f>
        <v>Southwest</v>
      </c>
      <c r="B514" s="82" t="str">
        <f>TDCTRIBE!B522</f>
        <v>CA</v>
      </c>
      <c r="C514" s="82" t="str">
        <f>TDCTRIBE!F522</f>
        <v>Manchester Point  Arena Rancheria</v>
      </c>
      <c r="D514" s="83">
        <f>TDCTRIBE!Y522</f>
        <v>395085.74952000001</v>
      </c>
      <c r="E514" s="83">
        <f>TDCTRIBE!Z522</f>
        <v>436243.09877399995</v>
      </c>
      <c r="F514" s="83">
        <f>TDCTRIBE!AA522</f>
        <v>493965.14852300007</v>
      </c>
      <c r="G514" s="83">
        <f>TDCTRIBE!AB522</f>
        <v>534802.97267599998</v>
      </c>
      <c r="H514" s="83">
        <f>TDCTRIBE!AC522</f>
        <v>576488.42238400003</v>
      </c>
      <c r="O514" s="9"/>
      <c r="P514" s="1"/>
      <c r="Q514" s="1"/>
      <c r="R514" s="1"/>
      <c r="S514" s="1"/>
      <c r="T514" s="1"/>
      <c r="U514" s="1"/>
      <c r="V514" s="9"/>
      <c r="W514" s="3"/>
      <c r="X514" s="4"/>
      <c r="Y514" s="1"/>
      <c r="Z514" s="1"/>
      <c r="AA514" s="1"/>
      <c r="AB514" s="1"/>
      <c r="AC514" s="1"/>
      <c r="AD514" s="3"/>
      <c r="AE514" s="3"/>
      <c r="AF514" s="5"/>
      <c r="AG514" s="5"/>
      <c r="AH514" s="5"/>
      <c r="AI514" s="5"/>
      <c r="AJ514" s="6"/>
      <c r="AK514" s="6"/>
      <c r="AL514" s="12"/>
      <c r="AM514" s="12"/>
      <c r="AN514" s="12"/>
      <c r="AO514" s="12"/>
      <c r="AP514" s="12"/>
    </row>
    <row r="515" spans="1:42" ht="15" x14ac:dyDescent="0.25">
      <c r="A515" s="82" t="str">
        <f>TDCTRIBE!I523</f>
        <v>Southwest</v>
      </c>
      <c r="B515" s="82" t="str">
        <f>TDCTRIBE!B523</f>
        <v>CA</v>
      </c>
      <c r="C515" s="82" t="str">
        <f>TDCTRIBE!F523</f>
        <v>Manzanita Band</v>
      </c>
      <c r="D515" s="83">
        <f>TDCTRIBE!Y523</f>
        <v>340558.31309499999</v>
      </c>
      <c r="E515" s="83">
        <f>TDCTRIBE!Z523</f>
        <v>377504.28923900001</v>
      </c>
      <c r="F515" s="83">
        <f>TDCTRIBE!AA523</f>
        <v>428052.34695300006</v>
      </c>
      <c r="G515" s="83">
        <f>TDCTRIBE!AB523</f>
        <v>462168.18863599998</v>
      </c>
      <c r="H515" s="83">
        <f>TDCTRIBE!AC523</f>
        <v>498370.60442400002</v>
      </c>
      <c r="O515" s="9"/>
      <c r="P515" s="1"/>
      <c r="Q515" s="1"/>
      <c r="R515" s="1"/>
      <c r="S515" s="1"/>
      <c r="T515" s="1"/>
      <c r="U515" s="1"/>
      <c r="V515" s="9"/>
      <c r="W515" s="3"/>
      <c r="X515" s="4"/>
      <c r="Y515" s="1"/>
      <c r="Z515" s="1"/>
      <c r="AA515" s="1"/>
      <c r="AB515" s="1"/>
      <c r="AC515" s="1"/>
      <c r="AD515" s="3"/>
      <c r="AE515" s="3"/>
      <c r="AF515" s="5"/>
      <c r="AG515" s="5"/>
      <c r="AH515" s="5"/>
      <c r="AI515" s="5"/>
      <c r="AJ515" s="6"/>
      <c r="AK515" s="6"/>
      <c r="AL515" s="12"/>
      <c r="AM515" s="12"/>
      <c r="AN515" s="12"/>
      <c r="AO515" s="12"/>
      <c r="AP515" s="12"/>
    </row>
    <row r="516" spans="1:42" ht="15" x14ac:dyDescent="0.25">
      <c r="A516" s="82" t="str">
        <f>TDCTRIBE!I524</f>
        <v>Southwest</v>
      </c>
      <c r="B516" s="82" t="str">
        <f>TDCTRIBE!B524</f>
        <v>CA</v>
      </c>
      <c r="C516" s="82" t="str">
        <f>TDCTRIBE!F524</f>
        <v>Mesa Grande Band</v>
      </c>
      <c r="D516" s="83">
        <f>TDCTRIBE!Y524</f>
        <v>340558.31309499999</v>
      </c>
      <c r="E516" s="83">
        <f>TDCTRIBE!Z524</f>
        <v>377504.28923900001</v>
      </c>
      <c r="F516" s="83">
        <f>TDCTRIBE!AA524</f>
        <v>428052.34695300006</v>
      </c>
      <c r="G516" s="83">
        <f>TDCTRIBE!AB524</f>
        <v>462168.18863599998</v>
      </c>
      <c r="H516" s="83">
        <f>TDCTRIBE!AC524</f>
        <v>498370.60442400002</v>
      </c>
      <c r="O516" s="9"/>
      <c r="P516" s="1"/>
      <c r="Q516" s="1"/>
      <c r="R516" s="1"/>
      <c r="S516" s="1"/>
      <c r="T516" s="1"/>
      <c r="U516" s="1"/>
      <c r="V516" s="9"/>
      <c r="W516" s="3"/>
      <c r="X516" s="4"/>
      <c r="Y516" s="1"/>
      <c r="Z516" s="1"/>
      <c r="AA516" s="1"/>
      <c r="AB516" s="1"/>
      <c r="AC516" s="1"/>
      <c r="AD516" s="3"/>
      <c r="AE516" s="3"/>
      <c r="AF516" s="5"/>
      <c r="AG516" s="5"/>
      <c r="AH516" s="5"/>
      <c r="AI516" s="5"/>
      <c r="AJ516" s="6"/>
      <c r="AK516" s="6"/>
      <c r="AL516" s="12"/>
      <c r="AM516" s="12"/>
      <c r="AN516" s="12"/>
      <c r="AO516" s="12"/>
      <c r="AP516" s="12"/>
    </row>
    <row r="517" spans="1:42" ht="15" x14ac:dyDescent="0.25">
      <c r="A517" s="82" t="str">
        <f>TDCTRIBE!I525</f>
        <v>Southwest</v>
      </c>
      <c r="B517" s="82" t="str">
        <f>TDCTRIBE!B525</f>
        <v>CA</v>
      </c>
      <c r="C517" s="82" t="str">
        <f>TDCTRIBE!F525</f>
        <v>Middletown Rancheria</v>
      </c>
      <c r="D517" s="83">
        <f>TDCTRIBE!Y525</f>
        <v>395085.74952000001</v>
      </c>
      <c r="E517" s="83">
        <f>TDCTRIBE!Z525</f>
        <v>436243.09877399995</v>
      </c>
      <c r="F517" s="83">
        <f>TDCTRIBE!AA525</f>
        <v>493965.14852300007</v>
      </c>
      <c r="G517" s="83">
        <f>TDCTRIBE!AB525</f>
        <v>534802.97267599998</v>
      </c>
      <c r="H517" s="83">
        <f>TDCTRIBE!AC525</f>
        <v>576488.42238400003</v>
      </c>
      <c r="O517" s="9"/>
      <c r="P517" s="1"/>
      <c r="Q517" s="1"/>
      <c r="R517" s="1"/>
      <c r="S517" s="1"/>
      <c r="T517" s="1"/>
      <c r="U517" s="1"/>
      <c r="V517" s="9"/>
      <c r="W517" s="3"/>
      <c r="X517" s="4"/>
      <c r="Y517" s="1"/>
      <c r="Z517" s="1"/>
      <c r="AA517" s="1"/>
      <c r="AB517" s="1"/>
      <c r="AC517" s="1"/>
      <c r="AD517" s="3"/>
      <c r="AE517" s="3"/>
      <c r="AF517" s="5"/>
      <c r="AG517" s="5"/>
      <c r="AH517" s="5"/>
      <c r="AI517" s="5"/>
      <c r="AJ517" s="6"/>
      <c r="AK517" s="6"/>
      <c r="AL517" s="12"/>
      <c r="AM517" s="12"/>
      <c r="AN517" s="12"/>
      <c r="AO517" s="12"/>
      <c r="AP517" s="12"/>
    </row>
    <row r="518" spans="1:42" ht="15" x14ac:dyDescent="0.25">
      <c r="A518" s="82" t="str">
        <f>TDCTRIBE!I526</f>
        <v>Southwest</v>
      </c>
      <c r="B518" s="82" t="str">
        <f>TDCTRIBE!B526</f>
        <v>CA</v>
      </c>
      <c r="C518" s="82" t="str">
        <f>TDCTRIBE!F526</f>
        <v>Mooretown Rancheria</v>
      </c>
      <c r="D518" s="83">
        <f>TDCTRIBE!Y526</f>
        <v>383354.01027000003</v>
      </c>
      <c r="E518" s="83">
        <f>TDCTRIBE!Z526</f>
        <v>423462.94817400002</v>
      </c>
      <c r="F518" s="83">
        <f>TDCTRIBE!AA526</f>
        <v>479752.63482300006</v>
      </c>
      <c r="G518" s="83">
        <f>TDCTRIBE!AB526</f>
        <v>519556.77702600003</v>
      </c>
      <c r="H518" s="83">
        <f>TDCTRIBE!AC526</f>
        <v>560078.60903400008</v>
      </c>
      <c r="O518" s="9"/>
      <c r="P518" s="1"/>
      <c r="Q518" s="1"/>
      <c r="R518" s="1"/>
      <c r="S518" s="1"/>
      <c r="T518" s="1"/>
      <c r="U518" s="1"/>
      <c r="V518" s="9"/>
      <c r="W518" s="3"/>
      <c r="X518" s="4"/>
      <c r="Y518" s="1"/>
      <c r="Z518" s="1"/>
      <c r="AA518" s="1"/>
      <c r="AB518" s="1"/>
      <c r="AC518" s="1"/>
      <c r="AD518" s="3"/>
      <c r="AE518" s="3"/>
      <c r="AF518" s="5"/>
      <c r="AG518" s="5"/>
      <c r="AH518" s="5"/>
      <c r="AI518" s="5"/>
      <c r="AJ518" s="6"/>
      <c r="AK518" s="6"/>
      <c r="AL518" s="12"/>
      <c r="AM518" s="12"/>
      <c r="AN518" s="12"/>
      <c r="AO518" s="12"/>
      <c r="AP518" s="12"/>
    </row>
    <row r="519" spans="1:42" ht="15" x14ac:dyDescent="0.25">
      <c r="A519" s="82" t="str">
        <f>TDCTRIBE!I527</f>
        <v>Southwest</v>
      </c>
      <c r="B519" s="82" t="str">
        <f>TDCTRIBE!B527</f>
        <v>CA</v>
      </c>
      <c r="C519" s="82" t="str">
        <f>TDCTRIBE!F527</f>
        <v>Morongo Band of Cahuilla</v>
      </c>
      <c r="D519" s="83">
        <f>TDCTRIBE!Y527</f>
        <v>350858.28826999996</v>
      </c>
      <c r="E519" s="83">
        <f>TDCTRIBE!Z527</f>
        <v>388983.11397400004</v>
      </c>
      <c r="F519" s="83">
        <f>TDCTRIBE!AA527</f>
        <v>441167.30149800004</v>
      </c>
      <c r="G519" s="83">
        <f>TDCTRIBE!AB527</f>
        <v>476384.69317600003</v>
      </c>
      <c r="H519" s="83">
        <f>TDCTRIBE!AC527</f>
        <v>513707.09678400005</v>
      </c>
      <c r="O519" s="9"/>
      <c r="P519" s="1"/>
      <c r="Q519" s="1"/>
      <c r="R519" s="1"/>
      <c r="S519" s="1"/>
      <c r="T519" s="1"/>
      <c r="U519" s="1"/>
      <c r="V519" s="9"/>
      <c r="W519" s="3"/>
      <c r="X519" s="4"/>
      <c r="Y519" s="1"/>
      <c r="Z519" s="1"/>
      <c r="AA519" s="1"/>
      <c r="AB519" s="1"/>
      <c r="AC519" s="1"/>
      <c r="AD519" s="3"/>
      <c r="AE519" s="3"/>
      <c r="AF519" s="5"/>
      <c r="AG519" s="5"/>
      <c r="AH519" s="5"/>
      <c r="AI519" s="5"/>
      <c r="AJ519" s="6"/>
      <c r="AK519" s="6"/>
      <c r="AL519" s="12"/>
      <c r="AM519" s="12"/>
      <c r="AN519" s="12"/>
      <c r="AO519" s="12"/>
      <c r="AP519" s="12"/>
    </row>
    <row r="520" spans="1:42" ht="15" x14ac:dyDescent="0.25">
      <c r="A520" s="82" t="str">
        <f>TDCTRIBE!I528</f>
        <v>Southwest</v>
      </c>
      <c r="B520" s="82" t="str">
        <f>TDCTRIBE!B528</f>
        <v>CA</v>
      </c>
      <c r="C520" s="82" t="str">
        <f>TDCTRIBE!F528</f>
        <v>North Fork Rancheria</v>
      </c>
      <c r="D520" s="83">
        <f>TDCTRIBE!Y528</f>
        <v>378326.12202000001</v>
      </c>
      <c r="E520" s="83">
        <f>TDCTRIBE!Z528</f>
        <v>417985.74077399995</v>
      </c>
      <c r="F520" s="83">
        <f>TDCTRIBE!AA528</f>
        <v>473661.557523</v>
      </c>
      <c r="G520" s="83">
        <f>TDCTRIBE!AB528</f>
        <v>513022.69317600003</v>
      </c>
      <c r="H520" s="83">
        <f>TDCTRIBE!AC528</f>
        <v>553045.83188399998</v>
      </c>
      <c r="O520" s="9"/>
      <c r="P520" s="1"/>
      <c r="Q520" s="1"/>
      <c r="R520" s="1"/>
      <c r="S520" s="1"/>
      <c r="T520" s="1"/>
      <c r="U520" s="1"/>
      <c r="V520" s="9"/>
      <c r="W520" s="3"/>
      <c r="X520" s="4"/>
      <c r="Y520" s="1"/>
      <c r="Z520" s="1"/>
      <c r="AA520" s="1"/>
      <c r="AB520" s="1"/>
      <c r="AC520" s="1"/>
      <c r="AD520" s="3"/>
      <c r="AE520" s="3"/>
      <c r="AF520" s="5"/>
      <c r="AG520" s="5"/>
      <c r="AH520" s="5"/>
      <c r="AI520" s="5"/>
      <c r="AJ520" s="6"/>
      <c r="AK520" s="6"/>
      <c r="AL520" s="12"/>
      <c r="AM520" s="12"/>
      <c r="AN520" s="12"/>
      <c r="AO520" s="12"/>
      <c r="AP520" s="12"/>
    </row>
    <row r="521" spans="1:42" ht="15" x14ac:dyDescent="0.25">
      <c r="A521" s="82" t="str">
        <f>TDCTRIBE!I529</f>
        <v>Southwest</v>
      </c>
      <c r="B521" s="82" t="str">
        <f>TDCTRIBE!B529</f>
        <v>CA</v>
      </c>
      <c r="C521" s="82" t="str">
        <f>TDCTRIBE!F529</f>
        <v>Paiute-Shoshone of Bishop Colony</v>
      </c>
      <c r="D521" s="83">
        <f>TDCTRIBE!Y529</f>
        <v>371622.27102000004</v>
      </c>
      <c r="E521" s="83">
        <f>TDCTRIBE!Z529</f>
        <v>410682.79757399991</v>
      </c>
      <c r="F521" s="83">
        <f>TDCTRIBE!AA529</f>
        <v>465540.12112300005</v>
      </c>
      <c r="G521" s="83">
        <f>TDCTRIBE!AB529</f>
        <v>504310.58137600002</v>
      </c>
      <c r="H521" s="83">
        <f>TDCTRIBE!AC529</f>
        <v>543668.7956839999</v>
      </c>
      <c r="O521" s="9"/>
      <c r="P521" s="1"/>
      <c r="Q521" s="1"/>
      <c r="R521" s="1"/>
      <c r="S521" s="1"/>
      <c r="T521" s="1"/>
      <c r="U521" s="1"/>
      <c r="V521" s="9"/>
      <c r="W521" s="3"/>
      <c r="X521" s="4"/>
      <c r="Y521" s="1"/>
      <c r="Z521" s="1"/>
      <c r="AA521" s="1"/>
      <c r="AB521" s="1"/>
      <c r="AC521" s="1"/>
      <c r="AD521" s="3"/>
      <c r="AE521" s="3"/>
      <c r="AF521" s="5"/>
      <c r="AG521" s="5"/>
      <c r="AH521" s="5"/>
      <c r="AI521" s="5"/>
      <c r="AJ521" s="6"/>
      <c r="AK521" s="6"/>
      <c r="AL521" s="12"/>
      <c r="AM521" s="12"/>
      <c r="AN521" s="12"/>
      <c r="AO521" s="12"/>
      <c r="AP521" s="12"/>
    </row>
    <row r="522" spans="1:42" ht="15" x14ac:dyDescent="0.25">
      <c r="A522" s="82" t="str">
        <f>TDCTRIBE!I530</f>
        <v>Southwest</v>
      </c>
      <c r="B522" s="82" t="str">
        <f>TDCTRIBE!B530</f>
        <v>CA</v>
      </c>
      <c r="C522" s="82" t="str">
        <f>TDCTRIBE!F530</f>
        <v>Pala Bank</v>
      </c>
      <c r="D522" s="83">
        <f>TDCTRIBE!Y530</f>
        <v>340558.31309499999</v>
      </c>
      <c r="E522" s="83">
        <f>TDCTRIBE!Z530</f>
        <v>377504.28923900001</v>
      </c>
      <c r="F522" s="83">
        <f>TDCTRIBE!AA530</f>
        <v>428052.34695300006</v>
      </c>
      <c r="G522" s="83">
        <f>TDCTRIBE!AB530</f>
        <v>462168.18863599998</v>
      </c>
      <c r="H522" s="83">
        <f>TDCTRIBE!AC530</f>
        <v>498370.60442400002</v>
      </c>
      <c r="O522" s="9"/>
      <c r="P522" s="1"/>
      <c r="Q522" s="1"/>
      <c r="R522" s="1"/>
      <c r="S522" s="1"/>
      <c r="T522" s="1"/>
      <c r="U522" s="1"/>
      <c r="V522" s="9"/>
      <c r="W522" s="3"/>
      <c r="X522" s="4"/>
      <c r="Y522" s="1"/>
      <c r="Z522" s="1"/>
      <c r="AA522" s="1"/>
      <c r="AB522" s="1"/>
      <c r="AC522" s="1"/>
      <c r="AD522" s="3"/>
      <c r="AE522" s="3"/>
      <c r="AF522" s="5"/>
      <c r="AG522" s="5"/>
      <c r="AH522" s="5"/>
      <c r="AI522" s="5"/>
      <c r="AJ522" s="6"/>
      <c r="AK522" s="6"/>
      <c r="AL522" s="12"/>
      <c r="AM522" s="12"/>
      <c r="AN522" s="12"/>
      <c r="AO522" s="12"/>
      <c r="AP522" s="12"/>
    </row>
    <row r="523" spans="1:42" ht="15" x14ac:dyDescent="0.25">
      <c r="A523" s="82" t="str">
        <f>TDCTRIBE!I531</f>
        <v>Southwest</v>
      </c>
      <c r="B523" s="82" t="str">
        <f>TDCTRIBE!B531</f>
        <v>CA</v>
      </c>
      <c r="C523" s="82" t="str">
        <f>TDCTRIBE!F531</f>
        <v>Paskenta Band of Nomlaki Indian</v>
      </c>
      <c r="D523" s="83">
        <f>TDCTRIBE!Y531</f>
        <v>390057.86126999999</v>
      </c>
      <c r="E523" s="83">
        <f>TDCTRIBE!Z531</f>
        <v>430765.891374</v>
      </c>
      <c r="F523" s="83">
        <f>TDCTRIBE!AA531</f>
        <v>487874.07122300001</v>
      </c>
      <c r="G523" s="83">
        <f>TDCTRIBE!AB531</f>
        <v>528268.88882599992</v>
      </c>
      <c r="H523" s="83">
        <f>TDCTRIBE!AC531</f>
        <v>569455.64523400005</v>
      </c>
      <c r="O523" s="9"/>
      <c r="P523" s="1"/>
      <c r="Q523" s="1"/>
      <c r="R523" s="1"/>
      <c r="S523" s="1"/>
      <c r="T523" s="1"/>
      <c r="U523" s="1"/>
      <c r="V523" s="9"/>
      <c r="W523" s="3"/>
      <c r="X523" s="4"/>
      <c r="Y523" s="1"/>
      <c r="Z523" s="1"/>
      <c r="AA523" s="1"/>
      <c r="AB523" s="1"/>
      <c r="AC523" s="1"/>
      <c r="AD523" s="3"/>
      <c r="AE523" s="3"/>
      <c r="AF523" s="5"/>
      <c r="AG523" s="5"/>
      <c r="AH523" s="5"/>
      <c r="AI523" s="5"/>
      <c r="AJ523" s="6"/>
      <c r="AK523" s="6"/>
      <c r="AL523" s="12"/>
      <c r="AM523" s="12"/>
      <c r="AN523" s="12"/>
      <c r="AO523" s="12"/>
      <c r="AP523" s="12"/>
    </row>
    <row r="524" spans="1:42" ht="15" x14ac:dyDescent="0.25">
      <c r="A524" s="82" t="str">
        <f>TDCTRIBE!I532</f>
        <v>Southwest</v>
      </c>
      <c r="B524" s="82" t="str">
        <f>TDCTRIBE!B532</f>
        <v>CA</v>
      </c>
      <c r="C524" s="82" t="str">
        <f>TDCTRIBE!F532</f>
        <v>Pauma Band</v>
      </c>
      <c r="D524" s="83">
        <f>TDCTRIBE!Y532</f>
        <v>340558.31309499999</v>
      </c>
      <c r="E524" s="83">
        <f>TDCTRIBE!Z532</f>
        <v>377504.28923900001</v>
      </c>
      <c r="F524" s="83">
        <f>TDCTRIBE!AA532</f>
        <v>428052.34695300006</v>
      </c>
      <c r="G524" s="83">
        <f>TDCTRIBE!AB532</f>
        <v>462168.18863599998</v>
      </c>
      <c r="H524" s="83">
        <f>TDCTRIBE!AC532</f>
        <v>498370.60442400002</v>
      </c>
      <c r="O524" s="9"/>
      <c r="P524" s="1"/>
      <c r="Q524" s="1"/>
      <c r="R524" s="1"/>
      <c r="S524" s="1"/>
      <c r="T524" s="1"/>
      <c r="U524" s="1"/>
      <c r="V524" s="9"/>
      <c r="W524" s="3"/>
      <c r="X524" s="4"/>
      <c r="Y524" s="1"/>
      <c r="Z524" s="1"/>
      <c r="AA524" s="1"/>
      <c r="AB524" s="1"/>
      <c r="AC524" s="1"/>
      <c r="AD524" s="3"/>
      <c r="AE524" s="3"/>
      <c r="AF524" s="5"/>
      <c r="AG524" s="5"/>
      <c r="AH524" s="5"/>
      <c r="AI524" s="5"/>
      <c r="AJ524" s="6"/>
      <c r="AK524" s="6"/>
      <c r="AL524" s="12"/>
      <c r="AM524" s="12"/>
      <c r="AN524" s="12"/>
      <c r="AO524" s="12"/>
      <c r="AP524" s="12"/>
    </row>
    <row r="525" spans="1:42" ht="15" x14ac:dyDescent="0.25">
      <c r="A525" s="82" t="str">
        <f>TDCTRIBE!I533</f>
        <v>Southwest</v>
      </c>
      <c r="B525" s="82" t="str">
        <f>TDCTRIBE!B533</f>
        <v>CA</v>
      </c>
      <c r="C525" s="82" t="str">
        <f>TDCTRIBE!F533</f>
        <v>Pechanga Band</v>
      </c>
      <c r="D525" s="83">
        <f>TDCTRIBE!Y533</f>
        <v>354008.25326999993</v>
      </c>
      <c r="E525" s="83">
        <f>TDCTRIBE!Z533</f>
        <v>392429.30987399997</v>
      </c>
      <c r="F525" s="83">
        <f>TDCTRIBE!AA533</f>
        <v>445001.55499800004</v>
      </c>
      <c r="G525" s="83">
        <f>TDCTRIBE!AB533</f>
        <v>480482.85717599996</v>
      </c>
      <c r="H525" s="83">
        <f>TDCTRIBE!AC533</f>
        <v>518121.54878399998</v>
      </c>
      <c r="O525" s="9"/>
      <c r="P525" s="1"/>
      <c r="Q525" s="1"/>
      <c r="R525" s="1"/>
      <c r="S525" s="1"/>
      <c r="T525" s="1"/>
      <c r="U525" s="1"/>
      <c r="V525" s="9"/>
      <c r="W525" s="3"/>
      <c r="X525" s="4"/>
      <c r="Y525" s="1"/>
      <c r="Z525" s="1"/>
      <c r="AA525" s="1"/>
      <c r="AB525" s="1"/>
      <c r="AC525" s="1"/>
      <c r="AD525" s="3"/>
      <c r="AE525" s="3"/>
      <c r="AF525" s="5"/>
      <c r="AG525" s="5"/>
      <c r="AH525" s="5"/>
      <c r="AI525" s="5"/>
      <c r="AJ525" s="6"/>
      <c r="AK525" s="6"/>
      <c r="AL525" s="12"/>
      <c r="AM525" s="12"/>
      <c r="AN525" s="12"/>
      <c r="AO525" s="12"/>
      <c r="AP525" s="12"/>
    </row>
    <row r="526" spans="1:42" ht="15" x14ac:dyDescent="0.25">
      <c r="A526" s="82" t="str">
        <f>TDCTRIBE!I534</f>
        <v>Southwest</v>
      </c>
      <c r="B526" s="82" t="str">
        <f>TDCTRIBE!B534</f>
        <v>CA</v>
      </c>
      <c r="C526" s="82" t="str">
        <f>TDCTRIBE!F534</f>
        <v>Picayune Rancheria</v>
      </c>
      <c r="D526" s="83">
        <f>TDCTRIBE!Y534</f>
        <v>378326.12202000001</v>
      </c>
      <c r="E526" s="83">
        <f>TDCTRIBE!Z534</f>
        <v>417985.74077399995</v>
      </c>
      <c r="F526" s="83">
        <f>TDCTRIBE!AA534</f>
        <v>473661.557523</v>
      </c>
      <c r="G526" s="83">
        <f>TDCTRIBE!AB534</f>
        <v>513022.69317600003</v>
      </c>
      <c r="H526" s="83">
        <f>TDCTRIBE!AC534</f>
        <v>553045.83188399998</v>
      </c>
      <c r="O526" s="9"/>
      <c r="P526" s="1"/>
      <c r="Q526" s="1"/>
      <c r="R526" s="1"/>
      <c r="S526" s="1"/>
      <c r="T526" s="1"/>
      <c r="U526" s="1"/>
      <c r="V526" s="9"/>
      <c r="W526" s="3"/>
      <c r="X526" s="4"/>
      <c r="Y526" s="1"/>
      <c r="Z526" s="1"/>
      <c r="AA526" s="1"/>
      <c r="AB526" s="1"/>
      <c r="AC526" s="1"/>
      <c r="AD526" s="3"/>
      <c r="AE526" s="3"/>
      <c r="AF526" s="5"/>
      <c r="AG526" s="5"/>
      <c r="AH526" s="5"/>
      <c r="AI526" s="5"/>
      <c r="AJ526" s="6"/>
      <c r="AK526" s="6"/>
      <c r="AL526" s="12"/>
      <c r="AM526" s="12"/>
      <c r="AN526" s="12"/>
      <c r="AO526" s="12"/>
      <c r="AP526" s="12"/>
    </row>
    <row r="527" spans="1:42" ht="15" x14ac:dyDescent="0.25">
      <c r="A527" s="82" t="str">
        <f>TDCTRIBE!I535</f>
        <v>Southwest</v>
      </c>
      <c r="B527" s="82" t="str">
        <f>TDCTRIBE!B535</f>
        <v>CA</v>
      </c>
      <c r="C527" s="82" t="str">
        <f>TDCTRIBE!F535</f>
        <v>Pinoleville Rancheria</v>
      </c>
      <c r="D527" s="83">
        <f>TDCTRIBE!Y535</f>
        <v>395085.74952000001</v>
      </c>
      <c r="E527" s="83">
        <f>TDCTRIBE!Z535</f>
        <v>436243.09877399995</v>
      </c>
      <c r="F527" s="83">
        <f>TDCTRIBE!AA535</f>
        <v>493965.14852300007</v>
      </c>
      <c r="G527" s="83">
        <f>TDCTRIBE!AB535</f>
        <v>534802.97267599998</v>
      </c>
      <c r="H527" s="83">
        <f>TDCTRIBE!AC535</f>
        <v>576488.42238400003</v>
      </c>
      <c r="O527" s="9"/>
      <c r="P527" s="1"/>
      <c r="Q527" s="1"/>
      <c r="R527" s="1"/>
      <c r="S527" s="1"/>
      <c r="T527" s="1"/>
      <c r="U527" s="1"/>
      <c r="V527" s="9"/>
      <c r="W527" s="3"/>
      <c r="X527" s="4"/>
      <c r="Y527" s="1"/>
      <c r="Z527" s="1"/>
      <c r="AA527" s="1"/>
      <c r="AB527" s="1"/>
      <c r="AC527" s="1"/>
      <c r="AD527" s="3"/>
      <c r="AE527" s="3"/>
      <c r="AF527" s="5"/>
      <c r="AG527" s="5"/>
      <c r="AH527" s="5"/>
      <c r="AI527" s="5"/>
      <c r="AJ527" s="6"/>
      <c r="AK527" s="6"/>
      <c r="AL527" s="12"/>
      <c r="AM527" s="12"/>
      <c r="AN527" s="12"/>
      <c r="AO527" s="12"/>
      <c r="AP527" s="12"/>
    </row>
    <row r="528" spans="1:42" ht="15" x14ac:dyDescent="0.25">
      <c r="A528" s="82" t="str">
        <f>TDCTRIBE!I536</f>
        <v>Southwest</v>
      </c>
      <c r="B528" s="82" t="str">
        <f>TDCTRIBE!B536</f>
        <v>CA</v>
      </c>
      <c r="C528" s="82" t="str">
        <f>TDCTRIBE!F536</f>
        <v>Pit River Tribe</v>
      </c>
      <c r="D528" s="83">
        <f>TDCTRIBE!Y536</f>
        <v>399020.40948000003</v>
      </c>
      <c r="E528" s="83">
        <f>TDCTRIBE!Z536</f>
        <v>440817.10377599997</v>
      </c>
      <c r="F528" s="83">
        <f>TDCTRIBE!AA536</f>
        <v>499486.01595200005</v>
      </c>
      <c r="G528" s="83">
        <f>TDCTRIBE!AB536</f>
        <v>540966.92602400004</v>
      </c>
      <c r="H528" s="83">
        <f>TDCTRIBE!AC536</f>
        <v>583165.52341600007</v>
      </c>
      <c r="O528" s="9"/>
      <c r="P528" s="1"/>
      <c r="Q528" s="1"/>
      <c r="R528" s="1"/>
      <c r="S528" s="1"/>
      <c r="T528" s="1"/>
      <c r="U528" s="1"/>
      <c r="V528" s="9"/>
      <c r="W528" s="3"/>
      <c r="X528" s="4"/>
      <c r="Y528" s="1"/>
      <c r="Z528" s="1"/>
      <c r="AA528" s="1"/>
      <c r="AB528" s="1"/>
      <c r="AC528" s="1"/>
      <c r="AD528" s="3"/>
      <c r="AE528" s="3"/>
      <c r="AF528" s="5"/>
      <c r="AG528" s="5"/>
      <c r="AH528" s="5"/>
      <c r="AI528" s="5"/>
      <c r="AJ528" s="6"/>
      <c r="AK528" s="6"/>
      <c r="AL528" s="12"/>
      <c r="AM528" s="12"/>
      <c r="AN528" s="12"/>
      <c r="AO528" s="12"/>
      <c r="AP528" s="12"/>
    </row>
    <row r="529" spans="1:42" ht="15" x14ac:dyDescent="0.25">
      <c r="A529" s="82" t="str">
        <f>TDCTRIBE!I537</f>
        <v>Southwest</v>
      </c>
      <c r="B529" s="82" t="str">
        <f>TDCTRIBE!B537</f>
        <v>CA</v>
      </c>
      <c r="C529" s="82" t="str">
        <f>TDCTRIBE!F537</f>
        <v>Potter Valley Rancheria</v>
      </c>
      <c r="D529" s="83">
        <f>TDCTRIBE!Y537</f>
        <v>395085.74952000001</v>
      </c>
      <c r="E529" s="83">
        <f>TDCTRIBE!Z537</f>
        <v>436243.09877399995</v>
      </c>
      <c r="F529" s="83">
        <f>TDCTRIBE!AA537</f>
        <v>493965.14852300007</v>
      </c>
      <c r="G529" s="83">
        <f>TDCTRIBE!AB537</f>
        <v>534802.97267599998</v>
      </c>
      <c r="H529" s="83">
        <f>TDCTRIBE!AC537</f>
        <v>576488.42238400003</v>
      </c>
      <c r="O529" s="9"/>
      <c r="P529" s="1"/>
      <c r="Q529" s="1"/>
      <c r="R529" s="1"/>
      <c r="S529" s="1"/>
      <c r="T529" s="1"/>
      <c r="U529" s="1"/>
      <c r="V529" s="9"/>
      <c r="W529" s="3"/>
      <c r="X529" s="4"/>
      <c r="Y529" s="1"/>
      <c r="Z529" s="1"/>
      <c r="AA529" s="1"/>
      <c r="AB529" s="1"/>
      <c r="AC529" s="1"/>
      <c r="AD529" s="3"/>
      <c r="AE529" s="3"/>
      <c r="AF529" s="5"/>
      <c r="AG529" s="5"/>
      <c r="AH529" s="5"/>
      <c r="AI529" s="5"/>
      <c r="AJ529" s="6"/>
      <c r="AK529" s="6"/>
      <c r="AL529" s="12"/>
      <c r="AM529" s="12"/>
      <c r="AN529" s="12"/>
      <c r="AO529" s="12"/>
      <c r="AP529" s="12"/>
    </row>
    <row r="530" spans="1:42" ht="15" x14ac:dyDescent="0.25">
      <c r="A530" s="82" t="str">
        <f>TDCTRIBE!I538</f>
        <v>Southwest</v>
      </c>
      <c r="B530" s="82" t="str">
        <f>TDCTRIBE!B538</f>
        <v>CA</v>
      </c>
      <c r="C530" s="82" t="str">
        <f>TDCTRIBE!F538</f>
        <v>Quartz Valley Rancheria</v>
      </c>
      <c r="D530" s="83">
        <f>TDCTRIBE!Y538</f>
        <v>396032.89341000002</v>
      </c>
      <c r="E530" s="83">
        <f>TDCTRIBE!Z538</f>
        <v>437466.69964199996</v>
      </c>
      <c r="F530" s="83">
        <f>TDCTRIBE!AA538</f>
        <v>495615.36770900013</v>
      </c>
      <c r="G530" s="83">
        <f>TDCTRIBE!AB538</f>
        <v>536734.24695800012</v>
      </c>
      <c r="H530" s="83">
        <f>TDCTRIBE!AC538</f>
        <v>578595.56402199995</v>
      </c>
      <c r="O530" s="9"/>
      <c r="P530" s="1"/>
      <c r="Q530" s="1"/>
      <c r="R530" s="1"/>
      <c r="S530" s="1"/>
      <c r="T530" s="1"/>
      <c r="U530" s="1"/>
      <c r="V530" s="9"/>
      <c r="W530" s="3"/>
      <c r="X530" s="4"/>
      <c r="Y530" s="1"/>
      <c r="Z530" s="1"/>
      <c r="AA530" s="1"/>
      <c r="AB530" s="1"/>
      <c r="AC530" s="1"/>
      <c r="AD530" s="3"/>
      <c r="AE530" s="3"/>
      <c r="AF530" s="5"/>
      <c r="AG530" s="5"/>
      <c r="AH530" s="5"/>
      <c r="AI530" s="5"/>
      <c r="AJ530" s="6"/>
      <c r="AK530" s="6"/>
      <c r="AL530" s="12"/>
      <c r="AM530" s="12"/>
      <c r="AN530" s="12"/>
      <c r="AO530" s="12"/>
      <c r="AP530" s="12"/>
    </row>
    <row r="531" spans="1:42" ht="15" x14ac:dyDescent="0.25">
      <c r="A531" s="82" t="str">
        <f>TDCTRIBE!I539</f>
        <v>Southwest</v>
      </c>
      <c r="B531" s="82" t="str">
        <f>TDCTRIBE!B539</f>
        <v>CA</v>
      </c>
      <c r="C531" s="82" t="str">
        <f>TDCTRIBE!F539</f>
        <v>Quechan Tribe</v>
      </c>
      <c r="D531" s="83">
        <f>TDCTRIBE!Y539</f>
        <v>340848.27402499999</v>
      </c>
      <c r="E531" s="83">
        <f>TDCTRIBE!Z539</f>
        <v>377737.43360499997</v>
      </c>
      <c r="F531" s="83">
        <f>TDCTRIBE!AA539</f>
        <v>428174.32003500004</v>
      </c>
      <c r="G531" s="83">
        <f>TDCTRIBE!AB539</f>
        <v>462219.01641999994</v>
      </c>
      <c r="H531" s="83">
        <f>TDCTRIBE!AC539</f>
        <v>498416.24027999991</v>
      </c>
      <c r="O531" s="9"/>
      <c r="P531" s="1"/>
      <c r="Q531" s="1"/>
      <c r="R531" s="1"/>
      <c r="S531" s="1"/>
      <c r="T531" s="1"/>
      <c r="U531" s="1"/>
      <c r="V531" s="9"/>
      <c r="W531" s="3"/>
      <c r="X531" s="4"/>
      <c r="Y531" s="1"/>
      <c r="Z531" s="1"/>
      <c r="AA531" s="1"/>
      <c r="AB531" s="1"/>
      <c r="AC531" s="1"/>
      <c r="AD531" s="3"/>
      <c r="AE531" s="3"/>
      <c r="AF531" s="5"/>
      <c r="AG531" s="5"/>
      <c r="AH531" s="5"/>
      <c r="AI531" s="5"/>
      <c r="AJ531" s="6"/>
      <c r="AK531" s="6"/>
      <c r="AL531" s="12"/>
      <c r="AM531" s="12"/>
      <c r="AN531" s="12"/>
      <c r="AO531" s="12"/>
      <c r="AP531" s="12"/>
    </row>
    <row r="532" spans="1:42" ht="15" x14ac:dyDescent="0.25">
      <c r="A532" s="82" t="str">
        <f>TDCTRIBE!I540</f>
        <v>Southwest</v>
      </c>
      <c r="B532" s="82" t="str">
        <f>TDCTRIBE!B540</f>
        <v>CA</v>
      </c>
      <c r="C532" s="82" t="str">
        <f>TDCTRIBE!F540</f>
        <v>Ramona Band</v>
      </c>
      <c r="D532" s="83">
        <f>TDCTRIBE!Y540</f>
        <v>354008.25326999993</v>
      </c>
      <c r="E532" s="83">
        <f>TDCTRIBE!Z540</f>
        <v>392429.30987399997</v>
      </c>
      <c r="F532" s="83">
        <f>TDCTRIBE!AA540</f>
        <v>445001.55499800004</v>
      </c>
      <c r="G532" s="83">
        <f>TDCTRIBE!AB540</f>
        <v>480482.85717599996</v>
      </c>
      <c r="H532" s="83">
        <f>TDCTRIBE!AC540</f>
        <v>518121.54878399998</v>
      </c>
      <c r="O532" s="9"/>
      <c r="P532" s="1"/>
      <c r="Q532" s="1"/>
      <c r="R532" s="1"/>
      <c r="S532" s="1"/>
      <c r="T532" s="1"/>
      <c r="U532" s="1"/>
      <c r="V532" s="9"/>
      <c r="W532" s="3"/>
      <c r="X532" s="4"/>
      <c r="Y532" s="1"/>
      <c r="Z532" s="1"/>
      <c r="AA532" s="1"/>
      <c r="AB532" s="1"/>
      <c r="AC532" s="1"/>
      <c r="AD532" s="3"/>
      <c r="AE532" s="3"/>
      <c r="AF532" s="5"/>
      <c r="AG532" s="5"/>
      <c r="AH532" s="5"/>
      <c r="AI532" s="5"/>
      <c r="AJ532" s="6"/>
      <c r="AK532" s="6"/>
      <c r="AL532" s="12"/>
      <c r="AM532" s="12"/>
      <c r="AN532" s="12"/>
      <c r="AO532" s="12"/>
      <c r="AP532" s="12"/>
    </row>
    <row r="533" spans="1:42" ht="15" x14ac:dyDescent="0.25">
      <c r="A533" s="82" t="str">
        <f>TDCTRIBE!I541</f>
        <v>Southwest</v>
      </c>
      <c r="B533" s="82" t="str">
        <f>TDCTRIBE!B541</f>
        <v>CA</v>
      </c>
      <c r="C533" s="82" t="str">
        <f>TDCTRIBE!F541</f>
        <v>Redding Rancheria</v>
      </c>
      <c r="D533" s="83">
        <f>TDCTRIBE!Y541</f>
        <v>399020.40948000003</v>
      </c>
      <c r="E533" s="83">
        <f>TDCTRIBE!Z541</f>
        <v>440817.10377599997</v>
      </c>
      <c r="F533" s="83">
        <f>TDCTRIBE!AA541</f>
        <v>499486.01595200005</v>
      </c>
      <c r="G533" s="83">
        <f>TDCTRIBE!AB541</f>
        <v>540966.92602400004</v>
      </c>
      <c r="H533" s="83">
        <f>TDCTRIBE!AC541</f>
        <v>583165.52341600007</v>
      </c>
      <c r="O533" s="9"/>
      <c r="P533" s="1"/>
      <c r="Q533" s="1"/>
      <c r="R533" s="1"/>
      <c r="S533" s="1"/>
      <c r="T533" s="1"/>
      <c r="U533" s="1"/>
      <c r="V533" s="9"/>
      <c r="W533" s="3"/>
      <c r="X533" s="4"/>
      <c r="Y533" s="1"/>
      <c r="Z533" s="1"/>
      <c r="AA533" s="1"/>
      <c r="AB533" s="1"/>
      <c r="AC533" s="1"/>
      <c r="AD533" s="3"/>
      <c r="AE533" s="3"/>
      <c r="AF533" s="5"/>
      <c r="AG533" s="5"/>
      <c r="AH533" s="5"/>
      <c r="AI533" s="5"/>
      <c r="AJ533" s="6"/>
      <c r="AK533" s="6"/>
      <c r="AL533" s="12"/>
      <c r="AM533" s="12"/>
      <c r="AN533" s="12"/>
      <c r="AO533" s="12"/>
      <c r="AP533" s="12"/>
    </row>
    <row r="534" spans="1:42" ht="15" x14ac:dyDescent="0.25">
      <c r="A534" s="82" t="str">
        <f>TDCTRIBE!I542</f>
        <v>Southwest</v>
      </c>
      <c r="B534" s="82" t="str">
        <f>TDCTRIBE!B542</f>
        <v>CA</v>
      </c>
      <c r="C534" s="82" t="str">
        <f>TDCTRIBE!F542</f>
        <v>Redwood Valley Rancheria</v>
      </c>
      <c r="D534" s="83">
        <f>TDCTRIBE!Y542</f>
        <v>395085.74952000001</v>
      </c>
      <c r="E534" s="83">
        <f>TDCTRIBE!Z542</f>
        <v>436243.09877399995</v>
      </c>
      <c r="F534" s="83">
        <f>TDCTRIBE!AA542</f>
        <v>493965.14852300007</v>
      </c>
      <c r="G534" s="83">
        <f>TDCTRIBE!AB542</f>
        <v>534802.97267599998</v>
      </c>
      <c r="H534" s="83">
        <f>TDCTRIBE!AC542</f>
        <v>576488.42238400003</v>
      </c>
      <c r="O534" s="9"/>
      <c r="P534" s="1"/>
      <c r="Q534" s="1"/>
      <c r="R534" s="1"/>
      <c r="S534" s="1"/>
      <c r="T534" s="1"/>
      <c r="U534" s="1"/>
      <c r="V534" s="9"/>
      <c r="W534" s="3"/>
      <c r="X534" s="4"/>
      <c r="Y534" s="1"/>
      <c r="Z534" s="1"/>
      <c r="AA534" s="1"/>
      <c r="AB534" s="1"/>
      <c r="AC534" s="1"/>
      <c r="AD534" s="3"/>
      <c r="AE534" s="3"/>
      <c r="AF534" s="5"/>
      <c r="AG534" s="5"/>
      <c r="AH534" s="5"/>
      <c r="AI534" s="5"/>
      <c r="AJ534" s="6"/>
      <c r="AK534" s="6"/>
      <c r="AL534" s="12"/>
      <c r="AM534" s="12"/>
      <c r="AN534" s="12"/>
      <c r="AO534" s="12"/>
      <c r="AP534" s="12"/>
    </row>
    <row r="535" spans="1:42" ht="15" x14ac:dyDescent="0.25">
      <c r="A535" s="82" t="str">
        <f>TDCTRIBE!I543</f>
        <v>Southwest</v>
      </c>
      <c r="B535" s="82" t="str">
        <f>TDCTRIBE!B543</f>
        <v>CA</v>
      </c>
      <c r="C535" s="82" t="str">
        <f>TDCTRIBE!F543</f>
        <v>Resighini Rancheria</v>
      </c>
      <c r="D535" s="83">
        <f>TDCTRIBE!Y543</f>
        <v>390057.86126999999</v>
      </c>
      <c r="E535" s="83">
        <f>TDCTRIBE!Z543</f>
        <v>430765.891374</v>
      </c>
      <c r="F535" s="83">
        <f>TDCTRIBE!AA543</f>
        <v>487874.07122300001</v>
      </c>
      <c r="G535" s="83">
        <f>TDCTRIBE!AB543</f>
        <v>528268.88882599992</v>
      </c>
      <c r="H535" s="83">
        <f>TDCTRIBE!AC543</f>
        <v>569455.64523400005</v>
      </c>
      <c r="O535" s="9"/>
      <c r="P535" s="1"/>
      <c r="Q535" s="1"/>
      <c r="R535" s="1"/>
      <c r="S535" s="1"/>
      <c r="T535" s="1"/>
      <c r="U535" s="1"/>
      <c r="V535" s="9"/>
      <c r="W535" s="3"/>
      <c r="X535" s="4"/>
      <c r="Y535" s="1"/>
      <c r="Z535" s="1"/>
      <c r="AA535" s="1"/>
      <c r="AB535" s="1"/>
      <c r="AC535" s="1"/>
      <c r="AD535" s="3"/>
      <c r="AE535" s="3"/>
      <c r="AF535" s="5"/>
      <c r="AG535" s="5"/>
      <c r="AH535" s="5"/>
      <c r="AI535" s="5"/>
      <c r="AJ535" s="6"/>
      <c r="AK535" s="6"/>
      <c r="AL535" s="12"/>
      <c r="AM535" s="12"/>
      <c r="AN535" s="12"/>
      <c r="AO535" s="12"/>
      <c r="AP535" s="12"/>
    </row>
    <row r="536" spans="1:42" ht="15" x14ac:dyDescent="0.25">
      <c r="A536" s="82" t="str">
        <f>TDCTRIBE!I544</f>
        <v>Southwest</v>
      </c>
      <c r="B536" s="82" t="str">
        <f>TDCTRIBE!B544</f>
        <v>CA</v>
      </c>
      <c r="C536" s="82" t="str">
        <f>TDCTRIBE!F544</f>
        <v>Rincon Reservation</v>
      </c>
      <c r="D536" s="83">
        <f>TDCTRIBE!Y544</f>
        <v>340558.31309499999</v>
      </c>
      <c r="E536" s="83">
        <f>TDCTRIBE!Z544</f>
        <v>377504.28923900001</v>
      </c>
      <c r="F536" s="83">
        <f>TDCTRIBE!AA544</f>
        <v>428052.34695300006</v>
      </c>
      <c r="G536" s="83">
        <f>TDCTRIBE!AB544</f>
        <v>462168.18863599998</v>
      </c>
      <c r="H536" s="83">
        <f>TDCTRIBE!AC544</f>
        <v>498370.60442400002</v>
      </c>
      <c r="O536" s="9"/>
      <c r="P536" s="1"/>
      <c r="Q536" s="1"/>
      <c r="R536" s="1"/>
      <c r="S536" s="1"/>
      <c r="T536" s="1"/>
      <c r="U536" s="1"/>
      <c r="V536" s="9"/>
      <c r="W536" s="3"/>
      <c r="X536" s="4"/>
      <c r="Y536" s="1"/>
      <c r="Z536" s="1"/>
      <c r="AA536" s="1"/>
      <c r="AB536" s="1"/>
      <c r="AC536" s="1"/>
      <c r="AD536" s="3"/>
      <c r="AE536" s="3"/>
      <c r="AF536" s="5"/>
      <c r="AG536" s="5"/>
      <c r="AH536" s="5"/>
      <c r="AI536" s="5"/>
      <c r="AJ536" s="6"/>
      <c r="AK536" s="6"/>
      <c r="AL536" s="12"/>
      <c r="AM536" s="12"/>
      <c r="AN536" s="12"/>
      <c r="AO536" s="12"/>
      <c r="AP536" s="12"/>
    </row>
    <row r="537" spans="1:42" ht="15" x14ac:dyDescent="0.25">
      <c r="A537" s="82" t="str">
        <f>TDCTRIBE!I545</f>
        <v>Southwest</v>
      </c>
      <c r="B537" s="82" t="str">
        <f>TDCTRIBE!B545</f>
        <v>CA</v>
      </c>
      <c r="C537" s="82" t="str">
        <f>TDCTRIBE!F545</f>
        <v>Robinson Rancheria</v>
      </c>
      <c r="D537" s="83">
        <f>TDCTRIBE!Y545</f>
        <v>395085.74952000001</v>
      </c>
      <c r="E537" s="83">
        <f>TDCTRIBE!Z545</f>
        <v>436243.09877399995</v>
      </c>
      <c r="F537" s="83">
        <f>TDCTRIBE!AA545</f>
        <v>493965.14852300007</v>
      </c>
      <c r="G537" s="83">
        <f>TDCTRIBE!AB545</f>
        <v>534802.97267599998</v>
      </c>
      <c r="H537" s="83">
        <f>TDCTRIBE!AC545</f>
        <v>576488.42238400003</v>
      </c>
      <c r="O537" s="9"/>
      <c r="P537" s="1"/>
      <c r="Q537" s="1"/>
      <c r="R537" s="1"/>
      <c r="S537" s="1"/>
      <c r="T537" s="1"/>
      <c r="U537" s="1"/>
      <c r="V537" s="9"/>
      <c r="W537" s="3"/>
      <c r="X537" s="4"/>
      <c r="Y537" s="1"/>
      <c r="Z537" s="1"/>
      <c r="AA537" s="1"/>
      <c r="AB537" s="1"/>
      <c r="AC537" s="1"/>
      <c r="AD537" s="3"/>
      <c r="AE537" s="3"/>
      <c r="AF537" s="5"/>
      <c r="AG537" s="5"/>
      <c r="AH537" s="5"/>
      <c r="AI537" s="5"/>
      <c r="AJ537" s="6"/>
      <c r="AK537" s="6"/>
      <c r="AL537" s="12"/>
      <c r="AM537" s="12"/>
      <c r="AN537" s="12"/>
      <c r="AO537" s="12"/>
      <c r="AP537" s="12"/>
    </row>
    <row r="538" spans="1:42" ht="15" x14ac:dyDescent="0.25">
      <c r="A538" s="82" t="str">
        <f>TDCTRIBE!I546</f>
        <v>Southwest</v>
      </c>
      <c r="B538" s="82" t="str">
        <f>TDCTRIBE!B546</f>
        <v>CA</v>
      </c>
      <c r="C538" s="82" t="str">
        <f>TDCTRIBE!F546</f>
        <v>Rohnerville Rancheria</v>
      </c>
      <c r="D538" s="83">
        <f>TDCTRIBE!Y546</f>
        <v>396032.89341000002</v>
      </c>
      <c r="E538" s="83">
        <f>TDCTRIBE!Z546</f>
        <v>437466.69964199996</v>
      </c>
      <c r="F538" s="83">
        <f>TDCTRIBE!AA546</f>
        <v>495615.36770900013</v>
      </c>
      <c r="G538" s="83">
        <f>TDCTRIBE!AB546</f>
        <v>536734.24695800012</v>
      </c>
      <c r="H538" s="83">
        <f>TDCTRIBE!AC546</f>
        <v>578595.56402199995</v>
      </c>
      <c r="O538" s="9"/>
      <c r="P538" s="1"/>
      <c r="Q538" s="1"/>
      <c r="R538" s="1"/>
      <c r="S538" s="1"/>
      <c r="T538" s="1"/>
      <c r="U538" s="1"/>
      <c r="V538" s="9"/>
      <c r="W538" s="3"/>
      <c r="X538" s="4"/>
      <c r="Y538" s="1"/>
      <c r="Z538" s="1"/>
      <c r="AA538" s="1"/>
      <c r="AB538" s="1"/>
      <c r="AC538" s="1"/>
      <c r="AD538" s="3"/>
      <c r="AE538" s="3"/>
      <c r="AF538" s="5"/>
      <c r="AG538" s="5"/>
      <c r="AH538" s="5"/>
      <c r="AI538" s="5"/>
      <c r="AJ538" s="6"/>
      <c r="AK538" s="6"/>
      <c r="AL538" s="12"/>
      <c r="AM538" s="12"/>
      <c r="AN538" s="12"/>
      <c r="AO538" s="12"/>
      <c r="AP538" s="12"/>
    </row>
    <row r="539" spans="1:42" ht="15" x14ac:dyDescent="0.25">
      <c r="A539" s="82" t="str">
        <f>TDCTRIBE!I547</f>
        <v>Southwest</v>
      </c>
      <c r="B539" s="82" t="str">
        <f>TDCTRIBE!B547</f>
        <v>CA</v>
      </c>
      <c r="C539" s="82" t="str">
        <f>TDCTRIBE!F547</f>
        <v>Round Valley Rancheria</v>
      </c>
      <c r="D539" s="83">
        <f>TDCTRIBE!Y547</f>
        <v>395085.74952000001</v>
      </c>
      <c r="E539" s="83">
        <f>TDCTRIBE!Z547</f>
        <v>436243.09877399995</v>
      </c>
      <c r="F539" s="83">
        <f>TDCTRIBE!AA547</f>
        <v>493965.14852300007</v>
      </c>
      <c r="G539" s="83">
        <f>TDCTRIBE!AB547</f>
        <v>534802.97267599998</v>
      </c>
      <c r="H539" s="83">
        <f>TDCTRIBE!AC547</f>
        <v>576488.42238400003</v>
      </c>
      <c r="O539" s="9"/>
      <c r="P539" s="1"/>
      <c r="Q539" s="1"/>
      <c r="R539" s="1"/>
      <c r="S539" s="1"/>
      <c r="T539" s="1"/>
      <c r="U539" s="1"/>
      <c r="V539" s="9"/>
      <c r="W539" s="3"/>
      <c r="X539" s="4"/>
      <c r="Y539" s="1"/>
      <c r="Z539" s="1"/>
      <c r="AA539" s="1"/>
      <c r="AB539" s="1"/>
      <c r="AC539" s="1"/>
      <c r="AD539" s="3"/>
      <c r="AE539" s="3"/>
      <c r="AF539" s="5"/>
      <c r="AG539" s="5"/>
      <c r="AH539" s="5"/>
      <c r="AI539" s="5"/>
      <c r="AJ539" s="6"/>
      <c r="AK539" s="6"/>
      <c r="AL539" s="12"/>
      <c r="AM539" s="12"/>
      <c r="AN539" s="12"/>
      <c r="AO539" s="12"/>
      <c r="AP539" s="12"/>
    </row>
    <row r="540" spans="1:42" ht="15" x14ac:dyDescent="0.25">
      <c r="A540" s="82" t="str">
        <f>TDCTRIBE!I548</f>
        <v>Southwest</v>
      </c>
      <c r="B540" s="82" t="str">
        <f>TDCTRIBE!B548</f>
        <v>CA</v>
      </c>
      <c r="C540" s="82" t="str">
        <f>TDCTRIBE!F548</f>
        <v>Rumsey Rancheria</v>
      </c>
      <c r="D540" s="83">
        <f>TDCTRIBE!Y548</f>
        <v>390057.86126999999</v>
      </c>
      <c r="E540" s="83">
        <f>TDCTRIBE!Z548</f>
        <v>430765.891374</v>
      </c>
      <c r="F540" s="83">
        <f>TDCTRIBE!AA548</f>
        <v>487874.07122300001</v>
      </c>
      <c r="G540" s="83">
        <f>TDCTRIBE!AB548</f>
        <v>528268.88882599992</v>
      </c>
      <c r="H540" s="83">
        <f>TDCTRIBE!AC548</f>
        <v>569455.64523400005</v>
      </c>
      <c r="O540" s="9"/>
      <c r="P540" s="1"/>
      <c r="Q540" s="1"/>
      <c r="R540" s="1"/>
      <c r="S540" s="1"/>
      <c r="T540" s="1"/>
      <c r="U540" s="1"/>
      <c r="V540" s="9"/>
      <c r="W540" s="3"/>
      <c r="X540" s="4"/>
      <c r="Y540" s="1"/>
      <c r="Z540" s="1"/>
      <c r="AA540" s="1"/>
      <c r="AB540" s="1"/>
      <c r="AC540" s="1"/>
      <c r="AD540" s="3"/>
      <c r="AE540" s="3"/>
      <c r="AF540" s="5"/>
      <c r="AG540" s="5"/>
      <c r="AH540" s="5"/>
      <c r="AI540" s="5"/>
      <c r="AJ540" s="6"/>
      <c r="AK540" s="6"/>
      <c r="AL540" s="12"/>
      <c r="AM540" s="12"/>
      <c r="AN540" s="12"/>
      <c r="AO540" s="12"/>
      <c r="AP540" s="12"/>
    </row>
    <row r="541" spans="1:42" ht="15" x14ac:dyDescent="0.25">
      <c r="A541" s="82" t="str">
        <f>TDCTRIBE!I549</f>
        <v>Southwest</v>
      </c>
      <c r="B541" s="82" t="str">
        <f>TDCTRIBE!B549</f>
        <v>CA</v>
      </c>
      <c r="C541" s="82" t="str">
        <f>TDCTRIBE!F549</f>
        <v>San Manuel Band</v>
      </c>
      <c r="D541" s="83">
        <f>TDCTRIBE!Y549</f>
        <v>352433.27076999994</v>
      </c>
      <c r="E541" s="83">
        <f>TDCTRIBE!Z549</f>
        <v>390706.21192399994</v>
      </c>
      <c r="F541" s="83">
        <f>TDCTRIBE!AA549</f>
        <v>443084.42824800004</v>
      </c>
      <c r="G541" s="83">
        <f>TDCTRIBE!AB549</f>
        <v>478433.77517599997</v>
      </c>
      <c r="H541" s="83">
        <f>TDCTRIBE!AC549</f>
        <v>515914.32278399996</v>
      </c>
      <c r="O541" s="9"/>
      <c r="P541" s="1"/>
      <c r="Q541" s="1"/>
      <c r="R541" s="1"/>
      <c r="S541" s="1"/>
      <c r="T541" s="1"/>
      <c r="U541" s="1"/>
      <c r="V541" s="9"/>
      <c r="W541" s="3"/>
      <c r="X541" s="4"/>
      <c r="Y541" s="1"/>
      <c r="Z541" s="1"/>
      <c r="AA541" s="1"/>
      <c r="AB541" s="1"/>
      <c r="AC541" s="1"/>
      <c r="AD541" s="3"/>
      <c r="AE541" s="3"/>
      <c r="AF541" s="5"/>
      <c r="AG541" s="5"/>
      <c r="AH541" s="5"/>
      <c r="AI541" s="5"/>
      <c r="AJ541" s="6"/>
      <c r="AK541" s="6"/>
      <c r="AL541" s="12"/>
      <c r="AM541" s="12"/>
      <c r="AN541" s="12"/>
      <c r="AO541" s="12"/>
      <c r="AP541" s="12"/>
    </row>
    <row r="542" spans="1:42" ht="15" x14ac:dyDescent="0.25">
      <c r="A542" s="82" t="str">
        <f>TDCTRIBE!I550</f>
        <v>Southwest</v>
      </c>
      <c r="B542" s="82" t="str">
        <f>TDCTRIBE!B550</f>
        <v>CA</v>
      </c>
      <c r="C542" s="82" t="str">
        <f>TDCTRIBE!F550</f>
        <v>San Pasqual Band</v>
      </c>
      <c r="D542" s="83">
        <f>TDCTRIBE!Y550</f>
        <v>340558.31309499999</v>
      </c>
      <c r="E542" s="83">
        <f>TDCTRIBE!Z550</f>
        <v>377504.28923900001</v>
      </c>
      <c r="F542" s="83">
        <f>TDCTRIBE!AA550</f>
        <v>428052.34695300006</v>
      </c>
      <c r="G542" s="83">
        <f>TDCTRIBE!AB550</f>
        <v>462168.18863599998</v>
      </c>
      <c r="H542" s="83">
        <f>TDCTRIBE!AC550</f>
        <v>498370.60442400002</v>
      </c>
      <c r="O542" s="9"/>
      <c r="P542" s="1"/>
      <c r="Q542" s="1"/>
      <c r="R542" s="1"/>
      <c r="S542" s="1"/>
      <c r="T542" s="1"/>
      <c r="U542" s="1"/>
      <c r="V542" s="9"/>
      <c r="W542" s="3"/>
      <c r="X542" s="4"/>
      <c r="Y542" s="1"/>
      <c r="Z542" s="1"/>
      <c r="AA542" s="1"/>
      <c r="AB542" s="1"/>
      <c r="AC542" s="1"/>
      <c r="AD542" s="3"/>
      <c r="AE542" s="3"/>
      <c r="AF542" s="5"/>
      <c r="AG542" s="5"/>
      <c r="AH542" s="5"/>
      <c r="AI542" s="5"/>
      <c r="AJ542" s="6"/>
      <c r="AK542" s="6"/>
      <c r="AL542" s="12"/>
      <c r="AM542" s="12"/>
      <c r="AN542" s="12"/>
      <c r="AO542" s="12"/>
      <c r="AP542" s="12"/>
    </row>
    <row r="543" spans="1:42" ht="15" x14ac:dyDescent="0.25">
      <c r="A543" s="82" t="str">
        <f>TDCTRIBE!I551</f>
        <v>Southwest</v>
      </c>
      <c r="B543" s="82" t="str">
        <f>TDCTRIBE!B551</f>
        <v>CA</v>
      </c>
      <c r="C543" s="82" t="str">
        <f>TDCTRIBE!F551</f>
        <v>San Rosa Band of Cahuilla</v>
      </c>
      <c r="D543" s="83">
        <f>TDCTRIBE!Y551</f>
        <v>354008.25326999993</v>
      </c>
      <c r="E543" s="83">
        <f>TDCTRIBE!Z551</f>
        <v>392429.30987399997</v>
      </c>
      <c r="F543" s="83">
        <f>TDCTRIBE!AA551</f>
        <v>445001.55499800004</v>
      </c>
      <c r="G543" s="83">
        <f>TDCTRIBE!AB551</f>
        <v>480482.85717599996</v>
      </c>
      <c r="H543" s="83">
        <f>TDCTRIBE!AC551</f>
        <v>518121.54878399998</v>
      </c>
      <c r="O543" s="9"/>
      <c r="P543" s="1"/>
      <c r="Q543" s="1"/>
      <c r="R543" s="1"/>
      <c r="S543" s="1"/>
      <c r="T543" s="1"/>
      <c r="U543" s="1"/>
      <c r="V543" s="9"/>
      <c r="W543" s="3"/>
      <c r="X543" s="4"/>
      <c r="Y543" s="1"/>
      <c r="Z543" s="1"/>
      <c r="AA543" s="1"/>
      <c r="AB543" s="1"/>
      <c r="AC543" s="1"/>
      <c r="AD543" s="3"/>
      <c r="AE543" s="3"/>
      <c r="AF543" s="5"/>
      <c r="AG543" s="5"/>
      <c r="AH543" s="5"/>
      <c r="AI543" s="5"/>
      <c r="AJ543" s="6"/>
      <c r="AK543" s="6"/>
      <c r="AL543" s="12"/>
      <c r="AM543" s="12"/>
      <c r="AN543" s="12"/>
      <c r="AO543" s="12"/>
      <c r="AP543" s="12"/>
    </row>
    <row r="544" spans="1:42" ht="15" x14ac:dyDescent="0.25">
      <c r="A544" s="82" t="str">
        <f>TDCTRIBE!I552</f>
        <v>Southwest</v>
      </c>
      <c r="B544" s="82" t="str">
        <f>TDCTRIBE!B552</f>
        <v>CA</v>
      </c>
      <c r="C544" s="82" t="str">
        <f>TDCTRIBE!F552</f>
        <v>San Ysabel Reservation</v>
      </c>
      <c r="D544" s="83">
        <f>TDCTRIBE!Y552</f>
        <v>340558.31309499999</v>
      </c>
      <c r="E544" s="83">
        <f>TDCTRIBE!Z552</f>
        <v>377504.28923900001</v>
      </c>
      <c r="F544" s="83">
        <f>TDCTRIBE!AA552</f>
        <v>428052.34695300006</v>
      </c>
      <c r="G544" s="83">
        <f>TDCTRIBE!AB552</f>
        <v>462168.18863599998</v>
      </c>
      <c r="H544" s="83">
        <f>TDCTRIBE!AC552</f>
        <v>498370.60442400002</v>
      </c>
      <c r="O544" s="9"/>
      <c r="P544" s="1"/>
      <c r="Q544" s="1"/>
      <c r="R544" s="1"/>
      <c r="S544" s="1"/>
      <c r="T544" s="1"/>
      <c r="U544" s="1"/>
      <c r="V544" s="9"/>
      <c r="W544" s="3"/>
      <c r="X544" s="4"/>
      <c r="Y544" s="1"/>
      <c r="Z544" s="1"/>
      <c r="AA544" s="1"/>
      <c r="AB544" s="1"/>
      <c r="AC544" s="1"/>
      <c r="AD544" s="3"/>
      <c r="AE544" s="3"/>
      <c r="AF544" s="5"/>
      <c r="AG544" s="5"/>
      <c r="AH544" s="5"/>
      <c r="AI544" s="5"/>
      <c r="AJ544" s="6"/>
      <c r="AK544" s="6"/>
      <c r="AL544" s="12"/>
      <c r="AM544" s="12"/>
      <c r="AN544" s="12"/>
      <c r="AO544" s="12"/>
      <c r="AP544" s="12"/>
    </row>
    <row r="545" spans="1:42" ht="15" x14ac:dyDescent="0.25">
      <c r="A545" s="82" t="str">
        <f>TDCTRIBE!I553</f>
        <v>Southwest</v>
      </c>
      <c r="B545" s="82" t="str">
        <f>TDCTRIBE!B553</f>
        <v>CA</v>
      </c>
      <c r="C545" s="82" t="str">
        <f>TDCTRIBE!F553</f>
        <v>Santa Rosa Rancheria</v>
      </c>
      <c r="D545" s="83">
        <f>TDCTRIBE!Y553</f>
        <v>362477.51809500001</v>
      </c>
      <c r="E545" s="83">
        <f>TDCTRIBE!Z553</f>
        <v>400481.051439</v>
      </c>
      <c r="F545" s="83">
        <f>TDCTRIBE!AA553</f>
        <v>453833.14141550008</v>
      </c>
      <c r="G545" s="83">
        <f>TDCTRIBE!AB553</f>
        <v>491550.85576099996</v>
      </c>
      <c r="H545" s="83">
        <f>TDCTRIBE!AC553</f>
        <v>529899.63814900001</v>
      </c>
      <c r="O545" s="9"/>
      <c r="P545" s="1"/>
      <c r="Q545" s="1"/>
      <c r="R545" s="1"/>
      <c r="S545" s="1"/>
      <c r="T545" s="1"/>
      <c r="U545" s="1"/>
      <c r="V545" s="9"/>
      <c r="W545" s="3"/>
      <c r="X545" s="4"/>
      <c r="Y545" s="1"/>
      <c r="Z545" s="1"/>
      <c r="AA545" s="1"/>
      <c r="AB545" s="1"/>
      <c r="AC545" s="1"/>
      <c r="AD545" s="3"/>
      <c r="AE545" s="3"/>
      <c r="AF545" s="5"/>
      <c r="AG545" s="5"/>
      <c r="AH545" s="5"/>
      <c r="AI545" s="5"/>
      <c r="AJ545" s="6"/>
      <c r="AK545" s="6"/>
      <c r="AL545" s="12"/>
      <c r="AM545" s="12"/>
      <c r="AN545" s="12"/>
      <c r="AO545" s="12"/>
      <c r="AP545" s="12"/>
    </row>
    <row r="546" spans="1:42" ht="15" x14ac:dyDescent="0.25">
      <c r="A546" s="82" t="str">
        <f>TDCTRIBE!I554</f>
        <v>Southwest</v>
      </c>
      <c r="B546" s="82" t="str">
        <f>TDCTRIBE!B554</f>
        <v>CA</v>
      </c>
      <c r="C546" s="82" t="str">
        <f>TDCTRIBE!F554</f>
        <v>Santa Ynez Band of Chumash</v>
      </c>
      <c r="D546" s="83">
        <f>TDCTRIBE!Y554</f>
        <v>380949.22865999996</v>
      </c>
      <c r="E546" s="83">
        <f>TDCTRIBE!Z554</f>
        <v>421035.07744199998</v>
      </c>
      <c r="F546" s="83">
        <f>TDCTRIBE!AA554</f>
        <v>477342.135809</v>
      </c>
      <c r="G546" s="83">
        <f>TDCTRIBE!AB554</f>
        <v>517131.99540800008</v>
      </c>
      <c r="H546" s="83">
        <f>TDCTRIBE!AC554</f>
        <v>557497.23257199989</v>
      </c>
      <c r="O546" s="9"/>
      <c r="P546" s="1"/>
      <c r="Q546" s="1"/>
      <c r="R546" s="1"/>
      <c r="S546" s="1"/>
      <c r="T546" s="1"/>
      <c r="U546" s="1"/>
      <c r="V546" s="9"/>
      <c r="W546" s="3"/>
      <c r="X546" s="4"/>
      <c r="Y546" s="1"/>
      <c r="Z546" s="1"/>
      <c r="AA546" s="1"/>
      <c r="AB546" s="1"/>
      <c r="AC546" s="1"/>
      <c r="AD546" s="3"/>
      <c r="AE546" s="3"/>
      <c r="AF546" s="5"/>
      <c r="AG546" s="5"/>
      <c r="AH546" s="5"/>
      <c r="AI546" s="5"/>
      <c r="AJ546" s="6"/>
      <c r="AK546" s="6"/>
      <c r="AL546" s="12"/>
      <c r="AM546" s="12"/>
      <c r="AN546" s="12"/>
      <c r="AO546" s="12"/>
      <c r="AP546" s="12"/>
    </row>
    <row r="547" spans="1:42" ht="15" x14ac:dyDescent="0.25">
      <c r="A547" s="82" t="str">
        <f>TDCTRIBE!I555</f>
        <v>Southwest</v>
      </c>
      <c r="B547" s="82" t="str">
        <f>TDCTRIBE!B555</f>
        <v>CA</v>
      </c>
      <c r="C547" s="82" t="str">
        <f>TDCTRIBE!F555</f>
        <v>Scotts Valley (Pomo)</v>
      </c>
      <c r="D547" s="83">
        <f>TDCTRIBE!Y555</f>
        <v>395085.74952000001</v>
      </c>
      <c r="E547" s="83">
        <f>TDCTRIBE!Z555</f>
        <v>436243.09877399995</v>
      </c>
      <c r="F547" s="83">
        <f>TDCTRIBE!AA555</f>
        <v>493965.14852300007</v>
      </c>
      <c r="G547" s="83">
        <f>TDCTRIBE!AB555</f>
        <v>534802.97267599998</v>
      </c>
      <c r="H547" s="83">
        <f>TDCTRIBE!AC555</f>
        <v>576488.42238400003</v>
      </c>
      <c r="O547" s="9"/>
      <c r="P547" s="1"/>
      <c r="Q547" s="1"/>
      <c r="R547" s="1"/>
      <c r="S547" s="1"/>
      <c r="T547" s="1"/>
      <c r="U547" s="1"/>
      <c r="V547" s="9"/>
      <c r="W547" s="3"/>
      <c r="X547" s="4"/>
      <c r="Y547" s="1"/>
      <c r="Z547" s="1"/>
      <c r="AA547" s="1"/>
      <c r="AB547" s="1"/>
      <c r="AC547" s="1"/>
      <c r="AD547" s="3"/>
      <c r="AE547" s="3"/>
      <c r="AF547" s="5"/>
      <c r="AG547" s="5"/>
      <c r="AH547" s="5"/>
      <c r="AI547" s="5"/>
      <c r="AJ547" s="6"/>
      <c r="AK547" s="6"/>
      <c r="AL547" s="12"/>
      <c r="AM547" s="12"/>
      <c r="AN547" s="12"/>
      <c r="AO547" s="12"/>
      <c r="AP547" s="12"/>
    </row>
    <row r="548" spans="1:42" ht="15" x14ac:dyDescent="0.25">
      <c r="A548" s="82" t="str">
        <f>TDCTRIBE!I556</f>
        <v>Southwest</v>
      </c>
      <c r="B548" s="82" t="str">
        <f>TDCTRIBE!B556</f>
        <v>CA</v>
      </c>
      <c r="C548" s="82" t="str">
        <f>TDCTRIBE!F556</f>
        <v>Sheep Rancheria</v>
      </c>
      <c r="D548" s="83">
        <f>TDCTRIBE!Y556</f>
        <v>383354.01027000003</v>
      </c>
      <c r="E548" s="83">
        <f>TDCTRIBE!Z556</f>
        <v>423462.94817400002</v>
      </c>
      <c r="F548" s="83">
        <f>TDCTRIBE!AA556</f>
        <v>479752.63482300006</v>
      </c>
      <c r="G548" s="83">
        <f>TDCTRIBE!AB556</f>
        <v>519556.77702600003</v>
      </c>
      <c r="H548" s="83">
        <f>TDCTRIBE!AC556</f>
        <v>560078.60903400008</v>
      </c>
      <c r="O548" s="9"/>
      <c r="P548" s="1"/>
      <c r="Q548" s="1"/>
      <c r="R548" s="1"/>
      <c r="S548" s="1"/>
      <c r="T548" s="1"/>
      <c r="U548" s="1"/>
      <c r="V548" s="9"/>
      <c r="W548" s="3"/>
      <c r="X548" s="4"/>
      <c r="Y548" s="1"/>
      <c r="Z548" s="1"/>
      <c r="AA548" s="1"/>
      <c r="AB548" s="1"/>
      <c r="AC548" s="1"/>
      <c r="AD548" s="3"/>
      <c r="AE548" s="3"/>
      <c r="AF548" s="5"/>
      <c r="AG548" s="5"/>
      <c r="AH548" s="5"/>
      <c r="AI548" s="5"/>
      <c r="AJ548" s="6"/>
      <c r="AK548" s="6"/>
      <c r="AL548" s="12"/>
      <c r="AM548" s="12"/>
      <c r="AN548" s="12"/>
      <c r="AO548" s="12"/>
      <c r="AP548" s="12"/>
    </row>
    <row r="549" spans="1:42" ht="15" x14ac:dyDescent="0.25">
      <c r="A549" s="82" t="str">
        <f>TDCTRIBE!I557</f>
        <v>Southwest</v>
      </c>
      <c r="B549" s="82" t="str">
        <f>TDCTRIBE!B557</f>
        <v>CA</v>
      </c>
      <c r="C549" s="82" t="str">
        <f>TDCTRIBE!F557</f>
        <v>Sherwood Valley Rancheria</v>
      </c>
      <c r="D549" s="83">
        <f>TDCTRIBE!Y557</f>
        <v>395085.74952000001</v>
      </c>
      <c r="E549" s="83">
        <f>TDCTRIBE!Z557</f>
        <v>436243.09877399995</v>
      </c>
      <c r="F549" s="83">
        <f>TDCTRIBE!AA557</f>
        <v>493965.14852300007</v>
      </c>
      <c r="G549" s="83">
        <f>TDCTRIBE!AB557</f>
        <v>534802.97267599998</v>
      </c>
      <c r="H549" s="83">
        <f>TDCTRIBE!AC557</f>
        <v>576488.42238400003</v>
      </c>
      <c r="O549" s="9"/>
      <c r="P549" s="1"/>
      <c r="Q549" s="1"/>
      <c r="R549" s="1"/>
      <c r="S549" s="1"/>
      <c r="T549" s="1"/>
      <c r="U549" s="1"/>
      <c r="V549" s="9"/>
      <c r="W549" s="3"/>
      <c r="X549" s="4"/>
      <c r="Y549" s="1"/>
      <c r="Z549" s="1"/>
      <c r="AA549" s="1"/>
      <c r="AB549" s="1"/>
      <c r="AC549" s="1"/>
      <c r="AD549" s="3"/>
      <c r="AE549" s="3"/>
      <c r="AF549" s="5"/>
      <c r="AG549" s="5"/>
      <c r="AH549" s="5"/>
      <c r="AI549" s="5"/>
      <c r="AJ549" s="6"/>
      <c r="AK549" s="6"/>
      <c r="AL549" s="12"/>
      <c r="AM549" s="12"/>
      <c r="AN549" s="12"/>
      <c r="AO549" s="12"/>
      <c r="AP549" s="12"/>
    </row>
    <row r="550" spans="1:42" ht="15" x14ac:dyDescent="0.25">
      <c r="A550" s="82" t="str">
        <f>TDCTRIBE!I558</f>
        <v>Southwest</v>
      </c>
      <c r="B550" s="82" t="str">
        <f>TDCTRIBE!B558</f>
        <v>CA</v>
      </c>
      <c r="C550" s="82" t="str">
        <f>TDCTRIBE!F558</f>
        <v>Shingle Springs Rancheria</v>
      </c>
      <c r="D550" s="83">
        <f>TDCTRIBE!Y558</f>
        <v>390057.86126999999</v>
      </c>
      <c r="E550" s="83">
        <f>TDCTRIBE!Z558</f>
        <v>430765.891374</v>
      </c>
      <c r="F550" s="83">
        <f>TDCTRIBE!AA558</f>
        <v>487874.07122300001</v>
      </c>
      <c r="G550" s="83">
        <f>TDCTRIBE!AB558</f>
        <v>528268.88882599992</v>
      </c>
      <c r="H550" s="83">
        <f>TDCTRIBE!AC558</f>
        <v>569455.64523400005</v>
      </c>
      <c r="O550" s="9"/>
      <c r="P550" s="1"/>
      <c r="Q550" s="1"/>
      <c r="R550" s="1"/>
      <c r="S550" s="1"/>
      <c r="T550" s="1"/>
      <c r="U550" s="1"/>
      <c r="V550" s="9"/>
      <c r="W550" s="3"/>
      <c r="X550" s="4"/>
      <c r="Y550" s="1"/>
      <c r="Z550" s="1"/>
      <c r="AA550" s="1"/>
      <c r="AB550" s="1"/>
      <c r="AC550" s="1"/>
      <c r="AD550" s="3"/>
      <c r="AE550" s="3"/>
      <c r="AF550" s="5"/>
      <c r="AG550" s="5"/>
      <c r="AH550" s="5"/>
      <c r="AI550" s="5"/>
      <c r="AJ550" s="6"/>
      <c r="AK550" s="6"/>
      <c r="AL550" s="12"/>
      <c r="AM550" s="12"/>
      <c r="AN550" s="12"/>
      <c r="AO550" s="12"/>
      <c r="AP550" s="12"/>
    </row>
    <row r="551" spans="1:42" ht="15" x14ac:dyDescent="0.25">
      <c r="A551" s="82" t="str">
        <f>TDCTRIBE!I559</f>
        <v>Southwest</v>
      </c>
      <c r="B551" s="82" t="str">
        <f>TDCTRIBE!B559</f>
        <v>CA</v>
      </c>
      <c r="C551" s="82" t="str">
        <f>TDCTRIBE!F559</f>
        <v>Smith River Rancheria</v>
      </c>
      <c r="D551" s="83">
        <f>TDCTRIBE!Y559</f>
        <v>390057.86126999999</v>
      </c>
      <c r="E551" s="83">
        <f>TDCTRIBE!Z559</f>
        <v>430765.891374</v>
      </c>
      <c r="F551" s="83">
        <f>TDCTRIBE!AA559</f>
        <v>487874.07122300001</v>
      </c>
      <c r="G551" s="83">
        <f>TDCTRIBE!AB559</f>
        <v>528268.88882599992</v>
      </c>
      <c r="H551" s="83">
        <f>TDCTRIBE!AC559</f>
        <v>569455.64523400005</v>
      </c>
      <c r="O551" s="9"/>
      <c r="P551" s="1"/>
      <c r="Q551" s="1"/>
      <c r="R551" s="1"/>
      <c r="S551" s="1"/>
      <c r="T551" s="1"/>
      <c r="U551" s="1"/>
      <c r="V551" s="9"/>
      <c r="W551" s="3"/>
      <c r="X551" s="4"/>
      <c r="Y551" s="1"/>
      <c r="Z551" s="1"/>
      <c r="AA551" s="1"/>
      <c r="AB551" s="1"/>
      <c r="AC551" s="1"/>
      <c r="AD551" s="3"/>
      <c r="AE551" s="3"/>
      <c r="AF551" s="5"/>
      <c r="AG551" s="5"/>
      <c r="AH551" s="5"/>
      <c r="AI551" s="5"/>
      <c r="AJ551" s="6"/>
      <c r="AK551" s="6"/>
      <c r="AL551" s="12"/>
      <c r="AM551" s="12"/>
      <c r="AN551" s="12"/>
      <c r="AO551" s="12"/>
      <c r="AP551" s="12"/>
    </row>
    <row r="552" spans="1:42" ht="15" x14ac:dyDescent="0.25">
      <c r="A552" s="82" t="str">
        <f>TDCTRIBE!I560</f>
        <v>Southwest</v>
      </c>
      <c r="B552" s="82" t="str">
        <f>TDCTRIBE!B560</f>
        <v>CA</v>
      </c>
      <c r="C552" s="82" t="str">
        <f>TDCTRIBE!F560</f>
        <v>Soboba Band</v>
      </c>
      <c r="D552" s="83">
        <f>TDCTRIBE!Y560</f>
        <v>354008.25326999993</v>
      </c>
      <c r="E552" s="83">
        <f>TDCTRIBE!Z560</f>
        <v>392429.30987399997</v>
      </c>
      <c r="F552" s="83">
        <f>TDCTRIBE!AA560</f>
        <v>445001.55499800004</v>
      </c>
      <c r="G552" s="83">
        <f>TDCTRIBE!AB560</f>
        <v>480482.85717599996</v>
      </c>
      <c r="H552" s="83">
        <f>TDCTRIBE!AC560</f>
        <v>518121.54878399998</v>
      </c>
      <c r="O552" s="9"/>
      <c r="P552" s="1"/>
      <c r="Q552" s="1"/>
      <c r="R552" s="1"/>
      <c r="S552" s="1"/>
      <c r="T552" s="1"/>
      <c r="U552" s="1"/>
      <c r="V552" s="9"/>
      <c r="W552" s="3"/>
      <c r="X552" s="4"/>
      <c r="Y552" s="1"/>
      <c r="Z552" s="1"/>
      <c r="AA552" s="1"/>
      <c r="AB552" s="1"/>
      <c r="AC552" s="1"/>
      <c r="AD552" s="3"/>
      <c r="AE552" s="3"/>
      <c r="AF552" s="5"/>
      <c r="AG552" s="5"/>
      <c r="AH552" s="5"/>
      <c r="AI552" s="5"/>
      <c r="AJ552" s="6"/>
      <c r="AK552" s="6"/>
      <c r="AL552" s="12"/>
      <c r="AM552" s="12"/>
      <c r="AN552" s="12"/>
      <c r="AO552" s="12"/>
      <c r="AP552" s="12"/>
    </row>
    <row r="553" spans="1:42" ht="15" x14ac:dyDescent="0.25">
      <c r="A553" s="82" t="str">
        <f>TDCTRIBE!I561</f>
        <v>Southwest</v>
      </c>
      <c r="B553" s="82" t="str">
        <f>TDCTRIBE!B561</f>
        <v>CA</v>
      </c>
      <c r="C553" s="82" t="str">
        <f>TDCTRIBE!F561</f>
        <v>Stewarts Point Rancheria</v>
      </c>
      <c r="D553" s="83">
        <f>TDCTRIBE!Y561</f>
        <v>399567.02362500003</v>
      </c>
      <c r="E553" s="83">
        <f>TDCTRIBE!Z561</f>
        <v>441268.704975</v>
      </c>
      <c r="F553" s="83">
        <f>TDCTRIBE!AA561</f>
        <v>499771.12088750006</v>
      </c>
      <c r="G553" s="83">
        <f>TDCTRIBE!AB561</f>
        <v>541151.99127499992</v>
      </c>
      <c r="H553" s="83">
        <f>TDCTRIBE!AC561</f>
        <v>583343.36147500016</v>
      </c>
      <c r="O553" s="9"/>
      <c r="P553" s="1"/>
      <c r="Q553" s="1"/>
      <c r="R553" s="1"/>
      <c r="S553" s="1"/>
      <c r="T553" s="1"/>
      <c r="U553" s="1"/>
      <c r="V553" s="9"/>
      <c r="W553" s="3"/>
      <c r="X553" s="4"/>
      <c r="Y553" s="1"/>
      <c r="Z553" s="1"/>
      <c r="AA553" s="1"/>
      <c r="AB553" s="1"/>
      <c r="AC553" s="1"/>
      <c r="AD553" s="3"/>
      <c r="AE553" s="3"/>
      <c r="AF553" s="5"/>
      <c r="AG553" s="5"/>
      <c r="AH553" s="5"/>
      <c r="AI553" s="5"/>
      <c r="AJ553" s="6"/>
      <c r="AK553" s="6"/>
      <c r="AL553" s="12"/>
      <c r="AM553" s="12"/>
      <c r="AN553" s="12"/>
      <c r="AO553" s="12"/>
      <c r="AP553" s="12"/>
    </row>
    <row r="554" spans="1:42" ht="15" x14ac:dyDescent="0.25">
      <c r="A554" s="82" t="str">
        <f>TDCTRIBE!I562</f>
        <v>Southwest</v>
      </c>
      <c r="B554" s="82" t="str">
        <f>TDCTRIBE!B562</f>
        <v>CA</v>
      </c>
      <c r="C554" s="82" t="str">
        <f>TDCTRIBE!F562</f>
        <v>Sulphur Bank Rancheria</v>
      </c>
      <c r="D554" s="83">
        <f>TDCTRIBE!Y562</f>
        <v>395085.74952000001</v>
      </c>
      <c r="E554" s="83">
        <f>TDCTRIBE!Z562</f>
        <v>436243.09877399995</v>
      </c>
      <c r="F554" s="83">
        <f>TDCTRIBE!AA562</f>
        <v>493965.14852300007</v>
      </c>
      <c r="G554" s="83">
        <f>TDCTRIBE!AB562</f>
        <v>534802.97267599998</v>
      </c>
      <c r="H554" s="83">
        <f>TDCTRIBE!AC562</f>
        <v>576488.42238400003</v>
      </c>
      <c r="O554" s="9"/>
      <c r="P554" s="1"/>
      <c r="Q554" s="1"/>
      <c r="R554" s="1"/>
      <c r="S554" s="1"/>
      <c r="T554" s="1"/>
      <c r="U554" s="1"/>
      <c r="V554" s="9"/>
      <c r="W554" s="3"/>
      <c r="X554" s="4"/>
      <c r="Y554" s="1"/>
      <c r="Z554" s="1"/>
      <c r="AA554" s="1"/>
      <c r="AB554" s="1"/>
      <c r="AC554" s="1"/>
      <c r="AD554" s="3"/>
      <c r="AE554" s="3"/>
      <c r="AF554" s="5"/>
      <c r="AG554" s="5"/>
      <c r="AH554" s="5"/>
      <c r="AI554" s="5"/>
      <c r="AJ554" s="6"/>
      <c r="AK554" s="6"/>
      <c r="AL554" s="12"/>
      <c r="AM554" s="12"/>
      <c r="AN554" s="12"/>
      <c r="AO554" s="12"/>
      <c r="AP554" s="12"/>
    </row>
    <row r="555" spans="1:42" ht="15" x14ac:dyDescent="0.25">
      <c r="A555" s="82" t="str">
        <f>TDCTRIBE!I563</f>
        <v>Southwest</v>
      </c>
      <c r="B555" s="82" t="str">
        <f>TDCTRIBE!B563</f>
        <v>CA</v>
      </c>
      <c r="C555" s="82" t="str">
        <f>TDCTRIBE!F563</f>
        <v>Susanville Rancheria</v>
      </c>
      <c r="D555" s="83">
        <f>TDCTRIBE!Y563</f>
        <v>382589.07109500002</v>
      </c>
      <c r="E555" s="83">
        <f>TDCTRIBE!Z563</f>
        <v>422389.88103899994</v>
      </c>
      <c r="F555" s="83">
        <f>TDCTRIBE!AA563</f>
        <v>478197.45061550004</v>
      </c>
      <c r="G555" s="83">
        <f>TDCTRIBE!AB563</f>
        <v>517687.19116099994</v>
      </c>
      <c r="H555" s="83">
        <f>TDCTRIBE!AC563</f>
        <v>558030.74674900004</v>
      </c>
      <c r="O555" s="9"/>
      <c r="P555" s="1"/>
      <c r="Q555" s="1"/>
      <c r="R555" s="1"/>
      <c r="S555" s="1"/>
      <c r="T555" s="1"/>
      <c r="U555" s="1"/>
      <c r="V555" s="9"/>
      <c r="W555" s="3"/>
      <c r="X555" s="4"/>
      <c r="Y555" s="1"/>
      <c r="Z555" s="1"/>
      <c r="AA555" s="1"/>
      <c r="AB555" s="1"/>
      <c r="AC555" s="1"/>
      <c r="AD555" s="3"/>
      <c r="AE555" s="3"/>
      <c r="AF555" s="5"/>
      <c r="AG555" s="5"/>
      <c r="AH555" s="5"/>
      <c r="AI555" s="5"/>
      <c r="AJ555" s="6"/>
      <c r="AK555" s="6"/>
      <c r="AL555" s="12"/>
      <c r="AM555" s="12"/>
      <c r="AN555" s="12"/>
      <c r="AO555" s="12"/>
      <c r="AP555" s="12"/>
    </row>
    <row r="556" spans="1:42" ht="15" x14ac:dyDescent="0.25">
      <c r="A556" s="82" t="str">
        <f>TDCTRIBE!I564</f>
        <v>Southwest</v>
      </c>
      <c r="B556" s="82" t="str">
        <f>TDCTRIBE!B564</f>
        <v>CA</v>
      </c>
      <c r="C556" s="82" t="str">
        <f>TDCTRIBE!F564</f>
        <v>Sycuan Band</v>
      </c>
      <c r="D556" s="83">
        <f>TDCTRIBE!Y564</f>
        <v>340558.31309499999</v>
      </c>
      <c r="E556" s="83">
        <f>TDCTRIBE!Z564</f>
        <v>377504.28923900001</v>
      </c>
      <c r="F556" s="83">
        <f>TDCTRIBE!AA564</f>
        <v>428052.34695300006</v>
      </c>
      <c r="G556" s="83">
        <f>TDCTRIBE!AB564</f>
        <v>462168.18863599998</v>
      </c>
      <c r="H556" s="83">
        <f>TDCTRIBE!AC564</f>
        <v>498370.60442400002</v>
      </c>
      <c r="O556" s="9"/>
      <c r="P556" s="1"/>
      <c r="Q556" s="1"/>
      <c r="R556" s="1"/>
      <c r="S556" s="1"/>
      <c r="T556" s="1"/>
      <c r="U556" s="1"/>
      <c r="V556" s="9"/>
      <c r="W556" s="3"/>
      <c r="X556" s="4"/>
      <c r="Y556" s="1"/>
      <c r="Z556" s="1"/>
      <c r="AA556" s="1"/>
      <c r="AB556" s="1"/>
      <c r="AC556" s="1"/>
      <c r="AD556" s="3"/>
      <c r="AE556" s="3"/>
      <c r="AF556" s="5"/>
      <c r="AG556" s="5"/>
      <c r="AH556" s="5"/>
      <c r="AI556" s="5"/>
      <c r="AJ556" s="6"/>
      <c r="AK556" s="6"/>
      <c r="AL556" s="12"/>
      <c r="AM556" s="12"/>
      <c r="AN556" s="12"/>
      <c r="AO556" s="12"/>
      <c r="AP556" s="12"/>
    </row>
    <row r="557" spans="1:42" ht="15" x14ac:dyDescent="0.25">
      <c r="A557" s="82" t="str">
        <f>TDCTRIBE!I565</f>
        <v>Southwest</v>
      </c>
      <c r="B557" s="82" t="str">
        <f>TDCTRIBE!B565</f>
        <v>CA</v>
      </c>
      <c r="C557" s="82" t="str">
        <f>TDCTRIBE!F565</f>
        <v>Table Bluff Rancheria</v>
      </c>
      <c r="D557" s="83">
        <f>TDCTRIBE!Y565</f>
        <v>396032.89341000002</v>
      </c>
      <c r="E557" s="83">
        <f>TDCTRIBE!Z565</f>
        <v>437466.69964199996</v>
      </c>
      <c r="F557" s="83">
        <f>TDCTRIBE!AA565</f>
        <v>495615.36770900013</v>
      </c>
      <c r="G557" s="83">
        <f>TDCTRIBE!AB565</f>
        <v>536734.24695800012</v>
      </c>
      <c r="H557" s="83">
        <f>TDCTRIBE!AC565</f>
        <v>578595.56402199995</v>
      </c>
      <c r="O557" s="9"/>
      <c r="P557" s="1"/>
      <c r="Q557" s="1"/>
      <c r="R557" s="1"/>
      <c r="S557" s="1"/>
      <c r="T557" s="1"/>
      <c r="U557" s="1"/>
      <c r="V557" s="9"/>
      <c r="W557" s="3"/>
      <c r="X557" s="4"/>
      <c r="Y557" s="1"/>
      <c r="Z557" s="1"/>
      <c r="AA557" s="1"/>
      <c r="AB557" s="1"/>
      <c r="AC557" s="1"/>
      <c r="AD557" s="3"/>
      <c r="AE557" s="3"/>
      <c r="AF557" s="5"/>
      <c r="AG557" s="5"/>
      <c r="AH557" s="5"/>
      <c r="AI557" s="5"/>
      <c r="AJ557" s="6"/>
      <c r="AK557" s="6"/>
      <c r="AL557" s="12"/>
      <c r="AM557" s="12"/>
      <c r="AN557" s="12"/>
      <c r="AO557" s="12"/>
      <c r="AP557" s="12"/>
    </row>
    <row r="558" spans="1:42" ht="15" x14ac:dyDescent="0.25">
      <c r="A558" s="82" t="str">
        <f>TDCTRIBE!I566</f>
        <v>Southwest</v>
      </c>
      <c r="B558" s="82" t="str">
        <f>TDCTRIBE!B566</f>
        <v>CA</v>
      </c>
      <c r="C558" s="82" t="str">
        <f>TDCTRIBE!F566</f>
        <v>Table Mountain Rancheria</v>
      </c>
      <c r="D558" s="83">
        <f>TDCTRIBE!Y566</f>
        <v>391769.94433500001</v>
      </c>
      <c r="E558" s="83">
        <f>TDCTRIBE!Z566</f>
        <v>433062.55937699997</v>
      </c>
      <c r="F558" s="83">
        <f>TDCTRIBE!AA566</f>
        <v>491079.47461650008</v>
      </c>
      <c r="G558" s="83">
        <f>TDCTRIBE!AB566</f>
        <v>532069.74897299998</v>
      </c>
      <c r="H558" s="83">
        <f>TDCTRIBE!AC566</f>
        <v>573610.64915700001</v>
      </c>
      <c r="O558" s="9"/>
      <c r="P558" s="1"/>
      <c r="Q558" s="1"/>
      <c r="R558" s="1"/>
      <c r="S558" s="1"/>
      <c r="T558" s="1"/>
      <c r="U558" s="1"/>
      <c r="V558" s="9"/>
      <c r="W558" s="3"/>
      <c r="X558" s="4"/>
      <c r="Y558" s="1"/>
      <c r="Z558" s="1"/>
      <c r="AA558" s="1"/>
      <c r="AB558" s="1"/>
      <c r="AC558" s="1"/>
      <c r="AD558" s="3"/>
      <c r="AE558" s="3"/>
      <c r="AF558" s="5"/>
      <c r="AG558" s="5"/>
      <c r="AH558" s="5"/>
      <c r="AI558" s="5"/>
      <c r="AJ558" s="6"/>
      <c r="AK558" s="6"/>
      <c r="AL558" s="12"/>
      <c r="AM558" s="12"/>
      <c r="AN558" s="12"/>
      <c r="AO558" s="12"/>
      <c r="AP558" s="12"/>
    </row>
    <row r="559" spans="1:42" ht="15" x14ac:dyDescent="0.25">
      <c r="A559" s="82" t="s">
        <v>322</v>
      </c>
      <c r="B559" s="82" t="s">
        <v>421</v>
      </c>
      <c r="C559" s="82" t="str">
        <f>TDCTRIBE!F567</f>
        <v>Tejon Tribe</v>
      </c>
      <c r="D559" s="83">
        <f>TDCTRIBE!Y567</f>
        <v>350858.28826999996</v>
      </c>
      <c r="E559" s="83">
        <f>TDCTRIBE!Z567</f>
        <v>388983.11397400004</v>
      </c>
      <c r="F559" s="83">
        <f>TDCTRIBE!AA567</f>
        <v>441167.30149800004</v>
      </c>
      <c r="G559" s="83">
        <f>TDCTRIBE!AB567</f>
        <v>476384.69317600003</v>
      </c>
      <c r="H559" s="83">
        <f>TDCTRIBE!AC567</f>
        <v>513707.09678400005</v>
      </c>
      <c r="O559" s="9"/>
      <c r="P559" s="1"/>
      <c r="Q559" s="1"/>
      <c r="R559" s="1"/>
      <c r="S559" s="1"/>
      <c r="T559" s="1"/>
      <c r="U559" s="1"/>
      <c r="V559" s="9"/>
      <c r="W559" s="3"/>
      <c r="X559" s="4"/>
      <c r="Y559" s="1"/>
      <c r="Z559" s="1"/>
      <c r="AA559" s="1"/>
      <c r="AB559" s="1"/>
      <c r="AC559" s="1"/>
      <c r="AD559" s="3"/>
      <c r="AE559" s="3"/>
      <c r="AF559" s="5"/>
      <c r="AG559" s="5"/>
      <c r="AH559" s="5"/>
      <c r="AI559" s="5"/>
      <c r="AJ559" s="6"/>
      <c r="AK559" s="6"/>
      <c r="AL559" s="12"/>
      <c r="AM559" s="12"/>
      <c r="AN559" s="12"/>
      <c r="AO559" s="12"/>
      <c r="AP559" s="12"/>
    </row>
    <row r="560" spans="1:42" ht="15" x14ac:dyDescent="0.25">
      <c r="A560" s="82" t="str">
        <f>TDCTRIBE!I568</f>
        <v>Southwest</v>
      </c>
      <c r="B560" s="82" t="str">
        <f>TDCTRIBE!B568</f>
        <v>CA</v>
      </c>
      <c r="C560" s="82" t="str">
        <f>TDCTRIBE!F568</f>
        <v>Torres-Martinez Band of Cahuilla</v>
      </c>
      <c r="D560" s="83">
        <f>TDCTRIBE!Y568</f>
        <v>350858.28826999996</v>
      </c>
      <c r="E560" s="83">
        <f>TDCTRIBE!Z568</f>
        <v>388983.11397400004</v>
      </c>
      <c r="F560" s="83">
        <f>TDCTRIBE!AA568</f>
        <v>441167.30149800004</v>
      </c>
      <c r="G560" s="83">
        <f>TDCTRIBE!AB568</f>
        <v>476384.69317600003</v>
      </c>
      <c r="H560" s="83">
        <f>TDCTRIBE!AC568</f>
        <v>513707.09678400005</v>
      </c>
      <c r="O560" s="9"/>
      <c r="P560" s="1"/>
      <c r="Q560" s="1"/>
      <c r="R560" s="1"/>
      <c r="S560" s="1"/>
      <c r="T560" s="1"/>
      <c r="U560" s="1"/>
      <c r="V560" s="9"/>
      <c r="W560" s="3"/>
      <c r="X560" s="4"/>
      <c r="Y560" s="1"/>
      <c r="Z560" s="1"/>
      <c r="AA560" s="1"/>
      <c r="AB560" s="1"/>
      <c r="AC560" s="1"/>
      <c r="AD560" s="3"/>
      <c r="AE560" s="3"/>
      <c r="AF560" s="5"/>
      <c r="AG560" s="5"/>
      <c r="AH560" s="5"/>
      <c r="AI560" s="5"/>
      <c r="AJ560" s="6"/>
      <c r="AK560" s="6"/>
      <c r="AL560" s="12"/>
      <c r="AM560" s="12"/>
      <c r="AN560" s="12"/>
      <c r="AO560" s="12"/>
      <c r="AP560" s="12"/>
    </row>
    <row r="561" spans="1:42" ht="15" x14ac:dyDescent="0.25">
      <c r="A561" s="82" t="str">
        <f>TDCTRIBE!I569</f>
        <v>Southwest</v>
      </c>
      <c r="B561" s="82" t="str">
        <f>TDCTRIBE!B569</f>
        <v>CA</v>
      </c>
      <c r="C561" s="82" t="str">
        <f>TDCTRIBE!F569</f>
        <v>Trinidad Rancheria</v>
      </c>
      <c r="D561" s="83">
        <f>TDCTRIBE!Y569</f>
        <v>396032.89341000002</v>
      </c>
      <c r="E561" s="83">
        <f>TDCTRIBE!Z569</f>
        <v>437466.69964199996</v>
      </c>
      <c r="F561" s="83">
        <f>TDCTRIBE!AA569</f>
        <v>495615.36770900013</v>
      </c>
      <c r="G561" s="83">
        <f>TDCTRIBE!AB569</f>
        <v>536734.24695800012</v>
      </c>
      <c r="H561" s="83">
        <f>TDCTRIBE!AC569</f>
        <v>578595.56402199995</v>
      </c>
      <c r="O561" s="9"/>
      <c r="P561" s="1"/>
      <c r="Q561" s="1"/>
      <c r="R561" s="1"/>
      <c r="S561" s="1"/>
      <c r="T561" s="1"/>
      <c r="U561" s="1"/>
      <c r="V561" s="9"/>
      <c r="W561" s="3"/>
      <c r="X561" s="4"/>
      <c r="Y561" s="1"/>
      <c r="Z561" s="1"/>
      <c r="AA561" s="1"/>
      <c r="AB561" s="1"/>
      <c r="AC561" s="1"/>
      <c r="AD561" s="3"/>
      <c r="AE561" s="3"/>
      <c r="AF561" s="5"/>
      <c r="AG561" s="5"/>
      <c r="AH561" s="5"/>
      <c r="AI561" s="5"/>
      <c r="AJ561" s="6"/>
      <c r="AK561" s="6"/>
      <c r="AL561" s="12"/>
      <c r="AM561" s="12"/>
      <c r="AN561" s="12"/>
      <c r="AO561" s="12"/>
      <c r="AP561" s="12"/>
    </row>
    <row r="562" spans="1:42" ht="15" x14ac:dyDescent="0.25">
      <c r="A562" s="82" t="str">
        <f>TDCTRIBE!I570</f>
        <v>Southwest</v>
      </c>
      <c r="B562" s="82" t="str">
        <f>TDCTRIBE!B570</f>
        <v>CA</v>
      </c>
      <c r="C562" s="82" t="str">
        <f>TDCTRIBE!F570</f>
        <v>Tule River Indian Tribe</v>
      </c>
      <c r="D562" s="83">
        <f>TDCTRIBE!Y570</f>
        <v>383390.13058500004</v>
      </c>
      <c r="E562" s="83">
        <f>TDCTRIBE!Z570</f>
        <v>423933.88037699996</v>
      </c>
      <c r="F562" s="83">
        <f>TDCTRIBE!AA570</f>
        <v>480927.67911650013</v>
      </c>
      <c r="G562" s="83">
        <f>TDCTRIBE!AB570</f>
        <v>521179.60922300006</v>
      </c>
      <c r="H562" s="83">
        <f>TDCTRIBE!AC570</f>
        <v>561889.35390700004</v>
      </c>
      <c r="O562" s="9"/>
      <c r="P562" s="1"/>
      <c r="Q562" s="1"/>
      <c r="R562" s="1"/>
      <c r="S562" s="1"/>
      <c r="T562" s="1"/>
      <c r="U562" s="1"/>
      <c r="V562" s="9"/>
      <c r="W562" s="3"/>
      <c r="X562" s="4"/>
      <c r="Y562" s="1"/>
      <c r="Z562" s="1"/>
      <c r="AA562" s="1"/>
      <c r="AB562" s="1"/>
      <c r="AC562" s="1"/>
      <c r="AD562" s="3"/>
      <c r="AE562" s="3"/>
      <c r="AF562" s="5"/>
      <c r="AG562" s="5"/>
      <c r="AH562" s="5"/>
      <c r="AI562" s="5"/>
      <c r="AJ562" s="6"/>
      <c r="AK562" s="6"/>
      <c r="AL562" s="12"/>
      <c r="AM562" s="12"/>
      <c r="AN562" s="12"/>
      <c r="AO562" s="12"/>
      <c r="AP562" s="12"/>
    </row>
    <row r="563" spans="1:42" ht="15" x14ac:dyDescent="0.25">
      <c r="A563" s="82" t="str">
        <f>TDCTRIBE!I571</f>
        <v>Southwest</v>
      </c>
      <c r="B563" s="82" t="str">
        <f>TDCTRIBE!B571</f>
        <v>CA</v>
      </c>
      <c r="C563" s="82" t="str">
        <f>TDCTRIBE!F571</f>
        <v>Tulomne Rancheria</v>
      </c>
      <c r="D563" s="83">
        <f>TDCTRIBE!Y571</f>
        <v>380002.08476999996</v>
      </c>
      <c r="E563" s="83">
        <f>TDCTRIBE!Z571</f>
        <v>419811.47657399997</v>
      </c>
      <c r="F563" s="83">
        <f>TDCTRIBE!AA571</f>
        <v>475691.91662300006</v>
      </c>
      <c r="G563" s="83">
        <f>TDCTRIBE!AB571</f>
        <v>515200.72112599993</v>
      </c>
      <c r="H563" s="83">
        <f>TDCTRIBE!AC571</f>
        <v>555390.09093399998</v>
      </c>
      <c r="O563" s="9"/>
      <c r="P563" s="1"/>
      <c r="Q563" s="1"/>
      <c r="R563" s="1"/>
      <c r="S563" s="1"/>
      <c r="T563" s="1"/>
      <c r="U563" s="1"/>
      <c r="V563" s="9"/>
      <c r="W563" s="3"/>
      <c r="X563" s="4"/>
      <c r="Y563" s="1"/>
      <c r="Z563" s="1"/>
      <c r="AA563" s="1"/>
      <c r="AB563" s="1"/>
      <c r="AC563" s="1"/>
      <c r="AD563" s="3"/>
      <c r="AE563" s="3"/>
      <c r="AF563" s="5"/>
      <c r="AG563" s="5"/>
      <c r="AH563" s="5"/>
      <c r="AI563" s="5"/>
      <c r="AJ563" s="6"/>
      <c r="AK563" s="6"/>
      <c r="AL563" s="12"/>
      <c r="AM563" s="12"/>
      <c r="AN563" s="12"/>
      <c r="AO563" s="12"/>
      <c r="AP563" s="12"/>
    </row>
    <row r="564" spans="1:42" ht="15" x14ac:dyDescent="0.25">
      <c r="A564" s="82" t="str">
        <f>TDCTRIBE!I572</f>
        <v>Southwest</v>
      </c>
      <c r="B564" s="82" t="str">
        <f>TDCTRIBE!B572</f>
        <v>CA</v>
      </c>
      <c r="C564" s="82" t="str">
        <f>TDCTRIBE!F572</f>
        <v>Twenty Nine Palms Band</v>
      </c>
      <c r="D564" s="83">
        <f>TDCTRIBE!Y572</f>
        <v>352433.27076999994</v>
      </c>
      <c r="E564" s="83">
        <f>TDCTRIBE!Z572</f>
        <v>390706.21192399994</v>
      </c>
      <c r="F564" s="83">
        <f>TDCTRIBE!AA572</f>
        <v>443084.42824800004</v>
      </c>
      <c r="G564" s="83">
        <f>TDCTRIBE!AB572</f>
        <v>478433.77517599997</v>
      </c>
      <c r="H564" s="83">
        <f>TDCTRIBE!AC572</f>
        <v>515914.32278399996</v>
      </c>
      <c r="O564" s="9"/>
      <c r="P564" s="1"/>
      <c r="Q564" s="1"/>
      <c r="R564" s="1"/>
      <c r="S564" s="1"/>
      <c r="T564" s="1"/>
      <c r="U564" s="1"/>
      <c r="V564" s="9"/>
      <c r="W564" s="3"/>
      <c r="X564" s="4"/>
      <c r="Y564" s="1"/>
      <c r="Z564" s="1"/>
      <c r="AA564" s="1"/>
      <c r="AB564" s="1"/>
      <c r="AC564" s="1"/>
      <c r="AD564" s="3"/>
      <c r="AE564" s="3"/>
      <c r="AF564" s="5"/>
      <c r="AG564" s="5"/>
      <c r="AH564" s="5"/>
      <c r="AI564" s="5"/>
      <c r="AJ564" s="6"/>
      <c r="AK564" s="6"/>
      <c r="AL564" s="12"/>
      <c r="AM564" s="12"/>
      <c r="AN564" s="12"/>
      <c r="AO564" s="12"/>
      <c r="AP564" s="12"/>
    </row>
    <row r="565" spans="1:42" ht="15" x14ac:dyDescent="0.25">
      <c r="A565" s="82" t="str">
        <f>TDCTRIBE!I573</f>
        <v>Southwest</v>
      </c>
      <c r="B565" s="82" t="str">
        <f>TDCTRIBE!B573</f>
        <v>CA</v>
      </c>
      <c r="C565" s="82" t="str">
        <f>TDCTRIBE!F573</f>
        <v>Upper Lake Rancheria</v>
      </c>
      <c r="D565" s="83">
        <f>TDCTRIBE!Y573</f>
        <v>395085.74952000001</v>
      </c>
      <c r="E565" s="83">
        <f>TDCTRIBE!Z573</f>
        <v>436243.09877399995</v>
      </c>
      <c r="F565" s="83">
        <f>TDCTRIBE!AA573</f>
        <v>493965.14852300007</v>
      </c>
      <c r="G565" s="83">
        <f>TDCTRIBE!AB573</f>
        <v>534802.97267599998</v>
      </c>
      <c r="H565" s="83">
        <f>TDCTRIBE!AC573</f>
        <v>576488.42238400003</v>
      </c>
      <c r="O565" s="9"/>
      <c r="P565" s="1"/>
      <c r="Q565" s="1"/>
      <c r="R565" s="1"/>
      <c r="S565" s="1"/>
      <c r="T565" s="1"/>
      <c r="U565" s="1"/>
      <c r="V565" s="9"/>
      <c r="W565" s="3"/>
      <c r="X565" s="4"/>
      <c r="Y565" s="1"/>
      <c r="Z565" s="1"/>
      <c r="AA565" s="1"/>
      <c r="AB565" s="1"/>
      <c r="AC565" s="1"/>
      <c r="AD565" s="3"/>
      <c r="AE565" s="3"/>
      <c r="AF565" s="5"/>
      <c r="AG565" s="5"/>
      <c r="AH565" s="5"/>
      <c r="AI565" s="5"/>
      <c r="AJ565" s="6"/>
      <c r="AK565" s="6"/>
      <c r="AL565" s="12"/>
      <c r="AM565" s="12"/>
      <c r="AN565" s="12"/>
      <c r="AO565" s="12"/>
      <c r="AP565" s="12"/>
    </row>
    <row r="566" spans="1:42" ht="15" x14ac:dyDescent="0.25">
      <c r="A566" s="82" t="str">
        <f>TDCTRIBE!I574</f>
        <v>Southwest</v>
      </c>
      <c r="B566" s="82" t="str">
        <f>TDCTRIBE!B574</f>
        <v>CA</v>
      </c>
      <c r="C566" s="82" t="str">
        <f>TDCTRIBE!F574</f>
        <v>Utu Utu Gwaiti Paiute</v>
      </c>
      <c r="D566" s="83">
        <f>TDCTRIBE!Y574</f>
        <v>371622.27102000004</v>
      </c>
      <c r="E566" s="83">
        <f>TDCTRIBE!Z574</f>
        <v>410682.79757399991</v>
      </c>
      <c r="F566" s="83">
        <f>TDCTRIBE!AA574</f>
        <v>465540.12112300005</v>
      </c>
      <c r="G566" s="83">
        <f>TDCTRIBE!AB574</f>
        <v>504310.58137600002</v>
      </c>
      <c r="H566" s="83">
        <f>TDCTRIBE!AC574</f>
        <v>543668.7956839999</v>
      </c>
      <c r="O566" s="9"/>
      <c r="P566" s="1"/>
      <c r="Q566" s="1"/>
      <c r="R566" s="1"/>
      <c r="S566" s="1"/>
      <c r="T566" s="1"/>
      <c r="U566" s="1"/>
      <c r="V566" s="9"/>
      <c r="W566" s="3"/>
      <c r="X566" s="4"/>
      <c r="Y566" s="1"/>
      <c r="Z566" s="1"/>
      <c r="AA566" s="1"/>
      <c r="AB566" s="1"/>
      <c r="AC566" s="1"/>
      <c r="AD566" s="3"/>
      <c r="AE566" s="3"/>
      <c r="AF566" s="5"/>
      <c r="AG566" s="5"/>
      <c r="AH566" s="5"/>
      <c r="AI566" s="5"/>
      <c r="AJ566" s="6"/>
      <c r="AK566" s="6"/>
      <c r="AL566" s="12"/>
      <c r="AM566" s="12"/>
      <c r="AN566" s="12"/>
      <c r="AO566" s="12"/>
      <c r="AP566" s="12"/>
    </row>
    <row r="567" spans="1:42" ht="15" x14ac:dyDescent="0.25">
      <c r="A567" s="82" t="str">
        <f>TDCTRIBE!I575</f>
        <v>Southwest</v>
      </c>
      <c r="B567" s="82" t="str">
        <f>TDCTRIBE!B575</f>
        <v>CA</v>
      </c>
      <c r="C567" s="82" t="str">
        <f>TDCTRIBE!F575</f>
        <v>Viejas Group of Capitan Grande</v>
      </c>
      <c r="D567" s="83">
        <f>TDCTRIBE!Y575</f>
        <v>340558.31309499999</v>
      </c>
      <c r="E567" s="83">
        <f>TDCTRIBE!Z575</f>
        <v>377504.28923900001</v>
      </c>
      <c r="F567" s="83">
        <f>TDCTRIBE!AA575</f>
        <v>428052.34695300006</v>
      </c>
      <c r="G567" s="83">
        <f>TDCTRIBE!AB575</f>
        <v>462168.18863599998</v>
      </c>
      <c r="H567" s="83">
        <f>TDCTRIBE!AC575</f>
        <v>498370.60442400002</v>
      </c>
      <c r="O567" s="9"/>
      <c r="P567" s="1"/>
      <c r="Q567" s="1"/>
      <c r="R567" s="1"/>
      <c r="S567" s="1"/>
      <c r="T567" s="1"/>
      <c r="U567" s="1"/>
      <c r="V567" s="9"/>
      <c r="W567" s="3"/>
      <c r="X567" s="4"/>
      <c r="Y567" s="1"/>
      <c r="Z567" s="1"/>
      <c r="AA567" s="1"/>
      <c r="AB567" s="1"/>
      <c r="AC567" s="1"/>
      <c r="AD567" s="3"/>
      <c r="AE567" s="3"/>
      <c r="AF567" s="5"/>
      <c r="AG567" s="5"/>
      <c r="AH567" s="5"/>
      <c r="AI567" s="5"/>
      <c r="AJ567" s="6"/>
      <c r="AK567" s="6"/>
      <c r="AL567" s="12"/>
      <c r="AM567" s="12"/>
      <c r="AN567" s="12"/>
      <c r="AO567" s="12"/>
      <c r="AP567" s="12"/>
    </row>
    <row r="568" spans="1:42" ht="15" x14ac:dyDescent="0.25">
      <c r="A568" s="82" t="str">
        <f>TDCTRIBE!I576</f>
        <v>Southwest</v>
      </c>
      <c r="B568" s="82" t="str">
        <f>TDCTRIBE!B576</f>
        <v>CA</v>
      </c>
      <c r="C568" s="82" t="str">
        <f>TDCTRIBE!F576</f>
        <v>Wilton Rancheria</v>
      </c>
      <c r="D568" s="83">
        <f>TDCTRIBE!Y576</f>
        <v>372618.08234000002</v>
      </c>
      <c r="E568" s="83">
        <f>TDCTRIBE!Z576</f>
        <v>412873.34090799995</v>
      </c>
      <c r="F568" s="83">
        <f>TDCTRIBE!AA576</f>
        <v>467885.102916</v>
      </c>
      <c r="G568" s="83">
        <f>TDCTRIBE!AB576</f>
        <v>505021.01339199988</v>
      </c>
      <c r="H568" s="83">
        <f>TDCTRIBE!AC576</f>
        <v>544562.62492800003</v>
      </c>
      <c r="O568" s="9"/>
      <c r="P568" s="1"/>
      <c r="Q568" s="1"/>
      <c r="R568" s="1"/>
      <c r="S568" s="1"/>
      <c r="T568" s="1"/>
      <c r="U568" s="1"/>
      <c r="V568" s="9"/>
      <c r="W568" s="3"/>
      <c r="X568" s="4"/>
      <c r="Y568" s="1"/>
      <c r="Z568" s="1"/>
      <c r="AA568" s="1"/>
      <c r="AB568" s="1"/>
      <c r="AC568" s="1"/>
      <c r="AD568" s="3"/>
      <c r="AE568" s="3"/>
      <c r="AF568" s="5"/>
      <c r="AG568" s="5"/>
      <c r="AH568" s="5"/>
      <c r="AI568" s="5"/>
      <c r="AJ568" s="6"/>
      <c r="AK568" s="6"/>
      <c r="AL568" s="12"/>
      <c r="AM568" s="12"/>
      <c r="AN568" s="12"/>
      <c r="AO568" s="12"/>
      <c r="AP568" s="12"/>
    </row>
    <row r="569" spans="1:42" ht="15" x14ac:dyDescent="0.25">
      <c r="A569" s="82" t="str">
        <f>TDCTRIBE!I577</f>
        <v>Southwest</v>
      </c>
      <c r="B569" s="82" t="str">
        <f>TDCTRIBE!B577</f>
        <v>CA</v>
      </c>
      <c r="C569" s="82" t="str">
        <f>TDCTRIBE!F577</f>
        <v>Yurok Tribe</v>
      </c>
      <c r="D569" s="83">
        <f>TDCTRIBE!Y577</f>
        <v>396032.89341000002</v>
      </c>
      <c r="E569" s="83">
        <f>TDCTRIBE!Z577</f>
        <v>437466.69964199996</v>
      </c>
      <c r="F569" s="83">
        <f>TDCTRIBE!AA577</f>
        <v>495615.36770900013</v>
      </c>
      <c r="G569" s="83">
        <f>TDCTRIBE!AB577</f>
        <v>536734.24695800012</v>
      </c>
      <c r="H569" s="83">
        <f>TDCTRIBE!AC577</f>
        <v>578595.56402199995</v>
      </c>
      <c r="O569" s="9"/>
      <c r="P569" s="1"/>
      <c r="Q569" s="1"/>
      <c r="R569" s="1"/>
      <c r="S569" s="1"/>
      <c r="T569" s="1"/>
      <c r="U569" s="1"/>
      <c r="V569" s="9"/>
      <c r="W569" s="3"/>
      <c r="X569" s="4"/>
      <c r="Y569" s="1"/>
      <c r="Z569" s="1"/>
      <c r="AA569" s="1"/>
      <c r="AB569" s="1"/>
      <c r="AC569" s="1"/>
      <c r="AD569" s="3"/>
      <c r="AE569" s="3"/>
      <c r="AF569" s="5"/>
      <c r="AG569" s="5"/>
      <c r="AH569" s="5"/>
      <c r="AI569" s="5"/>
      <c r="AJ569" s="6"/>
      <c r="AK569" s="6"/>
      <c r="AL569" s="12"/>
      <c r="AM569" s="12"/>
      <c r="AN569" s="12"/>
      <c r="AO569" s="12"/>
      <c r="AP569" s="12"/>
    </row>
    <row r="570" spans="1:42" ht="15" x14ac:dyDescent="0.25">
      <c r="A570" s="82" t="str">
        <f>TDCTRIBE!I578</f>
        <v>Southwest</v>
      </c>
      <c r="B570" s="82" t="str">
        <f>TDCTRIBE!B578</f>
        <v>NM</v>
      </c>
      <c r="C570" s="82" t="str">
        <f>TDCTRIBE!F578</f>
        <v>Acoma Pueblo</v>
      </c>
      <c r="D570" s="83">
        <f>TDCTRIBE!Y578</f>
        <v>279882.57296999998</v>
      </c>
      <c r="E570" s="83">
        <f>TDCTRIBE!Z578</f>
        <v>309306.133164</v>
      </c>
      <c r="F570" s="83">
        <f>TDCTRIBE!AA578</f>
        <v>350630.34267799999</v>
      </c>
      <c r="G570" s="83">
        <f>TDCTRIBE!AB578</f>
        <v>379835.61278600001</v>
      </c>
      <c r="H570" s="83">
        <f>TDCTRIBE!AC578</f>
        <v>409480.15137400007</v>
      </c>
      <c r="O570" s="9"/>
      <c r="P570" s="1"/>
      <c r="Q570" s="1"/>
      <c r="R570" s="1"/>
      <c r="S570" s="1"/>
      <c r="T570" s="1"/>
      <c r="U570" s="1"/>
      <c r="V570" s="9"/>
      <c r="W570" s="3"/>
      <c r="X570" s="4"/>
      <c r="Y570" s="1"/>
      <c r="Z570" s="1"/>
      <c r="AA570" s="1"/>
      <c r="AB570" s="1"/>
      <c r="AC570" s="1"/>
      <c r="AD570" s="3"/>
      <c r="AE570" s="3"/>
      <c r="AF570" s="5"/>
      <c r="AG570" s="5"/>
      <c r="AH570" s="5"/>
      <c r="AI570" s="5"/>
      <c r="AJ570" s="6"/>
      <c r="AK570" s="6"/>
      <c r="AL570" s="12"/>
      <c r="AM570" s="12"/>
      <c r="AN570" s="12"/>
      <c r="AO570" s="12"/>
      <c r="AP570" s="12"/>
    </row>
    <row r="571" spans="1:42" ht="15" x14ac:dyDescent="0.25">
      <c r="A571" s="82" t="str">
        <f>TDCTRIBE!I579</f>
        <v>Southwest</v>
      </c>
      <c r="B571" s="82" t="str">
        <f>TDCTRIBE!B579</f>
        <v>NM</v>
      </c>
      <c r="C571" s="82" t="str">
        <f>TDCTRIBE!F579</f>
        <v>Cochiti Pueblo</v>
      </c>
      <c r="D571" s="83">
        <f>TDCTRIBE!Y579</f>
        <v>279882.57296999998</v>
      </c>
      <c r="E571" s="83">
        <f>TDCTRIBE!Z579</f>
        <v>309306.133164</v>
      </c>
      <c r="F571" s="83">
        <f>TDCTRIBE!AA579</f>
        <v>350630.34267799999</v>
      </c>
      <c r="G571" s="83">
        <f>TDCTRIBE!AB579</f>
        <v>379835.61278600001</v>
      </c>
      <c r="H571" s="83">
        <f>TDCTRIBE!AC579</f>
        <v>409480.15137400007</v>
      </c>
      <c r="O571" s="9"/>
      <c r="P571" s="1"/>
      <c r="Q571" s="1"/>
      <c r="R571" s="1"/>
      <c r="S571" s="1"/>
      <c r="T571" s="1"/>
      <c r="U571" s="1"/>
      <c r="V571" s="9"/>
      <c r="W571" s="3"/>
      <c r="X571" s="4"/>
      <c r="Y571" s="1"/>
      <c r="Z571" s="1"/>
      <c r="AA571" s="1"/>
      <c r="AB571" s="1"/>
      <c r="AC571" s="1"/>
      <c r="AD571" s="3"/>
      <c r="AE571" s="3"/>
      <c r="AF571" s="5"/>
      <c r="AG571" s="5"/>
      <c r="AH571" s="5"/>
      <c r="AI571" s="5"/>
      <c r="AJ571" s="6"/>
      <c r="AK571" s="6"/>
      <c r="AL571" s="12"/>
      <c r="AM571" s="12"/>
      <c r="AN571" s="12"/>
      <c r="AO571" s="12"/>
      <c r="AP571" s="12"/>
    </row>
    <row r="572" spans="1:42" ht="15" x14ac:dyDescent="0.25">
      <c r="A572" s="82" t="str">
        <f>TDCTRIBE!I580</f>
        <v>Southwest</v>
      </c>
      <c r="B572" s="82" t="str">
        <f>TDCTRIBE!B580</f>
        <v>NM</v>
      </c>
      <c r="C572" s="82" t="str">
        <f>TDCTRIBE!F580</f>
        <v>Isleta Pueblo</v>
      </c>
      <c r="D572" s="83">
        <f>TDCTRIBE!Y580</f>
        <v>276895.05690000003</v>
      </c>
      <c r="E572" s="83">
        <f>TDCTRIBE!Z580</f>
        <v>305955.72902999993</v>
      </c>
      <c r="F572" s="83">
        <f>TDCTRIBE!AA580</f>
        <v>346759.69443500007</v>
      </c>
      <c r="G572" s="83">
        <f>TDCTRIBE!AB580</f>
        <v>375602.93371999997</v>
      </c>
      <c r="H572" s="83">
        <f>TDCTRIBE!AC580</f>
        <v>404910.19198</v>
      </c>
      <c r="O572" s="9"/>
      <c r="P572" s="1"/>
      <c r="Q572" s="1"/>
      <c r="R572" s="1"/>
      <c r="S572" s="1"/>
      <c r="T572" s="1"/>
      <c r="U572" s="1"/>
      <c r="V572" s="9"/>
      <c r="W572" s="3"/>
      <c r="X572" s="4"/>
      <c r="Y572" s="1"/>
      <c r="Z572" s="1"/>
      <c r="AA572" s="1"/>
      <c r="AB572" s="1"/>
      <c r="AC572" s="1"/>
      <c r="AD572" s="3"/>
      <c r="AE572" s="3"/>
      <c r="AF572" s="5"/>
      <c r="AG572" s="5"/>
      <c r="AH572" s="5"/>
      <c r="AI572" s="5"/>
      <c r="AJ572" s="6"/>
      <c r="AK572" s="6"/>
      <c r="AL572" s="12"/>
      <c r="AM572" s="12"/>
      <c r="AN572" s="12"/>
      <c r="AO572" s="12"/>
      <c r="AP572" s="12"/>
    </row>
    <row r="573" spans="1:42" ht="15" x14ac:dyDescent="0.25">
      <c r="A573" s="82" t="str">
        <f>TDCTRIBE!I581</f>
        <v>Southwest</v>
      </c>
      <c r="B573" s="82" t="str">
        <f>TDCTRIBE!B581</f>
        <v>NM</v>
      </c>
      <c r="C573" s="82" t="str">
        <f>TDCTRIBE!F581</f>
        <v>Jemez Pueblo</v>
      </c>
      <c r="D573" s="83">
        <f>TDCTRIBE!Y581</f>
        <v>279882.57296999998</v>
      </c>
      <c r="E573" s="83">
        <f>TDCTRIBE!Z581</f>
        <v>309306.133164</v>
      </c>
      <c r="F573" s="83">
        <f>TDCTRIBE!AA581</f>
        <v>350630.34267799999</v>
      </c>
      <c r="G573" s="83">
        <f>TDCTRIBE!AB581</f>
        <v>379835.61278600001</v>
      </c>
      <c r="H573" s="83">
        <f>TDCTRIBE!AC581</f>
        <v>409480.15137400007</v>
      </c>
      <c r="O573" s="9"/>
      <c r="P573" s="1"/>
      <c r="Q573" s="1"/>
      <c r="R573" s="1"/>
      <c r="S573" s="1"/>
      <c r="T573" s="1"/>
      <c r="U573" s="1"/>
      <c r="V573" s="9"/>
      <c r="W573" s="3"/>
      <c r="X573" s="4"/>
      <c r="Y573" s="1"/>
      <c r="Z573" s="1"/>
      <c r="AA573" s="1"/>
      <c r="AB573" s="1"/>
      <c r="AC573" s="1"/>
      <c r="AD573" s="3"/>
      <c r="AE573" s="3"/>
      <c r="AF573" s="5"/>
      <c r="AG573" s="5"/>
      <c r="AH573" s="5"/>
      <c r="AI573" s="5"/>
      <c r="AJ573" s="6"/>
      <c r="AK573" s="6"/>
      <c r="AL573" s="12"/>
      <c r="AM573" s="12"/>
      <c r="AN573" s="12"/>
      <c r="AO573" s="12"/>
      <c r="AP573" s="12"/>
    </row>
    <row r="574" spans="1:42" ht="15" x14ac:dyDescent="0.25">
      <c r="A574" s="82" t="str">
        <f>TDCTRIBE!I582</f>
        <v>Southwest</v>
      </c>
      <c r="B574" s="82" t="str">
        <f>TDCTRIBE!B582</f>
        <v>NM</v>
      </c>
      <c r="C574" s="82" t="str">
        <f>TDCTRIBE!F582</f>
        <v>Jicarilla Reservation</v>
      </c>
      <c r="D574" s="83">
        <f>TDCTRIBE!Y582</f>
        <v>279882.57296999998</v>
      </c>
      <c r="E574" s="83">
        <f>TDCTRIBE!Z582</f>
        <v>309306.133164</v>
      </c>
      <c r="F574" s="83">
        <f>TDCTRIBE!AA582</f>
        <v>350630.34267799999</v>
      </c>
      <c r="G574" s="83">
        <f>TDCTRIBE!AB582</f>
        <v>379835.61278600001</v>
      </c>
      <c r="H574" s="83">
        <f>TDCTRIBE!AC582</f>
        <v>409480.15137400007</v>
      </c>
      <c r="O574" s="9"/>
      <c r="P574" s="1"/>
      <c r="Q574" s="1"/>
      <c r="R574" s="1"/>
      <c r="S574" s="1"/>
      <c r="T574" s="1"/>
      <c r="U574" s="1"/>
      <c r="V574" s="9"/>
      <c r="W574" s="3"/>
      <c r="X574" s="4"/>
      <c r="Y574" s="1"/>
      <c r="Z574" s="1"/>
      <c r="AA574" s="1"/>
      <c r="AB574" s="1"/>
      <c r="AC574" s="1"/>
      <c r="AD574" s="3"/>
      <c r="AE574" s="3"/>
      <c r="AF574" s="5"/>
      <c r="AG574" s="5"/>
      <c r="AH574" s="5"/>
      <c r="AI574" s="5"/>
      <c r="AJ574" s="6"/>
      <c r="AK574" s="6"/>
      <c r="AL574" s="12"/>
      <c r="AM574" s="12"/>
      <c r="AN574" s="12"/>
      <c r="AO574" s="12"/>
      <c r="AP574" s="12"/>
    </row>
    <row r="575" spans="1:42" ht="15" x14ac:dyDescent="0.25">
      <c r="A575" s="82" t="str">
        <f>TDCTRIBE!I583</f>
        <v>Southwest</v>
      </c>
      <c r="B575" s="82" t="str">
        <f>TDCTRIBE!B583</f>
        <v>NM</v>
      </c>
      <c r="C575" s="82" t="str">
        <f>TDCTRIBE!F583</f>
        <v>Laguna Pueblo</v>
      </c>
      <c r="D575" s="83">
        <f>TDCTRIBE!Y583</f>
        <v>276895.05690000003</v>
      </c>
      <c r="E575" s="83">
        <f>TDCTRIBE!Z583</f>
        <v>305955.72902999993</v>
      </c>
      <c r="F575" s="83">
        <f>TDCTRIBE!AA583</f>
        <v>346759.69443500007</v>
      </c>
      <c r="G575" s="83">
        <f>TDCTRIBE!AB583</f>
        <v>375602.93371999997</v>
      </c>
      <c r="H575" s="83">
        <f>TDCTRIBE!AC583</f>
        <v>404910.19198</v>
      </c>
      <c r="O575" s="9"/>
      <c r="P575" s="1"/>
      <c r="Q575" s="1"/>
      <c r="R575" s="1"/>
      <c r="S575" s="1"/>
      <c r="T575" s="1"/>
      <c r="U575" s="1"/>
      <c r="V575" s="9"/>
      <c r="W575" s="3"/>
      <c r="X575" s="4"/>
      <c r="Y575" s="1"/>
      <c r="Z575" s="1"/>
      <c r="AA575" s="1"/>
      <c r="AB575" s="1"/>
      <c r="AC575" s="1"/>
      <c r="AD575" s="3"/>
      <c r="AE575" s="3"/>
      <c r="AF575" s="5"/>
      <c r="AG575" s="5"/>
      <c r="AH575" s="5"/>
      <c r="AI575" s="5"/>
      <c r="AJ575" s="6"/>
      <c r="AK575" s="6"/>
      <c r="AL575" s="12"/>
      <c r="AM575" s="12"/>
      <c r="AN575" s="12"/>
      <c r="AO575" s="12"/>
      <c r="AP575" s="12"/>
    </row>
    <row r="576" spans="1:42" ht="15" x14ac:dyDescent="0.25">
      <c r="A576" s="82" t="str">
        <f>TDCTRIBE!I584</f>
        <v>Southwest</v>
      </c>
      <c r="B576" s="82" t="str">
        <f>TDCTRIBE!B584</f>
        <v>NM</v>
      </c>
      <c r="C576" s="82" t="str">
        <f>TDCTRIBE!F584</f>
        <v>Mescalero Reservation</v>
      </c>
      <c r="D576" s="83">
        <f>TDCTRIBE!Y584</f>
        <v>269244.06201000005</v>
      </c>
      <c r="E576" s="83">
        <f>TDCTRIBE!Z584</f>
        <v>297429.184962</v>
      </c>
      <c r="F576" s="83">
        <f>TDCTRIBE!AA584</f>
        <v>336988.038849</v>
      </c>
      <c r="G576" s="83">
        <f>TDCTRIBE!AB584</f>
        <v>364959.54763799999</v>
      </c>
      <c r="H576" s="83">
        <f>TDCTRIBE!AC584</f>
        <v>393426.014142</v>
      </c>
      <c r="O576" s="9"/>
      <c r="P576" s="1"/>
      <c r="Q576" s="1"/>
      <c r="R576" s="1"/>
      <c r="S576" s="1"/>
      <c r="T576" s="1"/>
      <c r="U576" s="1"/>
      <c r="V576" s="9"/>
      <c r="W576" s="3"/>
      <c r="X576" s="4"/>
      <c r="Y576" s="1"/>
      <c r="Z576" s="1"/>
      <c r="AA576" s="1"/>
      <c r="AB576" s="1"/>
      <c r="AC576" s="1"/>
      <c r="AD576" s="3"/>
      <c r="AE576" s="3"/>
      <c r="AF576" s="5"/>
      <c r="AG576" s="5"/>
      <c r="AH576" s="5"/>
      <c r="AI576" s="5"/>
      <c r="AJ576" s="6"/>
      <c r="AK576" s="6"/>
      <c r="AL576" s="12"/>
      <c r="AM576" s="12"/>
      <c r="AN576" s="12"/>
      <c r="AO576" s="12"/>
      <c r="AP576" s="12"/>
    </row>
    <row r="577" spans="1:42" ht="15" x14ac:dyDescent="0.25">
      <c r="A577" s="82" t="str">
        <f>TDCTRIBE!I585</f>
        <v>Southwest</v>
      </c>
      <c r="B577" s="82" t="str">
        <f>TDCTRIBE!B585</f>
        <v>NM</v>
      </c>
      <c r="C577" s="82" t="str">
        <f>TDCTRIBE!F585</f>
        <v>Nambe Pueblo</v>
      </c>
      <c r="D577" s="83">
        <f>TDCTRIBE!Y585</f>
        <v>285857.60511</v>
      </c>
      <c r="E577" s="83">
        <f>TDCTRIBE!Z585</f>
        <v>316006.94143200002</v>
      </c>
      <c r="F577" s="83">
        <f>TDCTRIBE!AA585</f>
        <v>358371.63916399999</v>
      </c>
      <c r="G577" s="83">
        <f>TDCTRIBE!AB585</f>
        <v>388300.97091799998</v>
      </c>
      <c r="H577" s="83">
        <f>TDCTRIBE!AC585</f>
        <v>418620.07016199996</v>
      </c>
      <c r="O577" s="9"/>
      <c r="P577" s="1"/>
      <c r="Q577" s="1"/>
      <c r="R577" s="1"/>
      <c r="S577" s="1"/>
      <c r="T577" s="1"/>
      <c r="U577" s="1"/>
      <c r="V577" s="9"/>
      <c r="W577" s="3"/>
      <c r="X577" s="4"/>
      <c r="Y577" s="1"/>
      <c r="Z577" s="1"/>
      <c r="AA577" s="1"/>
      <c r="AB577" s="1"/>
      <c r="AC577" s="1"/>
      <c r="AD577" s="3"/>
      <c r="AE577" s="3"/>
      <c r="AF577" s="5"/>
      <c r="AG577" s="5"/>
      <c r="AH577" s="5"/>
      <c r="AI577" s="5"/>
      <c r="AJ577" s="6"/>
      <c r="AK577" s="6"/>
      <c r="AL577" s="12"/>
      <c r="AM577" s="12"/>
      <c r="AN577" s="12"/>
      <c r="AO577" s="12"/>
      <c r="AP577" s="12"/>
    </row>
    <row r="578" spans="1:42" ht="15" x14ac:dyDescent="0.25">
      <c r="A578" s="82" t="str">
        <f>TDCTRIBE!I586</f>
        <v>Southwest</v>
      </c>
      <c r="B578" s="82" t="str">
        <f>TDCTRIBE!B586</f>
        <v>NM</v>
      </c>
      <c r="C578" s="82" t="str">
        <f>TDCTRIBE!F586</f>
        <v>Pajoaque Pueblo</v>
      </c>
      <c r="D578" s="83">
        <f>TDCTRIBE!Y586</f>
        <v>285857.60511</v>
      </c>
      <c r="E578" s="83">
        <f>TDCTRIBE!Z586</f>
        <v>316006.94143200002</v>
      </c>
      <c r="F578" s="83">
        <f>TDCTRIBE!AA586</f>
        <v>358371.63916399999</v>
      </c>
      <c r="G578" s="83">
        <f>TDCTRIBE!AB586</f>
        <v>388300.97091799998</v>
      </c>
      <c r="H578" s="83">
        <f>TDCTRIBE!AC586</f>
        <v>418620.07016199996</v>
      </c>
      <c r="O578" s="9"/>
      <c r="P578" s="1"/>
      <c r="Q578" s="1"/>
      <c r="R578" s="1"/>
      <c r="S578" s="1"/>
      <c r="T578" s="1"/>
      <c r="U578" s="1"/>
      <c r="V578" s="9"/>
      <c r="W578" s="3"/>
      <c r="X578" s="4"/>
      <c r="Y578" s="1"/>
      <c r="Z578" s="1"/>
      <c r="AA578" s="1"/>
      <c r="AB578" s="1"/>
      <c r="AC578" s="1"/>
      <c r="AD578" s="3"/>
      <c r="AE578" s="3"/>
      <c r="AF578" s="5"/>
      <c r="AG578" s="5"/>
      <c r="AH578" s="5"/>
      <c r="AI578" s="5"/>
      <c r="AJ578" s="6"/>
      <c r="AK578" s="6"/>
      <c r="AL578" s="12"/>
      <c r="AM578" s="12"/>
      <c r="AN578" s="12"/>
      <c r="AO578" s="12"/>
      <c r="AP578" s="12"/>
    </row>
    <row r="579" spans="1:42" ht="15" x14ac:dyDescent="0.25">
      <c r="A579" s="82" t="str">
        <f>TDCTRIBE!I587</f>
        <v>Southwest</v>
      </c>
      <c r="B579" s="82" t="str">
        <f>TDCTRIBE!B587</f>
        <v>NM</v>
      </c>
      <c r="C579" s="82" t="str">
        <f>TDCTRIBE!F587</f>
        <v>Picuris Pueblo</v>
      </c>
      <c r="D579" s="83">
        <f>TDCTRIBE!Y587</f>
        <v>279882.57296999998</v>
      </c>
      <c r="E579" s="83">
        <f>TDCTRIBE!Z587</f>
        <v>309306.133164</v>
      </c>
      <c r="F579" s="83">
        <f>TDCTRIBE!AA587</f>
        <v>350630.34267799999</v>
      </c>
      <c r="G579" s="83">
        <f>TDCTRIBE!AB587</f>
        <v>379835.61278600001</v>
      </c>
      <c r="H579" s="83">
        <f>TDCTRIBE!AC587</f>
        <v>409480.15137400007</v>
      </c>
      <c r="O579" s="9"/>
      <c r="P579" s="1"/>
      <c r="Q579" s="1"/>
      <c r="R579" s="1"/>
      <c r="S579" s="1"/>
      <c r="T579" s="1"/>
      <c r="U579" s="1"/>
      <c r="V579" s="9"/>
      <c r="W579" s="3"/>
      <c r="X579" s="4"/>
      <c r="Y579" s="1"/>
      <c r="Z579" s="1"/>
      <c r="AA579" s="1"/>
      <c r="AB579" s="1"/>
      <c r="AC579" s="1"/>
      <c r="AD579" s="3"/>
      <c r="AE579" s="3"/>
      <c r="AF579" s="5"/>
      <c r="AG579" s="5"/>
      <c r="AH579" s="5"/>
      <c r="AI579" s="5"/>
      <c r="AJ579" s="6"/>
      <c r="AK579" s="6"/>
      <c r="AL579" s="12"/>
      <c r="AM579" s="12"/>
      <c r="AN579" s="12"/>
      <c r="AO579" s="12"/>
      <c r="AP579" s="12"/>
    </row>
    <row r="580" spans="1:42" ht="15" x14ac:dyDescent="0.25">
      <c r="A580" s="82" t="str">
        <f>TDCTRIBE!I588</f>
        <v>Southwest</v>
      </c>
      <c r="B580" s="82" t="str">
        <f>TDCTRIBE!B588</f>
        <v>NM</v>
      </c>
      <c r="C580" s="82" t="str">
        <f>TDCTRIBE!F588</f>
        <v>San Felipe Pueblo</v>
      </c>
      <c r="D580" s="83">
        <f>TDCTRIBE!Y588</f>
        <v>279882.57296999998</v>
      </c>
      <c r="E580" s="83">
        <f>TDCTRIBE!Z588</f>
        <v>309306.133164</v>
      </c>
      <c r="F580" s="83">
        <f>TDCTRIBE!AA588</f>
        <v>350630.34267799999</v>
      </c>
      <c r="G580" s="83">
        <f>TDCTRIBE!AB588</f>
        <v>379835.61278600001</v>
      </c>
      <c r="H580" s="83">
        <f>TDCTRIBE!AC588</f>
        <v>409480.15137400007</v>
      </c>
      <c r="O580" s="9"/>
      <c r="P580" s="1"/>
      <c r="Q580" s="1"/>
      <c r="R580" s="1"/>
      <c r="S580" s="7"/>
      <c r="T580" s="1"/>
      <c r="U580" s="1"/>
      <c r="V580" s="9"/>
      <c r="W580" s="3"/>
      <c r="X580" s="4"/>
      <c r="Y580" s="1"/>
      <c r="Z580" s="1"/>
      <c r="AA580" s="1"/>
      <c r="AB580" s="1"/>
      <c r="AC580" s="1"/>
      <c r="AD580" s="3"/>
      <c r="AE580" s="3"/>
      <c r="AF580" s="5"/>
      <c r="AG580" s="5"/>
      <c r="AH580" s="5"/>
      <c r="AI580" s="5"/>
      <c r="AJ580" s="6"/>
      <c r="AK580" s="6"/>
      <c r="AL580" s="12"/>
      <c r="AM580" s="12"/>
      <c r="AN580" s="12"/>
      <c r="AO580" s="12"/>
      <c r="AP580" s="12"/>
    </row>
    <row r="581" spans="1:42" ht="15" x14ac:dyDescent="0.25">
      <c r="A581" s="82" t="str">
        <f>TDCTRIBE!I589</f>
        <v>Southwest</v>
      </c>
      <c r="B581" s="82" t="str">
        <f>TDCTRIBE!B589</f>
        <v>NM</v>
      </c>
      <c r="C581" s="82" t="str">
        <f>TDCTRIBE!F589</f>
        <v>San Ildefonso Pueblo</v>
      </c>
      <c r="D581" s="83">
        <f>TDCTRIBE!Y589</f>
        <v>279882.57296999998</v>
      </c>
      <c r="E581" s="83">
        <f>TDCTRIBE!Z589</f>
        <v>309306.133164</v>
      </c>
      <c r="F581" s="83">
        <f>TDCTRIBE!AA589</f>
        <v>350630.34267799999</v>
      </c>
      <c r="G581" s="83">
        <f>TDCTRIBE!AB589</f>
        <v>379835.61278600001</v>
      </c>
      <c r="H581" s="83">
        <f>TDCTRIBE!AC589</f>
        <v>409480.15137400007</v>
      </c>
      <c r="O581" s="9"/>
      <c r="P581" s="1"/>
      <c r="Q581" s="1"/>
      <c r="R581" s="1"/>
      <c r="S581" s="1"/>
      <c r="T581" s="1"/>
      <c r="U581" s="1"/>
      <c r="V581" s="9"/>
      <c r="W581" s="3"/>
      <c r="X581" s="4"/>
      <c r="Y581" s="1"/>
      <c r="Z581" s="1"/>
      <c r="AA581" s="1"/>
      <c r="AB581" s="1"/>
      <c r="AC581" s="1"/>
      <c r="AD581" s="3"/>
      <c r="AE581" s="3"/>
      <c r="AF581" s="5"/>
      <c r="AG581" s="5"/>
      <c r="AH581" s="5"/>
      <c r="AI581" s="5"/>
      <c r="AJ581" s="6"/>
      <c r="AK581" s="6"/>
      <c r="AL581" s="12"/>
      <c r="AM581" s="12"/>
      <c r="AN581" s="12"/>
      <c r="AO581" s="12"/>
      <c r="AP581" s="12"/>
    </row>
    <row r="582" spans="1:42" ht="15" x14ac:dyDescent="0.25">
      <c r="A582" s="82" t="str">
        <f>TDCTRIBE!I590</f>
        <v>Southwest</v>
      </c>
      <c r="B582" s="82" t="str">
        <f>TDCTRIBE!B590</f>
        <v>NM</v>
      </c>
      <c r="C582" s="82" t="str">
        <f>TDCTRIBE!F590</f>
        <v>San Juan Pueblo</v>
      </c>
      <c r="D582" s="83">
        <f>TDCTRIBE!Y590</f>
        <v>279882.57296999998</v>
      </c>
      <c r="E582" s="83">
        <f>TDCTRIBE!Z590</f>
        <v>309306.133164</v>
      </c>
      <c r="F582" s="83">
        <f>TDCTRIBE!AA590</f>
        <v>350630.34267799999</v>
      </c>
      <c r="G582" s="83">
        <f>TDCTRIBE!AB590</f>
        <v>379835.61278600001</v>
      </c>
      <c r="H582" s="83">
        <f>TDCTRIBE!AC590</f>
        <v>409480.15137400007</v>
      </c>
      <c r="O582" s="9"/>
      <c r="P582" s="1"/>
      <c r="Q582" s="1"/>
      <c r="R582" s="1"/>
      <c r="S582" s="1"/>
      <c r="T582" s="1"/>
      <c r="U582" s="1"/>
      <c r="V582" s="9"/>
      <c r="W582" s="3"/>
      <c r="X582" s="4"/>
      <c r="Y582" s="1"/>
      <c r="Z582" s="1"/>
      <c r="AA582" s="1"/>
      <c r="AB582" s="1"/>
      <c r="AC582" s="1"/>
      <c r="AD582" s="3"/>
      <c r="AE582" s="3"/>
      <c r="AF582" s="5"/>
      <c r="AG582" s="5"/>
      <c r="AH582" s="5"/>
      <c r="AI582" s="5"/>
      <c r="AJ582" s="6"/>
      <c r="AK582" s="6"/>
      <c r="AL582" s="12"/>
      <c r="AM582" s="12"/>
      <c r="AN582" s="12"/>
      <c r="AO582" s="12"/>
      <c r="AP582" s="12"/>
    </row>
    <row r="583" spans="1:42" ht="15" x14ac:dyDescent="0.25">
      <c r="A583" s="82" t="str">
        <f>TDCTRIBE!I591</f>
        <v>Southwest</v>
      </c>
      <c r="B583" s="82" t="str">
        <f>TDCTRIBE!B591</f>
        <v>NM</v>
      </c>
      <c r="C583" s="82" t="str">
        <f>TDCTRIBE!F591</f>
        <v>Sandia  Pueblo</v>
      </c>
      <c r="D583" s="83">
        <f>TDCTRIBE!Y591</f>
        <v>276895.05690000003</v>
      </c>
      <c r="E583" s="83">
        <f>TDCTRIBE!Z591</f>
        <v>305955.72902999993</v>
      </c>
      <c r="F583" s="83">
        <f>TDCTRIBE!AA591</f>
        <v>346759.69443500007</v>
      </c>
      <c r="G583" s="83">
        <f>TDCTRIBE!AB591</f>
        <v>375602.93371999997</v>
      </c>
      <c r="H583" s="83">
        <f>TDCTRIBE!AC591</f>
        <v>404910.19198</v>
      </c>
      <c r="O583" s="9"/>
      <c r="P583" s="1"/>
      <c r="Q583" s="1"/>
      <c r="R583" s="1"/>
      <c r="S583" s="1"/>
      <c r="T583" s="1"/>
      <c r="U583" s="1"/>
      <c r="V583" s="9"/>
      <c r="W583" s="3"/>
      <c r="X583" s="4"/>
      <c r="Y583" s="1"/>
      <c r="Z583" s="1"/>
      <c r="AA583" s="1"/>
      <c r="AB583" s="1"/>
      <c r="AC583" s="1"/>
      <c r="AD583" s="3"/>
      <c r="AE583" s="3"/>
      <c r="AF583" s="5"/>
      <c r="AG583" s="5"/>
      <c r="AH583" s="5"/>
      <c r="AI583" s="5"/>
      <c r="AJ583" s="6"/>
      <c r="AK583" s="6"/>
      <c r="AL583" s="12"/>
      <c r="AM583" s="12"/>
      <c r="AN583" s="12"/>
      <c r="AO583" s="12"/>
      <c r="AP583" s="12"/>
    </row>
    <row r="584" spans="1:42" ht="15" x14ac:dyDescent="0.25">
      <c r="A584" s="82" t="str">
        <f>TDCTRIBE!I592</f>
        <v>Southwest</v>
      </c>
      <c r="B584" s="82" t="str">
        <f>TDCTRIBE!B592</f>
        <v>NM</v>
      </c>
      <c r="C584" s="82" t="str">
        <f>TDCTRIBE!F592</f>
        <v>Santa Ana Pueblo</v>
      </c>
      <c r="D584" s="83">
        <f>TDCTRIBE!Y592</f>
        <v>279882.57296999998</v>
      </c>
      <c r="E584" s="83">
        <f>TDCTRIBE!Z592</f>
        <v>309306.133164</v>
      </c>
      <c r="F584" s="83">
        <f>TDCTRIBE!AA592</f>
        <v>350630.34267799999</v>
      </c>
      <c r="G584" s="83">
        <f>TDCTRIBE!AB592</f>
        <v>379835.61278600001</v>
      </c>
      <c r="H584" s="83">
        <f>TDCTRIBE!AC592</f>
        <v>409480.15137400007</v>
      </c>
      <c r="O584" s="9"/>
      <c r="P584" s="1"/>
      <c r="Q584" s="1"/>
      <c r="R584" s="1"/>
      <c r="S584" s="1"/>
      <c r="T584" s="1"/>
      <c r="U584" s="1"/>
      <c r="V584" s="9"/>
      <c r="W584" s="3"/>
      <c r="X584" s="4"/>
      <c r="Y584" s="1"/>
      <c r="Z584" s="1"/>
      <c r="AA584" s="1"/>
      <c r="AB584" s="1"/>
      <c r="AC584" s="1"/>
      <c r="AD584" s="3"/>
      <c r="AE584" s="3"/>
      <c r="AF584" s="5"/>
      <c r="AG584" s="5"/>
      <c r="AH584" s="5"/>
      <c r="AI584" s="5"/>
      <c r="AJ584" s="6"/>
      <c r="AK584" s="6"/>
      <c r="AL584" s="12"/>
      <c r="AM584" s="12"/>
      <c r="AN584" s="12"/>
      <c r="AO584" s="12"/>
      <c r="AP584" s="12"/>
    </row>
    <row r="585" spans="1:42" ht="15" x14ac:dyDescent="0.25">
      <c r="A585" s="82" t="str">
        <f>TDCTRIBE!I593</f>
        <v>Southwest</v>
      </c>
      <c r="B585" s="82" t="str">
        <f>TDCTRIBE!B593</f>
        <v>NM</v>
      </c>
      <c r="C585" s="82" t="str">
        <f>TDCTRIBE!F593</f>
        <v>Santa Clara Pueblo</v>
      </c>
      <c r="D585" s="83">
        <f>TDCTRIBE!Y593</f>
        <v>279882.57296999998</v>
      </c>
      <c r="E585" s="83">
        <f>TDCTRIBE!Z593</f>
        <v>309306.133164</v>
      </c>
      <c r="F585" s="83">
        <f>TDCTRIBE!AA593</f>
        <v>350630.34267799999</v>
      </c>
      <c r="G585" s="83">
        <f>TDCTRIBE!AB593</f>
        <v>379835.61278600001</v>
      </c>
      <c r="H585" s="83">
        <f>TDCTRIBE!AC593</f>
        <v>409480.15137400007</v>
      </c>
      <c r="O585" s="9"/>
      <c r="P585" s="1"/>
      <c r="Q585" s="1"/>
      <c r="R585" s="1"/>
      <c r="S585" s="1"/>
      <c r="T585" s="1"/>
      <c r="U585" s="1"/>
      <c r="V585" s="9"/>
      <c r="W585" s="3"/>
      <c r="X585" s="4"/>
      <c r="Y585" s="1"/>
      <c r="Z585" s="1"/>
      <c r="AA585" s="1"/>
      <c r="AB585" s="1"/>
      <c r="AC585" s="1"/>
      <c r="AD585" s="3"/>
      <c r="AE585" s="3"/>
      <c r="AF585" s="5"/>
      <c r="AG585" s="5"/>
      <c r="AH585" s="5"/>
      <c r="AI585" s="5"/>
      <c r="AJ585" s="6"/>
      <c r="AK585" s="6"/>
      <c r="AL585" s="12"/>
      <c r="AM585" s="12"/>
      <c r="AN585" s="12"/>
      <c r="AO585" s="12"/>
      <c r="AP585" s="12"/>
    </row>
    <row r="586" spans="1:42" ht="15" x14ac:dyDescent="0.25">
      <c r="A586" s="82" t="str">
        <f>TDCTRIBE!I594</f>
        <v>Southwest</v>
      </c>
      <c r="B586" s="82" t="str">
        <f>TDCTRIBE!B594</f>
        <v>NM</v>
      </c>
      <c r="C586" s="82" t="str">
        <f>TDCTRIBE!F594</f>
        <v>Santo Domingo Pueblo</v>
      </c>
      <c r="D586" s="83">
        <f>TDCTRIBE!Y594</f>
        <v>279882.57296999998</v>
      </c>
      <c r="E586" s="83">
        <f>TDCTRIBE!Z594</f>
        <v>309306.133164</v>
      </c>
      <c r="F586" s="83">
        <f>TDCTRIBE!AA594</f>
        <v>350630.34267799999</v>
      </c>
      <c r="G586" s="83">
        <f>TDCTRIBE!AB594</f>
        <v>379835.61278600001</v>
      </c>
      <c r="H586" s="83">
        <f>TDCTRIBE!AC594</f>
        <v>409480.15137400007</v>
      </c>
      <c r="O586" s="9"/>
      <c r="P586" s="1"/>
      <c r="Q586" s="1"/>
      <c r="R586" s="1"/>
      <c r="S586" s="1"/>
      <c r="T586" s="1"/>
      <c r="U586" s="1"/>
      <c r="V586" s="9"/>
      <c r="W586" s="3"/>
      <c r="X586" s="4"/>
      <c r="Y586" s="1"/>
      <c r="Z586" s="1"/>
      <c r="AA586" s="1"/>
      <c r="AB586" s="1"/>
      <c r="AC586" s="1"/>
      <c r="AD586" s="3"/>
      <c r="AE586" s="3"/>
      <c r="AF586" s="5"/>
      <c r="AG586" s="5"/>
      <c r="AH586" s="5"/>
      <c r="AI586" s="5"/>
      <c r="AJ586" s="6"/>
      <c r="AK586" s="6"/>
      <c r="AL586" s="12"/>
      <c r="AM586" s="12"/>
      <c r="AN586" s="12"/>
      <c r="AO586" s="12"/>
      <c r="AP586" s="12"/>
    </row>
    <row r="587" spans="1:42" ht="15" x14ac:dyDescent="0.25">
      <c r="A587" s="82" t="str">
        <f>TDCTRIBE!I595</f>
        <v>Southwest</v>
      </c>
      <c r="B587" s="82" t="str">
        <f>TDCTRIBE!B595</f>
        <v>NM</v>
      </c>
      <c r="C587" s="82" t="str">
        <f>TDCTRIBE!F595</f>
        <v>Taos Pueblo</v>
      </c>
      <c r="D587" s="83">
        <f>TDCTRIBE!Y595</f>
        <v>279882.57296999998</v>
      </c>
      <c r="E587" s="83">
        <f>TDCTRIBE!Z595</f>
        <v>309306.133164</v>
      </c>
      <c r="F587" s="83">
        <f>TDCTRIBE!AA595</f>
        <v>350630.34267799999</v>
      </c>
      <c r="G587" s="83">
        <f>TDCTRIBE!AB595</f>
        <v>379835.61278600001</v>
      </c>
      <c r="H587" s="83">
        <f>TDCTRIBE!AC595</f>
        <v>409480.15137400007</v>
      </c>
      <c r="O587" s="9"/>
      <c r="P587" s="1"/>
      <c r="Q587" s="1"/>
      <c r="R587" s="1"/>
      <c r="S587" s="1"/>
      <c r="T587" s="1"/>
      <c r="U587" s="1"/>
      <c r="V587" s="9"/>
      <c r="W587" s="3"/>
      <c r="X587" s="4"/>
      <c r="Y587" s="1"/>
      <c r="Z587" s="1"/>
      <c r="AA587" s="1"/>
      <c r="AB587" s="1"/>
      <c r="AC587" s="1"/>
      <c r="AD587" s="3"/>
      <c r="AE587" s="3"/>
      <c r="AF587" s="5"/>
      <c r="AG587" s="5"/>
      <c r="AH587" s="5"/>
      <c r="AI587" s="5"/>
      <c r="AJ587" s="6"/>
      <c r="AK587" s="6"/>
      <c r="AL587" s="12"/>
      <c r="AM587" s="12"/>
      <c r="AN587" s="12"/>
      <c r="AO587" s="12"/>
      <c r="AP587" s="12"/>
    </row>
    <row r="588" spans="1:42" ht="15" x14ac:dyDescent="0.25">
      <c r="A588" s="82" t="str">
        <f>TDCTRIBE!I596</f>
        <v>Southwest</v>
      </c>
      <c r="B588" s="82" t="str">
        <f>TDCTRIBE!B596</f>
        <v>NM</v>
      </c>
      <c r="C588" s="82" t="str">
        <f>TDCTRIBE!F596</f>
        <v>Tesuque Pueblo</v>
      </c>
      <c r="D588" s="83">
        <f>TDCTRIBE!Y596</f>
        <v>285857.60511</v>
      </c>
      <c r="E588" s="83">
        <f>TDCTRIBE!Z596</f>
        <v>316006.94143200002</v>
      </c>
      <c r="F588" s="83">
        <f>TDCTRIBE!AA596</f>
        <v>358371.63916399999</v>
      </c>
      <c r="G588" s="83">
        <f>TDCTRIBE!AB596</f>
        <v>388300.97091799998</v>
      </c>
      <c r="H588" s="83">
        <f>TDCTRIBE!AC596</f>
        <v>418620.07016199996</v>
      </c>
      <c r="O588" s="9"/>
      <c r="P588" s="1"/>
      <c r="Q588" s="1"/>
      <c r="R588" s="1"/>
      <c r="S588" s="1"/>
      <c r="T588" s="1"/>
      <c r="U588" s="1"/>
      <c r="V588" s="9"/>
      <c r="W588" s="3"/>
      <c r="X588" s="4"/>
      <c r="Y588" s="1"/>
      <c r="Z588" s="1"/>
      <c r="AA588" s="1"/>
      <c r="AB588" s="1"/>
      <c r="AC588" s="1"/>
      <c r="AD588" s="3"/>
      <c r="AE588" s="3"/>
      <c r="AF588" s="5"/>
      <c r="AG588" s="5"/>
      <c r="AH588" s="5"/>
      <c r="AI588" s="5"/>
      <c r="AJ588" s="6"/>
      <c r="AK588" s="6"/>
      <c r="AL588" s="12"/>
      <c r="AM588" s="12"/>
      <c r="AN588" s="12"/>
      <c r="AO588" s="12"/>
      <c r="AP588" s="12"/>
    </row>
    <row r="589" spans="1:42" ht="15" x14ac:dyDescent="0.25">
      <c r="A589" s="82" t="str">
        <f>TDCTRIBE!I597</f>
        <v>Southwest</v>
      </c>
      <c r="B589" s="82" t="str">
        <f>TDCTRIBE!B597</f>
        <v>NM</v>
      </c>
      <c r="C589" s="82" t="str">
        <f>TDCTRIBE!F597</f>
        <v>Zia Pueblo</v>
      </c>
      <c r="D589" s="83">
        <f>TDCTRIBE!Y597</f>
        <v>279882.57296999998</v>
      </c>
      <c r="E589" s="83">
        <f>TDCTRIBE!Z597</f>
        <v>309306.133164</v>
      </c>
      <c r="F589" s="83">
        <f>TDCTRIBE!AA597</f>
        <v>350630.34267799999</v>
      </c>
      <c r="G589" s="83">
        <f>TDCTRIBE!AB597</f>
        <v>379835.61278600001</v>
      </c>
      <c r="H589" s="83">
        <f>TDCTRIBE!AC597</f>
        <v>409480.15137400007</v>
      </c>
      <c r="O589" s="9"/>
      <c r="P589" s="1"/>
      <c r="Q589" s="1"/>
      <c r="R589" s="1"/>
      <c r="S589" s="1"/>
      <c r="T589" s="1"/>
      <c r="U589" s="1"/>
      <c r="V589" s="9"/>
      <c r="W589" s="3"/>
      <c r="X589" s="4"/>
      <c r="Y589" s="1"/>
      <c r="Z589" s="1"/>
      <c r="AA589" s="1"/>
      <c r="AB589" s="1"/>
      <c r="AC589" s="1"/>
      <c r="AD589" s="3"/>
      <c r="AE589" s="3"/>
      <c r="AF589" s="5"/>
      <c r="AG589" s="5"/>
      <c r="AH589" s="5"/>
      <c r="AI589" s="5"/>
      <c r="AJ589" s="6"/>
      <c r="AK589" s="6"/>
      <c r="AL589" s="12"/>
      <c r="AM589" s="12"/>
      <c r="AN589" s="12"/>
      <c r="AO589" s="12"/>
      <c r="AP589" s="12"/>
    </row>
    <row r="590" spans="1:42" ht="15" x14ac:dyDescent="0.25">
      <c r="A590" s="82" t="str">
        <f>TDCTRIBE!I598</f>
        <v>Southwest</v>
      </c>
      <c r="B590" s="82" t="str">
        <f>TDCTRIBE!B598</f>
        <v>NM</v>
      </c>
      <c r="C590" s="82" t="str">
        <f>TDCTRIBE!F598</f>
        <v>Zuni Tribe</v>
      </c>
      <c r="D590" s="83">
        <f>TDCTRIBE!Y598</f>
        <v>275401.29886499996</v>
      </c>
      <c r="E590" s="83">
        <f>TDCTRIBE!Z598</f>
        <v>304280.52696299995</v>
      </c>
      <c r="F590" s="83">
        <f>TDCTRIBE!AA598</f>
        <v>344824.37031350005</v>
      </c>
      <c r="G590" s="83">
        <f>TDCTRIBE!AB598</f>
        <v>373486.59418700001</v>
      </c>
      <c r="H590" s="83">
        <f>TDCTRIBE!AC598</f>
        <v>402625.212283</v>
      </c>
      <c r="O590" s="9"/>
      <c r="P590" s="1"/>
      <c r="Q590" s="1"/>
      <c r="R590" s="1"/>
      <c r="S590" s="1"/>
      <c r="T590" s="1"/>
      <c r="U590" s="1"/>
      <c r="V590" s="9"/>
      <c r="W590" s="3"/>
      <c r="X590" s="4"/>
      <c r="Y590" s="1"/>
      <c r="Z590" s="1"/>
      <c r="AA590" s="1"/>
      <c r="AB590" s="1"/>
      <c r="AC590" s="1"/>
      <c r="AD590" s="3"/>
      <c r="AE590" s="3"/>
      <c r="AF590" s="5"/>
      <c r="AG590" s="5"/>
      <c r="AH590" s="5"/>
      <c r="AI590" s="5"/>
      <c r="AJ590" s="6"/>
      <c r="AK590" s="6"/>
      <c r="AL590" s="12"/>
      <c r="AM590" s="12"/>
      <c r="AN590" s="12"/>
      <c r="AO590" s="12"/>
      <c r="AP590" s="12"/>
    </row>
    <row r="591" spans="1:42" ht="15" x14ac:dyDescent="0.25">
      <c r="A591" s="82" t="str">
        <f>TDCTRIBE!I599</f>
        <v>Southwest</v>
      </c>
      <c r="B591" s="82" t="str">
        <f>TDCTRIBE!B599</f>
        <v>NV</v>
      </c>
      <c r="C591" s="82" t="str">
        <f>TDCTRIBE!F599</f>
        <v>Duck Valley Shoshone-Paiute</v>
      </c>
      <c r="D591" s="83">
        <f>TDCTRIBE!Y599</f>
        <v>330233.69610000006</v>
      </c>
      <c r="E591" s="83">
        <f>TDCTRIBE!Z599</f>
        <v>365020.07157000003</v>
      </c>
      <c r="F591" s="83">
        <f>TDCTRIBE!AA599</f>
        <v>413891.20426500001</v>
      </c>
      <c r="G591" s="83">
        <f>TDCTRIBE!AB599</f>
        <v>448422.11568000005</v>
      </c>
      <c r="H591" s="83">
        <f>TDCTRIBE!AC599</f>
        <v>483429.41262000002</v>
      </c>
      <c r="O591" s="9"/>
      <c r="P591" s="1"/>
      <c r="Q591" s="1"/>
      <c r="R591" s="1"/>
      <c r="S591" s="1"/>
      <c r="T591" s="1"/>
      <c r="U591" s="1"/>
      <c r="V591" s="9"/>
      <c r="W591" s="3"/>
      <c r="X591" s="4"/>
      <c r="Y591" s="1"/>
      <c r="Z591" s="1"/>
      <c r="AA591" s="1"/>
      <c r="AB591" s="1"/>
      <c r="AC591" s="1"/>
      <c r="AD591" s="3"/>
      <c r="AE591" s="3"/>
      <c r="AF591" s="5"/>
      <c r="AG591" s="5"/>
      <c r="AH591" s="5"/>
      <c r="AI591" s="5"/>
      <c r="AJ591" s="6"/>
      <c r="AK591" s="6"/>
      <c r="AL591" s="12"/>
      <c r="AM591" s="12"/>
      <c r="AN591" s="12"/>
      <c r="AO591" s="12"/>
      <c r="AP591" s="12"/>
    </row>
    <row r="592" spans="1:42" ht="15" x14ac:dyDescent="0.25">
      <c r="A592" s="82" t="str">
        <f>TDCTRIBE!I600</f>
        <v>Southwest</v>
      </c>
      <c r="B592" s="82" t="str">
        <f>TDCTRIBE!B600</f>
        <v>NV</v>
      </c>
      <c r="C592" s="82" t="str">
        <f>TDCTRIBE!F600</f>
        <v>Duckwater Shoshone</v>
      </c>
      <c r="D592" s="83">
        <f>TDCTRIBE!Y600</f>
        <v>333767.82631500001</v>
      </c>
      <c r="E592" s="83">
        <f>TDCTRIBE!Z600</f>
        <v>368822.07690299995</v>
      </c>
      <c r="F592" s="83">
        <f>TDCTRIBE!AA600</f>
        <v>418046.95744350005</v>
      </c>
      <c r="G592" s="83">
        <f>TDCTRIBE!AB600</f>
        <v>452839.85999700008</v>
      </c>
      <c r="H592" s="83">
        <f>TDCTRIBE!AC600</f>
        <v>488177.21007300005</v>
      </c>
      <c r="O592" s="9"/>
      <c r="P592" s="1"/>
      <c r="Q592" s="1"/>
      <c r="R592" s="1"/>
      <c r="S592" s="7"/>
      <c r="T592" s="1"/>
      <c r="U592" s="1"/>
      <c r="V592" s="9"/>
      <c r="W592" s="3"/>
      <c r="X592" s="4"/>
      <c r="Y592" s="1"/>
      <c r="Z592" s="1"/>
      <c r="AA592" s="1"/>
      <c r="AB592" s="1"/>
      <c r="AC592" s="1"/>
      <c r="AD592" s="3"/>
      <c r="AE592" s="3"/>
      <c r="AF592" s="5"/>
      <c r="AG592" s="5"/>
      <c r="AH592" s="5"/>
      <c r="AI592" s="5"/>
      <c r="AJ592" s="6"/>
      <c r="AK592" s="6"/>
      <c r="AL592" s="12"/>
      <c r="AM592" s="12"/>
      <c r="AN592" s="12"/>
      <c r="AO592" s="12"/>
      <c r="AP592" s="12"/>
    </row>
    <row r="593" spans="1:42" ht="15" x14ac:dyDescent="0.25">
      <c r="A593" s="82" t="str">
        <f>TDCTRIBE!I601</f>
        <v>Southwest</v>
      </c>
      <c r="B593" s="82" t="str">
        <f>TDCTRIBE!B601</f>
        <v>NV</v>
      </c>
      <c r="C593" s="82" t="str">
        <f>TDCTRIBE!F601</f>
        <v>Ely Shoshone</v>
      </c>
      <c r="D593" s="83">
        <f>TDCTRIBE!Y601</f>
        <v>333767.82631500001</v>
      </c>
      <c r="E593" s="83">
        <f>TDCTRIBE!Z601</f>
        <v>368822.07690299995</v>
      </c>
      <c r="F593" s="83">
        <f>TDCTRIBE!AA601</f>
        <v>418046.95744350005</v>
      </c>
      <c r="G593" s="83">
        <f>TDCTRIBE!AB601</f>
        <v>452839.85999700008</v>
      </c>
      <c r="H593" s="83">
        <f>TDCTRIBE!AC601</f>
        <v>488177.21007300005</v>
      </c>
      <c r="O593" s="9"/>
      <c r="P593" s="1"/>
      <c r="Q593" s="1"/>
      <c r="R593" s="1"/>
      <c r="S593" s="1"/>
      <c r="T593" s="1"/>
      <c r="U593" s="1"/>
      <c r="V593" s="9"/>
      <c r="W593" s="3"/>
      <c r="X593" s="4"/>
      <c r="Y593" s="1"/>
      <c r="Z593" s="1"/>
      <c r="AA593" s="1"/>
      <c r="AB593" s="1"/>
      <c r="AC593" s="1"/>
      <c r="AD593" s="3"/>
      <c r="AE593" s="3"/>
      <c r="AF593" s="5"/>
      <c r="AG593" s="5"/>
      <c r="AH593" s="5"/>
      <c r="AI593" s="5"/>
      <c r="AJ593" s="6"/>
      <c r="AK593" s="6"/>
      <c r="AL593" s="12"/>
      <c r="AM593" s="12"/>
      <c r="AN593" s="12"/>
      <c r="AO593" s="12"/>
      <c r="AP593" s="12"/>
    </row>
    <row r="594" spans="1:42" ht="15" x14ac:dyDescent="0.25">
      <c r="A594" s="82" t="str">
        <f>TDCTRIBE!I602</f>
        <v>Southwest</v>
      </c>
      <c r="B594" s="82" t="str">
        <f>TDCTRIBE!B602</f>
        <v>NV</v>
      </c>
      <c r="C594" s="82" t="str">
        <f>TDCTRIBE!F602</f>
        <v>Fallon Paiute-Shoshone</v>
      </c>
      <c r="D594" s="83">
        <f>TDCTRIBE!Y602</f>
        <v>301706.20903500001</v>
      </c>
      <c r="E594" s="83">
        <f>TDCTRIBE!Z602</f>
        <v>333511.63076700002</v>
      </c>
      <c r="F594" s="83">
        <f>TDCTRIBE!AA602</f>
        <v>378200.05527150008</v>
      </c>
      <c r="G594" s="83">
        <f>TDCTRIBE!AB602</f>
        <v>409772.80833300005</v>
      </c>
      <c r="H594" s="83">
        <f>TDCTRIBE!AC602</f>
        <v>441766.26389700006</v>
      </c>
      <c r="O594" s="9"/>
      <c r="P594" s="1"/>
      <c r="Q594" s="1"/>
      <c r="R594" s="1"/>
      <c r="S594" s="1"/>
      <c r="T594" s="1"/>
      <c r="U594" s="1"/>
      <c r="V594" s="9"/>
      <c r="W594" s="3"/>
      <c r="X594" s="4"/>
      <c r="Y594" s="1"/>
      <c r="Z594" s="1"/>
      <c r="AA594" s="1"/>
      <c r="AB594" s="1"/>
      <c r="AC594" s="1"/>
      <c r="AD594" s="3"/>
      <c r="AE594" s="3"/>
      <c r="AF594" s="5"/>
      <c r="AG594" s="5"/>
      <c r="AH594" s="5"/>
      <c r="AI594" s="5"/>
      <c r="AJ594" s="6"/>
      <c r="AK594" s="6"/>
      <c r="AL594" s="12"/>
      <c r="AM594" s="12"/>
      <c r="AN594" s="12"/>
      <c r="AO594" s="12"/>
      <c r="AP594" s="12"/>
    </row>
    <row r="595" spans="1:42" ht="15" x14ac:dyDescent="0.25">
      <c r="A595" s="82" t="str">
        <f>TDCTRIBE!I603</f>
        <v>Southwest</v>
      </c>
      <c r="B595" s="82" t="str">
        <f>TDCTRIBE!B603</f>
        <v>NV</v>
      </c>
      <c r="C595" s="82" t="str">
        <f>TDCTRIBE!F603</f>
        <v>Las Vegas Colony</v>
      </c>
      <c r="D595" s="83">
        <f>TDCTRIBE!Y603</f>
        <v>333767.82631500001</v>
      </c>
      <c r="E595" s="83">
        <f>TDCTRIBE!Z603</f>
        <v>368822.07690299995</v>
      </c>
      <c r="F595" s="83">
        <f>TDCTRIBE!AA603</f>
        <v>418046.95744350005</v>
      </c>
      <c r="G595" s="83">
        <f>TDCTRIBE!AB603</f>
        <v>452839.85999700008</v>
      </c>
      <c r="H595" s="83">
        <f>TDCTRIBE!AC603</f>
        <v>488177.21007300005</v>
      </c>
      <c r="O595" s="9"/>
      <c r="P595" s="1"/>
      <c r="Q595" s="1"/>
      <c r="R595" s="1"/>
      <c r="S595" s="1"/>
      <c r="T595" s="1"/>
      <c r="U595" s="1"/>
      <c r="V595" s="9"/>
      <c r="W595" s="3"/>
      <c r="X595" s="4"/>
      <c r="Y595" s="1"/>
      <c r="Z595" s="1"/>
      <c r="AA595" s="1"/>
      <c r="AB595" s="1"/>
      <c r="AC595" s="1"/>
      <c r="AD595" s="3"/>
      <c r="AE595" s="3"/>
      <c r="AF595" s="5"/>
      <c r="AG595" s="5"/>
      <c r="AH595" s="5"/>
      <c r="AI595" s="5"/>
      <c r="AJ595" s="6"/>
      <c r="AK595" s="6"/>
      <c r="AL595" s="12"/>
      <c r="AM595" s="12"/>
      <c r="AN595" s="12"/>
      <c r="AO595" s="12"/>
      <c r="AP595" s="12"/>
    </row>
    <row r="596" spans="1:42" ht="15" x14ac:dyDescent="0.25">
      <c r="A596" s="82" t="str">
        <f>TDCTRIBE!I604</f>
        <v>Southwest</v>
      </c>
      <c r="B596" s="82" t="str">
        <f>TDCTRIBE!B604</f>
        <v>NV</v>
      </c>
      <c r="C596" s="82" t="str">
        <f>TDCTRIBE!F604</f>
        <v>Lovelock Colony</v>
      </c>
      <c r="D596" s="83">
        <f>TDCTRIBE!Y604</f>
        <v>313656.27331500006</v>
      </c>
      <c r="E596" s="83">
        <f>TDCTRIBE!Z604</f>
        <v>346913.24730300001</v>
      </c>
      <c r="F596" s="83">
        <f>TDCTRIBE!AA604</f>
        <v>393682.64824350004</v>
      </c>
      <c r="G596" s="83">
        <f>TDCTRIBE!AB604</f>
        <v>426703.52459700004</v>
      </c>
      <c r="H596" s="83">
        <f>TDCTRIBE!AC604</f>
        <v>460046.10147300002</v>
      </c>
      <c r="O596" s="9"/>
      <c r="P596" s="1"/>
      <c r="Q596" s="1"/>
      <c r="R596" s="1"/>
      <c r="S596" s="1"/>
      <c r="T596" s="1"/>
      <c r="U596" s="1"/>
      <c r="V596" s="9"/>
      <c r="W596" s="3"/>
      <c r="X596" s="4"/>
      <c r="Y596" s="1"/>
      <c r="Z596" s="1"/>
      <c r="AA596" s="1"/>
      <c r="AB596" s="1"/>
      <c r="AC596" s="1"/>
      <c r="AD596" s="3"/>
      <c r="AE596" s="3"/>
      <c r="AF596" s="5"/>
      <c r="AG596" s="5"/>
      <c r="AH596" s="5"/>
      <c r="AI596" s="5"/>
      <c r="AJ596" s="6"/>
      <c r="AK596" s="6"/>
      <c r="AL596" s="12"/>
      <c r="AM596" s="12"/>
      <c r="AN596" s="12"/>
      <c r="AO596" s="12"/>
      <c r="AP596" s="12"/>
    </row>
    <row r="597" spans="1:42" ht="15" x14ac:dyDescent="0.25">
      <c r="A597" s="82" t="str">
        <f>TDCTRIBE!I605</f>
        <v>Southwest</v>
      </c>
      <c r="B597" s="82" t="str">
        <f>TDCTRIBE!B605</f>
        <v>NV</v>
      </c>
      <c r="C597" s="82" t="str">
        <f>TDCTRIBE!F605</f>
        <v>Moapa Band of Paiute</v>
      </c>
      <c r="D597" s="83">
        <f>TDCTRIBE!Y605</f>
        <v>333767.82631500001</v>
      </c>
      <c r="E597" s="83">
        <f>TDCTRIBE!Z605</f>
        <v>368822.07690299995</v>
      </c>
      <c r="F597" s="83">
        <f>TDCTRIBE!AA605</f>
        <v>418046.95744350005</v>
      </c>
      <c r="G597" s="83">
        <f>TDCTRIBE!AB605</f>
        <v>452839.85999700008</v>
      </c>
      <c r="H597" s="83">
        <f>TDCTRIBE!AC605</f>
        <v>488177.21007300005</v>
      </c>
      <c r="O597" s="9"/>
      <c r="P597" s="1"/>
      <c r="Q597" s="1"/>
      <c r="R597" s="1"/>
      <c r="S597" s="1"/>
      <c r="T597" s="1"/>
      <c r="U597" s="1"/>
      <c r="V597" s="9"/>
      <c r="W597" s="3"/>
      <c r="X597" s="4"/>
      <c r="Y597" s="1"/>
      <c r="Z597" s="1"/>
      <c r="AA597" s="1"/>
      <c r="AB597" s="1"/>
      <c r="AC597" s="1"/>
      <c r="AD597" s="3"/>
      <c r="AE597" s="3"/>
      <c r="AF597" s="5"/>
      <c r="AG597" s="5"/>
      <c r="AH597" s="5"/>
      <c r="AI597" s="5"/>
      <c r="AJ597" s="6"/>
      <c r="AK597" s="6"/>
      <c r="AL597" s="12"/>
      <c r="AM597" s="12"/>
      <c r="AN597" s="12"/>
      <c r="AO597" s="12"/>
      <c r="AP597" s="12"/>
    </row>
    <row r="598" spans="1:42" ht="15" x14ac:dyDescent="0.25">
      <c r="A598" s="82" t="str">
        <f>TDCTRIBE!I606</f>
        <v>Southwest</v>
      </c>
      <c r="B598" s="82" t="str">
        <f>TDCTRIBE!B606</f>
        <v>NV</v>
      </c>
      <c r="C598" s="82" t="str">
        <f>TDCTRIBE!F606</f>
        <v>Pyramid Lake Paiute</v>
      </c>
      <c r="D598" s="83">
        <f>TDCTRIBE!Y606</f>
        <v>307681.24117500003</v>
      </c>
      <c r="E598" s="83">
        <f>TDCTRIBE!Z606</f>
        <v>340212.43903499999</v>
      </c>
      <c r="F598" s="83">
        <f>TDCTRIBE!AA606</f>
        <v>385941.35175750009</v>
      </c>
      <c r="G598" s="83">
        <f>TDCTRIBE!AB606</f>
        <v>418238.16646500007</v>
      </c>
      <c r="H598" s="83">
        <f>TDCTRIBE!AC606</f>
        <v>450906.18268500001</v>
      </c>
      <c r="O598" s="9"/>
      <c r="P598" s="1"/>
      <c r="Q598" s="1"/>
      <c r="R598" s="1"/>
      <c r="S598" s="1"/>
      <c r="T598" s="1"/>
      <c r="U598" s="1"/>
      <c r="V598" s="9"/>
      <c r="W598" s="3"/>
      <c r="X598" s="4"/>
      <c r="Y598" s="1"/>
      <c r="Z598" s="1"/>
      <c r="AA598" s="1"/>
      <c r="AB598" s="1"/>
      <c r="AC598" s="1"/>
      <c r="AD598" s="3"/>
      <c r="AE598" s="3"/>
      <c r="AF598" s="5"/>
      <c r="AG598" s="5"/>
      <c r="AH598" s="5"/>
      <c r="AI598" s="5"/>
      <c r="AJ598" s="6"/>
      <c r="AK598" s="6"/>
      <c r="AL598" s="12"/>
      <c r="AM598" s="12"/>
      <c r="AN598" s="12"/>
      <c r="AO598" s="12"/>
      <c r="AP598" s="12"/>
    </row>
    <row r="599" spans="1:42" ht="15" x14ac:dyDescent="0.25">
      <c r="A599" s="82" t="str">
        <f>TDCTRIBE!I607</f>
        <v>Southwest</v>
      </c>
      <c r="B599" s="82" t="str">
        <f>TDCTRIBE!B607</f>
        <v>NV</v>
      </c>
      <c r="C599" s="82" t="str">
        <f>TDCTRIBE!F607</f>
        <v>Reno-Sparks Colony</v>
      </c>
      <c r="D599" s="83">
        <f>TDCTRIBE!Y607</f>
        <v>307681.24117500003</v>
      </c>
      <c r="E599" s="83">
        <f>TDCTRIBE!Z607</f>
        <v>340212.43903499999</v>
      </c>
      <c r="F599" s="83">
        <f>TDCTRIBE!AA607</f>
        <v>385941.35175750009</v>
      </c>
      <c r="G599" s="83">
        <f>TDCTRIBE!AB607</f>
        <v>418238.16646500007</v>
      </c>
      <c r="H599" s="83">
        <f>TDCTRIBE!AC607</f>
        <v>450906.18268500001</v>
      </c>
      <c r="O599" s="9"/>
      <c r="P599" s="1"/>
      <c r="Q599" s="1"/>
      <c r="R599" s="1"/>
      <c r="S599" s="1"/>
      <c r="T599" s="1"/>
      <c r="U599" s="1"/>
      <c r="V599" s="9"/>
      <c r="W599" s="3"/>
      <c r="X599" s="4"/>
      <c r="Y599" s="1"/>
      <c r="Z599" s="1"/>
      <c r="AA599" s="1"/>
      <c r="AB599" s="1"/>
      <c r="AC599" s="1"/>
      <c r="AD599" s="3"/>
      <c r="AE599" s="3"/>
      <c r="AF599" s="5"/>
      <c r="AG599" s="5"/>
      <c r="AH599" s="5"/>
      <c r="AI599" s="5"/>
      <c r="AJ599" s="6"/>
      <c r="AK599" s="6"/>
      <c r="AL599" s="12"/>
      <c r="AM599" s="12"/>
      <c r="AN599" s="12"/>
      <c r="AO599" s="12"/>
      <c r="AP599" s="12"/>
    </row>
    <row r="600" spans="1:42" ht="15" x14ac:dyDescent="0.25">
      <c r="A600" s="82" t="str">
        <f>TDCTRIBE!I608</f>
        <v>Southwest</v>
      </c>
      <c r="B600" s="82" t="str">
        <f>TDCTRIBE!B608</f>
        <v>NV</v>
      </c>
      <c r="C600" s="82" t="str">
        <f>TDCTRIBE!F608</f>
        <v>Summit Lake Paiute Tribe</v>
      </c>
      <c r="D600" s="83">
        <f>TDCTRIBE!Y608</f>
        <v>313656.27331500006</v>
      </c>
      <c r="E600" s="83">
        <f>TDCTRIBE!Z608</f>
        <v>346913.24730300001</v>
      </c>
      <c r="F600" s="83">
        <f>TDCTRIBE!AA608</f>
        <v>393682.64824350004</v>
      </c>
      <c r="G600" s="83">
        <f>TDCTRIBE!AB608</f>
        <v>426703.52459700004</v>
      </c>
      <c r="H600" s="83">
        <f>TDCTRIBE!AC608</f>
        <v>460046.10147300002</v>
      </c>
      <c r="O600" s="9"/>
      <c r="P600" s="1"/>
      <c r="Q600" s="1"/>
      <c r="R600" s="1"/>
      <c r="S600" s="7"/>
      <c r="T600" s="1"/>
      <c r="U600" s="1"/>
      <c r="V600" s="9"/>
      <c r="W600" s="3"/>
      <c r="X600" s="4"/>
      <c r="Y600" s="1"/>
      <c r="Z600" s="1"/>
      <c r="AA600" s="1"/>
      <c r="AB600" s="1"/>
      <c r="AC600" s="1"/>
      <c r="AD600" s="3"/>
      <c r="AE600" s="3"/>
      <c r="AF600" s="5"/>
      <c r="AG600" s="5"/>
      <c r="AH600" s="5"/>
      <c r="AI600" s="5"/>
      <c r="AJ600" s="6"/>
      <c r="AK600" s="6"/>
      <c r="AL600" s="12"/>
      <c r="AM600" s="12"/>
      <c r="AN600" s="12"/>
      <c r="AO600" s="12"/>
      <c r="AP600" s="12"/>
    </row>
    <row r="601" spans="1:42" ht="15" x14ac:dyDescent="0.25">
      <c r="A601" s="82" t="str">
        <f>TDCTRIBE!I609</f>
        <v>Southwest</v>
      </c>
      <c r="B601" s="82" t="str">
        <f>TDCTRIBE!B609</f>
        <v>NV</v>
      </c>
      <c r="C601" s="82" t="str">
        <f>TDCTRIBE!F609</f>
        <v>Te-Moak</v>
      </c>
      <c r="D601" s="83">
        <f>TDCTRIBE!Y609</f>
        <v>330233.69610000006</v>
      </c>
      <c r="E601" s="83">
        <f>TDCTRIBE!Z609</f>
        <v>365020.07157000003</v>
      </c>
      <c r="F601" s="83">
        <f>TDCTRIBE!AA609</f>
        <v>413891.20426500001</v>
      </c>
      <c r="G601" s="83">
        <f>TDCTRIBE!AB609</f>
        <v>448422.11568000005</v>
      </c>
      <c r="H601" s="83">
        <f>TDCTRIBE!AC609</f>
        <v>483429.41262000002</v>
      </c>
      <c r="O601" s="9"/>
      <c r="P601" s="1"/>
      <c r="Q601" s="1"/>
      <c r="R601" s="1"/>
      <c r="S601" s="1"/>
      <c r="T601" s="1"/>
      <c r="U601" s="1"/>
      <c r="V601" s="9"/>
      <c r="W601" s="3"/>
      <c r="X601" s="4"/>
      <c r="Y601" s="1"/>
      <c r="Z601" s="1"/>
      <c r="AA601" s="1"/>
      <c r="AB601" s="1"/>
      <c r="AC601" s="1"/>
      <c r="AD601" s="3"/>
      <c r="AE601" s="3"/>
      <c r="AF601" s="5"/>
      <c r="AG601" s="5"/>
      <c r="AH601" s="5"/>
      <c r="AI601" s="5"/>
      <c r="AJ601" s="6"/>
      <c r="AK601" s="6"/>
      <c r="AL601" s="12"/>
      <c r="AM601" s="12"/>
      <c r="AN601" s="12"/>
      <c r="AO601" s="12"/>
      <c r="AP601" s="12"/>
    </row>
    <row r="602" spans="1:42" ht="15" x14ac:dyDescent="0.25">
      <c r="A602" s="82" t="str">
        <f>TDCTRIBE!I610</f>
        <v>Southwest</v>
      </c>
      <c r="B602" s="82" t="str">
        <f>TDCTRIBE!B610</f>
        <v>NV</v>
      </c>
      <c r="C602" s="82" t="str">
        <f>TDCTRIBE!F610</f>
        <v>Walker River Paiute Tribe</v>
      </c>
      <c r="D602" s="83">
        <f>TDCTRIBE!Y610</f>
        <v>313656.27331500006</v>
      </c>
      <c r="E602" s="83">
        <f>TDCTRIBE!Z610</f>
        <v>346913.24730300001</v>
      </c>
      <c r="F602" s="83">
        <f>TDCTRIBE!AA610</f>
        <v>393682.64824350004</v>
      </c>
      <c r="G602" s="83">
        <f>TDCTRIBE!AB610</f>
        <v>426703.52459700004</v>
      </c>
      <c r="H602" s="83">
        <f>TDCTRIBE!AC610</f>
        <v>460046.10147300002</v>
      </c>
      <c r="O602" s="9"/>
      <c r="P602" s="1"/>
      <c r="Q602" s="1"/>
      <c r="R602" s="1"/>
      <c r="S602" s="1"/>
      <c r="T602" s="1"/>
      <c r="U602" s="1"/>
      <c r="V602" s="9"/>
      <c r="W602" s="3"/>
      <c r="X602" s="4"/>
      <c r="Y602" s="1"/>
      <c r="Z602" s="1"/>
      <c r="AA602" s="1"/>
      <c r="AB602" s="1"/>
      <c r="AC602" s="1"/>
      <c r="AD602" s="3"/>
      <c r="AE602" s="3"/>
      <c r="AF602" s="5"/>
      <c r="AG602" s="5"/>
      <c r="AH602" s="5"/>
      <c r="AI602" s="5"/>
      <c r="AJ602" s="6"/>
      <c r="AK602" s="6"/>
      <c r="AL602" s="12"/>
      <c r="AM602" s="12"/>
      <c r="AN602" s="12"/>
      <c r="AO602" s="12"/>
      <c r="AP602" s="12"/>
    </row>
    <row r="603" spans="1:42" ht="15" x14ac:dyDescent="0.25">
      <c r="A603" s="82" t="str">
        <f>TDCTRIBE!I611</f>
        <v>Southwest</v>
      </c>
      <c r="B603" s="82" t="str">
        <f>TDCTRIBE!B611</f>
        <v>NV</v>
      </c>
      <c r="C603" s="82" t="str">
        <f>TDCTRIBE!F611</f>
        <v>Washoe Tribe</v>
      </c>
      <c r="D603" s="83">
        <f>TDCTRIBE!Y611</f>
        <v>313656.27331500006</v>
      </c>
      <c r="E603" s="83">
        <f>TDCTRIBE!Z611</f>
        <v>346913.24730300001</v>
      </c>
      <c r="F603" s="83">
        <f>TDCTRIBE!AA611</f>
        <v>393682.64824350004</v>
      </c>
      <c r="G603" s="83">
        <f>TDCTRIBE!AB611</f>
        <v>426703.52459700004</v>
      </c>
      <c r="H603" s="83">
        <f>TDCTRIBE!AC611</f>
        <v>460046.10147300002</v>
      </c>
      <c r="O603" s="9"/>
      <c r="P603" s="1"/>
      <c r="Q603" s="1"/>
      <c r="R603" s="1"/>
      <c r="S603" s="1"/>
      <c r="T603" s="1"/>
      <c r="U603" s="1"/>
      <c r="V603" s="9"/>
      <c r="W603" s="3"/>
      <c r="X603" s="4"/>
      <c r="Y603" s="1"/>
      <c r="Z603" s="1"/>
      <c r="AA603" s="1"/>
      <c r="AB603" s="1"/>
      <c r="AC603" s="1"/>
      <c r="AD603" s="3"/>
      <c r="AE603" s="3"/>
      <c r="AF603" s="5"/>
      <c r="AG603" s="5"/>
      <c r="AH603" s="5"/>
      <c r="AI603" s="5"/>
      <c r="AJ603" s="6"/>
      <c r="AK603" s="6"/>
      <c r="AL603" s="12"/>
      <c r="AM603" s="12"/>
      <c r="AN603" s="12"/>
      <c r="AO603" s="12"/>
      <c r="AP603" s="12"/>
    </row>
    <row r="604" spans="1:42" ht="15" x14ac:dyDescent="0.25">
      <c r="A604" s="82" t="str">
        <f>TDCTRIBE!I612</f>
        <v>Southwest</v>
      </c>
      <c r="B604" s="82" t="str">
        <f>TDCTRIBE!B612</f>
        <v>NV</v>
      </c>
      <c r="C604" s="82" t="str">
        <f>TDCTRIBE!F612</f>
        <v>Winnemucca Colony</v>
      </c>
      <c r="D604" s="83">
        <f>TDCTRIBE!Y612</f>
        <v>313656.27331500006</v>
      </c>
      <c r="E604" s="83">
        <f>TDCTRIBE!Z612</f>
        <v>346913.24730300001</v>
      </c>
      <c r="F604" s="83">
        <f>TDCTRIBE!AA612</f>
        <v>393682.64824350004</v>
      </c>
      <c r="G604" s="83">
        <f>TDCTRIBE!AB612</f>
        <v>426703.52459700004</v>
      </c>
      <c r="H604" s="83">
        <f>TDCTRIBE!AC612</f>
        <v>460046.10147300002</v>
      </c>
      <c r="O604" s="9"/>
      <c r="P604" s="1"/>
      <c r="Q604" s="1"/>
      <c r="R604" s="1"/>
      <c r="S604" s="1"/>
      <c r="T604" s="1"/>
      <c r="U604" s="1"/>
      <c r="V604" s="9"/>
      <c r="W604" s="3"/>
      <c r="X604" s="4"/>
      <c r="Y604" s="1"/>
      <c r="Z604" s="1"/>
      <c r="AA604" s="1"/>
      <c r="AB604" s="1"/>
      <c r="AC604" s="1"/>
      <c r="AD604" s="3"/>
      <c r="AE604" s="3"/>
      <c r="AF604" s="5"/>
      <c r="AG604" s="5"/>
      <c r="AH604" s="5"/>
      <c r="AI604" s="5"/>
      <c r="AJ604" s="6"/>
      <c r="AK604" s="6"/>
      <c r="AL604" s="12"/>
      <c r="AM604" s="12"/>
      <c r="AN604" s="12"/>
      <c r="AO604" s="12"/>
      <c r="AP604" s="12"/>
    </row>
    <row r="605" spans="1:42" ht="15" x14ac:dyDescent="0.25">
      <c r="A605" s="82" t="str">
        <f>TDCTRIBE!I613</f>
        <v>Southwest</v>
      </c>
      <c r="B605" s="82" t="str">
        <f>TDCTRIBE!B613</f>
        <v>NV</v>
      </c>
      <c r="C605" s="82" t="str">
        <f>TDCTRIBE!F613</f>
        <v>Yerington Paiute Tribe</v>
      </c>
      <c r="D605" s="83">
        <f>TDCTRIBE!Y613</f>
        <v>313656.27331500006</v>
      </c>
      <c r="E605" s="83">
        <f>TDCTRIBE!Z613</f>
        <v>346913.24730300001</v>
      </c>
      <c r="F605" s="83">
        <f>TDCTRIBE!AA613</f>
        <v>393682.64824350004</v>
      </c>
      <c r="G605" s="83">
        <f>TDCTRIBE!AB613</f>
        <v>426703.52459700004</v>
      </c>
      <c r="H605" s="83">
        <f>TDCTRIBE!AC613</f>
        <v>460046.10147300002</v>
      </c>
      <c r="O605" s="9"/>
      <c r="P605" s="1"/>
      <c r="Q605" s="1"/>
      <c r="R605" s="1"/>
      <c r="S605" s="1"/>
      <c r="T605" s="1"/>
      <c r="U605" s="1"/>
      <c r="V605" s="9"/>
      <c r="W605" s="3"/>
      <c r="X605" s="4"/>
      <c r="Y605" s="1"/>
      <c r="Z605" s="1"/>
      <c r="AA605" s="1"/>
      <c r="AB605" s="1"/>
      <c r="AC605" s="1"/>
      <c r="AD605" s="3"/>
      <c r="AE605" s="3"/>
      <c r="AF605" s="5"/>
      <c r="AG605" s="5"/>
      <c r="AH605" s="5"/>
      <c r="AI605" s="5"/>
      <c r="AJ605" s="6"/>
      <c r="AK605" s="6"/>
      <c r="AL605" s="12"/>
      <c r="AM605" s="12"/>
      <c r="AN605" s="12"/>
      <c r="AO605" s="12"/>
      <c r="AP605" s="12"/>
    </row>
    <row r="606" spans="1:42" ht="15" x14ac:dyDescent="0.25">
      <c r="A606" s="82" t="str">
        <f>TDCTRIBE!I614</f>
        <v>Southwest</v>
      </c>
      <c r="B606" s="82" t="str">
        <f>TDCTRIBE!B614</f>
        <v>NV</v>
      </c>
      <c r="C606" s="82" t="str">
        <f>TDCTRIBE!F614</f>
        <v>Yomba Shoshone Tribe</v>
      </c>
      <c r="D606" s="83">
        <f>TDCTRIBE!Y614</f>
        <v>333767.82631500001</v>
      </c>
      <c r="E606" s="83">
        <f>TDCTRIBE!Z614</f>
        <v>368822.07690299995</v>
      </c>
      <c r="F606" s="83">
        <f>TDCTRIBE!AA614</f>
        <v>418046.95744350005</v>
      </c>
      <c r="G606" s="83">
        <f>TDCTRIBE!AB614</f>
        <v>452839.85999700008</v>
      </c>
      <c r="H606" s="83">
        <f>TDCTRIBE!AC614</f>
        <v>488177.21007300005</v>
      </c>
      <c r="O606" s="9"/>
      <c r="P606" s="1"/>
      <c r="Q606" s="1"/>
      <c r="R606" s="1"/>
      <c r="S606" s="1"/>
      <c r="T606" s="1"/>
      <c r="U606" s="1"/>
      <c r="V606" s="9"/>
      <c r="W606" s="3"/>
      <c r="X606" s="4"/>
      <c r="Y606" s="7"/>
      <c r="Z606" s="1"/>
      <c r="AA606" s="1"/>
      <c r="AB606" s="1"/>
      <c r="AC606" s="1"/>
      <c r="AD606" s="3"/>
      <c r="AE606" s="3"/>
      <c r="AF606" s="5"/>
      <c r="AG606" s="5"/>
      <c r="AH606" s="5"/>
      <c r="AI606" s="5"/>
      <c r="AJ606" s="6"/>
      <c r="AK606" s="6"/>
      <c r="AL606" s="12"/>
      <c r="AM606" s="12"/>
      <c r="AN606" s="12"/>
      <c r="AO606" s="12"/>
      <c r="AP606" s="12"/>
    </row>
    <row r="607" spans="1:42" ht="15" x14ac:dyDescent="0.25">
      <c r="A607" s="82" t="str">
        <f>TDCTRIBE!I615</f>
        <v>Southwest</v>
      </c>
      <c r="B607" s="82" t="str">
        <f>TDCTRIBE!B615</f>
        <v>NV</v>
      </c>
      <c r="C607" s="82" t="str">
        <f>TDCTRIBE!F615</f>
        <v>Fort McDermitt Paiute and Shoshone</v>
      </c>
      <c r="D607" s="83">
        <f>TDCTRIBE!Y615</f>
        <v>317737.01767500001</v>
      </c>
      <c r="E607" s="83">
        <f>TDCTRIBE!Z615</f>
        <v>351166.85383499996</v>
      </c>
      <c r="F607" s="83">
        <f>TDCTRIBE!AA615</f>
        <v>398123.50635750004</v>
      </c>
      <c r="G607" s="83">
        <f>TDCTRIBE!AB615</f>
        <v>431306.33416500007</v>
      </c>
      <c r="H607" s="83">
        <f>TDCTRIBE!AC615</f>
        <v>464971.73698500003</v>
      </c>
      <c r="O607" s="9"/>
      <c r="P607" s="1"/>
      <c r="Q607" s="1"/>
      <c r="R607" s="1"/>
      <c r="S607" s="1"/>
      <c r="T607" s="1"/>
      <c r="U607" s="1"/>
      <c r="V607" s="9"/>
      <c r="W607" s="3"/>
      <c r="X607" s="4"/>
      <c r="Y607" s="1"/>
      <c r="Z607" s="1"/>
      <c r="AA607" s="1"/>
      <c r="AB607" s="1"/>
      <c r="AC607" s="1"/>
      <c r="AD607" s="3"/>
      <c r="AE607" s="3"/>
      <c r="AF607" s="5"/>
      <c r="AG607" s="5"/>
      <c r="AH607" s="5"/>
      <c r="AI607" s="5"/>
      <c r="AJ607" s="6"/>
      <c r="AK607" s="6"/>
      <c r="AL607" s="12"/>
      <c r="AM607" s="12"/>
      <c r="AN607" s="12"/>
      <c r="AO607" s="12"/>
      <c r="AP607" s="12"/>
    </row>
    <row r="608" spans="1:42" ht="15" x14ac:dyDescent="0.25">
      <c r="A608" s="82" t="str">
        <f>TDCTRIBE!I616</f>
        <v>Southwest</v>
      </c>
      <c r="B608" s="82" t="str">
        <f>TDCTRIBE!B616</f>
        <v>TX</v>
      </c>
      <c r="C608" s="82" t="str">
        <f>TDCTRIBE!F616</f>
        <v>Ysleta Del Sur</v>
      </c>
      <c r="D608" s="83">
        <f>TDCTRIBE!Y616</f>
        <v>267021.48511500005</v>
      </c>
      <c r="E608" s="83">
        <f>TDCTRIBE!Z616</f>
        <v>295151.84796300001</v>
      </c>
      <c r="F608" s="83">
        <f>TDCTRIBE!AA616</f>
        <v>334672.57481350005</v>
      </c>
      <c r="G608" s="83">
        <f>TDCTRIBE!AB616</f>
        <v>362596.45443699998</v>
      </c>
      <c r="H608" s="83">
        <f>TDCTRIBE!AC616</f>
        <v>390903.91703300003</v>
      </c>
      <c r="O608" s="9"/>
      <c r="P608" s="1"/>
      <c r="Q608" s="1"/>
      <c r="R608" s="1"/>
      <c r="S608" s="1"/>
      <c r="T608" s="1"/>
      <c r="U608" s="1"/>
      <c r="V608" s="9"/>
      <c r="W608" s="3"/>
      <c r="X608" s="4"/>
      <c r="Y608" s="1"/>
      <c r="Z608" s="1"/>
      <c r="AA608" s="1"/>
      <c r="AB608" s="1"/>
      <c r="AC608" s="1"/>
      <c r="AD608" s="3"/>
      <c r="AE608" s="3"/>
      <c r="AF608" s="5"/>
      <c r="AG608" s="5"/>
      <c r="AH608" s="5"/>
      <c r="AI608" s="5"/>
      <c r="AJ608" s="6"/>
      <c r="AK608" s="6"/>
      <c r="AL608" s="12"/>
      <c r="AM608" s="12"/>
      <c r="AN608" s="12"/>
      <c r="AO608" s="12"/>
      <c r="AP608" s="12"/>
    </row>
    <row r="609" spans="1:42" x14ac:dyDescent="0.25">
      <c r="D609" s="2"/>
      <c r="E609" s="2"/>
      <c r="F609" s="2"/>
      <c r="G609" s="2"/>
      <c r="H609" s="2"/>
      <c r="O609" s="9"/>
      <c r="P609" s="1"/>
      <c r="Q609" s="1"/>
      <c r="R609" s="1"/>
      <c r="S609" s="1"/>
      <c r="T609" s="1"/>
      <c r="U609" s="1"/>
      <c r="V609" s="9"/>
      <c r="W609" s="3"/>
      <c r="X609" s="4"/>
      <c r="Y609" s="1"/>
      <c r="Z609" s="1"/>
      <c r="AA609" s="1"/>
      <c r="AB609" s="1"/>
      <c r="AC609" s="1"/>
      <c r="AD609" s="3"/>
      <c r="AE609" s="3"/>
      <c r="AF609" s="5"/>
      <c r="AG609" s="5"/>
      <c r="AH609" s="5"/>
      <c r="AI609" s="5"/>
      <c r="AJ609" s="6"/>
      <c r="AK609" s="6"/>
      <c r="AL609" s="12"/>
      <c r="AM609" s="12"/>
      <c r="AN609" s="12"/>
      <c r="AO609" s="12"/>
      <c r="AP609" s="12"/>
    </row>
    <row r="610" spans="1:42" ht="15" x14ac:dyDescent="0.25">
      <c r="A610" s="34"/>
      <c r="B610" s="34"/>
      <c r="C610" s="34"/>
      <c r="D610" s="35"/>
      <c r="E610" s="35"/>
      <c r="F610" s="35"/>
      <c r="G610" s="35"/>
      <c r="H610" s="35"/>
      <c r="I610" s="29"/>
      <c r="O610" s="9"/>
      <c r="P610" s="1"/>
      <c r="Q610" s="1"/>
      <c r="R610" s="1"/>
      <c r="S610" s="1"/>
      <c r="T610" s="1"/>
      <c r="U610" s="1"/>
      <c r="V610" s="9"/>
      <c r="W610" s="3"/>
      <c r="X610" s="4"/>
      <c r="Y610" s="1"/>
      <c r="Z610" s="1"/>
      <c r="AA610" s="1"/>
      <c r="AB610" s="1"/>
      <c r="AC610" s="1"/>
      <c r="AD610" s="3"/>
      <c r="AE610" s="3"/>
      <c r="AF610" s="5"/>
      <c r="AG610" s="5"/>
      <c r="AH610" s="5"/>
      <c r="AI610" s="5"/>
      <c r="AJ610" s="6"/>
      <c r="AK610" s="6"/>
      <c r="AL610" s="12"/>
      <c r="AM610" s="12"/>
      <c r="AN610" s="12"/>
      <c r="AO610" s="12"/>
      <c r="AP610" s="12"/>
    </row>
    <row r="611" spans="1:42" ht="15" x14ac:dyDescent="0.25">
      <c r="A611" s="34"/>
      <c r="B611" s="34"/>
      <c r="C611" s="34"/>
      <c r="D611" s="35"/>
      <c r="E611" s="35"/>
      <c r="F611" s="35"/>
      <c r="G611" s="35"/>
      <c r="H611" s="35"/>
      <c r="I611" s="29"/>
      <c r="O611" s="9"/>
      <c r="P611" s="1"/>
      <c r="Q611" s="1"/>
      <c r="R611" s="1"/>
      <c r="S611" s="1"/>
      <c r="T611" s="1"/>
      <c r="U611" s="1"/>
      <c r="V611" s="9"/>
      <c r="W611" s="3"/>
      <c r="X611" s="4"/>
      <c r="Y611" s="1"/>
      <c r="Z611" s="1"/>
      <c r="AA611" s="1"/>
      <c r="AB611" s="1"/>
      <c r="AC611" s="1"/>
      <c r="AD611" s="3"/>
      <c r="AE611" s="3"/>
      <c r="AF611" s="5"/>
      <c r="AG611" s="5"/>
      <c r="AH611" s="5"/>
      <c r="AI611" s="5"/>
      <c r="AJ611" s="6"/>
      <c r="AK611" s="6"/>
      <c r="AL611" s="12"/>
      <c r="AM611" s="12"/>
      <c r="AN611" s="12"/>
      <c r="AO611" s="12"/>
      <c r="AP611" s="12"/>
    </row>
    <row r="612" spans="1:42" ht="15" x14ac:dyDescent="0.25">
      <c r="A612" s="34"/>
      <c r="B612" s="34"/>
      <c r="C612" s="34"/>
      <c r="D612" s="35"/>
      <c r="E612" s="35"/>
      <c r="F612" s="35"/>
      <c r="G612" s="35"/>
      <c r="H612" s="35"/>
      <c r="I612" s="29"/>
      <c r="O612" s="9"/>
      <c r="P612" s="1"/>
      <c r="Q612" s="1"/>
      <c r="R612" s="1"/>
      <c r="S612" s="1"/>
      <c r="T612" s="1"/>
      <c r="U612" s="1"/>
      <c r="V612" s="9"/>
      <c r="W612" s="3"/>
      <c r="X612" s="4"/>
      <c r="Y612" s="1"/>
      <c r="Z612" s="1"/>
      <c r="AA612" s="1"/>
      <c r="AB612" s="1"/>
      <c r="AC612" s="1"/>
      <c r="AD612" s="3"/>
      <c r="AE612" s="3"/>
      <c r="AF612" s="5"/>
      <c r="AG612" s="5"/>
      <c r="AH612" s="5"/>
      <c r="AI612" s="5"/>
      <c r="AJ612" s="6"/>
      <c r="AK612" s="6"/>
      <c r="AL612" s="12"/>
      <c r="AM612" s="12"/>
      <c r="AN612" s="12"/>
      <c r="AO612" s="12"/>
      <c r="AP612" s="12"/>
    </row>
    <row r="613" spans="1:42" ht="15" x14ac:dyDescent="0.25">
      <c r="A613" s="34"/>
      <c r="B613" s="34"/>
      <c r="C613" s="34"/>
      <c r="D613" s="35"/>
      <c r="E613" s="35"/>
      <c r="F613" s="35"/>
      <c r="G613" s="35"/>
      <c r="H613" s="35"/>
      <c r="I613" s="29"/>
      <c r="O613" s="9"/>
      <c r="P613" s="1"/>
      <c r="Q613" s="1"/>
      <c r="R613" s="1"/>
      <c r="S613" s="1"/>
      <c r="T613" s="1"/>
      <c r="U613" s="1"/>
      <c r="V613" s="9"/>
      <c r="W613" s="3"/>
      <c r="X613" s="4"/>
      <c r="Y613" s="1"/>
      <c r="Z613" s="1"/>
      <c r="AA613" s="1"/>
      <c r="AB613" s="1"/>
      <c r="AC613" s="1"/>
      <c r="AD613" s="3"/>
      <c r="AE613" s="3"/>
      <c r="AF613" s="5"/>
      <c r="AG613" s="5"/>
      <c r="AH613" s="5"/>
      <c r="AI613" s="5"/>
      <c r="AJ613" s="6"/>
      <c r="AK613" s="6"/>
      <c r="AL613" s="12"/>
      <c r="AM613" s="12"/>
      <c r="AN613" s="12"/>
      <c r="AO613" s="12"/>
      <c r="AP613" s="12"/>
    </row>
    <row r="614" spans="1:42" ht="15" x14ac:dyDescent="0.25">
      <c r="A614" s="34"/>
      <c r="B614" s="34"/>
      <c r="C614" s="34"/>
      <c r="D614" s="35"/>
      <c r="E614" s="35"/>
      <c r="F614" s="35"/>
      <c r="G614" s="35"/>
      <c r="H614" s="35"/>
      <c r="I614" s="29"/>
      <c r="O614" s="9"/>
      <c r="P614" s="1"/>
      <c r="Q614" s="1"/>
      <c r="R614" s="1"/>
      <c r="S614" s="1"/>
      <c r="T614" s="1"/>
      <c r="U614" s="1"/>
      <c r="V614" s="9"/>
      <c r="W614" s="3"/>
      <c r="X614" s="4"/>
      <c r="Y614" s="1"/>
      <c r="Z614" s="1"/>
      <c r="AA614" s="1"/>
      <c r="AB614" s="1"/>
      <c r="AC614" s="1"/>
      <c r="AD614" s="3"/>
      <c r="AE614" s="3"/>
      <c r="AF614" s="5"/>
      <c r="AG614" s="5"/>
      <c r="AH614" s="5"/>
      <c r="AI614" s="5"/>
      <c r="AJ614" s="6"/>
      <c r="AK614" s="6"/>
      <c r="AL614" s="12"/>
      <c r="AM614" s="12"/>
      <c r="AN614" s="12"/>
      <c r="AO614" s="12"/>
      <c r="AP614" s="12"/>
    </row>
    <row r="615" spans="1:42" ht="15" x14ac:dyDescent="0.25">
      <c r="A615" s="34"/>
      <c r="B615" s="34"/>
      <c r="C615" s="34"/>
      <c r="D615" s="35"/>
      <c r="E615" s="35"/>
      <c r="F615" s="35"/>
      <c r="G615" s="35"/>
      <c r="H615" s="35"/>
      <c r="I615" s="29"/>
      <c r="O615" s="9"/>
      <c r="P615" s="1"/>
      <c r="Q615" s="1"/>
      <c r="R615" s="1"/>
      <c r="S615" s="7"/>
      <c r="T615" s="1"/>
      <c r="U615" s="1"/>
      <c r="V615" s="9"/>
      <c r="W615" s="3"/>
      <c r="X615" s="4"/>
      <c r="Y615" s="1"/>
      <c r="Z615" s="1"/>
      <c r="AA615" s="1"/>
      <c r="AB615" s="1"/>
      <c r="AC615" s="1"/>
      <c r="AD615" s="3"/>
      <c r="AE615" s="3"/>
      <c r="AF615" s="5"/>
      <c r="AG615" s="5"/>
      <c r="AH615" s="5"/>
      <c r="AI615" s="5"/>
      <c r="AJ615" s="6"/>
      <c r="AK615" s="6"/>
      <c r="AL615" s="12"/>
      <c r="AM615" s="12"/>
      <c r="AN615" s="12"/>
      <c r="AO615" s="12"/>
      <c r="AP615" s="12"/>
    </row>
    <row r="616" spans="1:42" ht="15" x14ac:dyDescent="0.25">
      <c r="A616" s="34"/>
      <c r="B616" s="34"/>
      <c r="C616" s="34"/>
      <c r="D616" s="35"/>
      <c r="E616" s="36"/>
      <c r="F616" s="36"/>
      <c r="G616" s="36"/>
      <c r="H616" s="36"/>
      <c r="I616" s="29"/>
    </row>
    <row r="617" spans="1:42" ht="15" x14ac:dyDescent="0.25">
      <c r="A617" s="34"/>
      <c r="B617" s="34"/>
      <c r="C617" s="34"/>
      <c r="D617" s="35"/>
      <c r="E617" s="37"/>
      <c r="F617" s="37"/>
      <c r="G617" s="35"/>
      <c r="H617" s="35"/>
      <c r="I617" s="31"/>
    </row>
    <row r="618" spans="1:42" ht="15" x14ac:dyDescent="0.25">
      <c r="A618" s="34"/>
      <c r="B618" s="34"/>
      <c r="C618" s="34"/>
      <c r="D618" s="35"/>
      <c r="E618" s="37"/>
      <c r="F618" s="37"/>
      <c r="G618" s="35"/>
      <c r="H618" s="35"/>
      <c r="I618" s="31"/>
    </row>
    <row r="619" spans="1:42" ht="15" x14ac:dyDescent="0.25">
      <c r="A619" s="34"/>
      <c r="B619" s="34"/>
      <c r="C619" s="34"/>
      <c r="D619" s="35"/>
      <c r="E619" s="37"/>
      <c r="F619" s="37"/>
      <c r="G619" s="35"/>
      <c r="H619" s="35"/>
      <c r="I619" s="31"/>
    </row>
    <row r="620" spans="1:42" ht="15" x14ac:dyDescent="0.25">
      <c r="A620" s="34"/>
      <c r="B620" s="34"/>
      <c r="C620" s="34"/>
      <c r="D620" s="35"/>
      <c r="E620" s="37"/>
      <c r="F620" s="37"/>
      <c r="G620" s="35"/>
      <c r="H620" s="35"/>
      <c r="I620" s="31"/>
    </row>
    <row r="621" spans="1:42" ht="15" x14ac:dyDescent="0.25">
      <c r="A621" s="34"/>
      <c r="B621" s="34"/>
      <c r="C621" s="34"/>
      <c r="D621" s="35"/>
      <c r="E621" s="37"/>
      <c r="F621" s="37"/>
      <c r="G621" s="35"/>
      <c r="H621" s="35"/>
      <c r="I621" s="31"/>
    </row>
    <row r="622" spans="1:42" ht="15" x14ac:dyDescent="0.25">
      <c r="A622" s="34"/>
      <c r="B622" s="34"/>
      <c r="C622" s="34"/>
      <c r="D622" s="35"/>
      <c r="E622" s="37"/>
      <c r="F622" s="37"/>
      <c r="G622" s="35"/>
      <c r="H622" s="35"/>
      <c r="I622" s="31"/>
    </row>
    <row r="623" spans="1:42" ht="15" x14ac:dyDescent="0.25">
      <c r="A623" s="34"/>
      <c r="B623" s="34"/>
      <c r="C623" s="34"/>
      <c r="D623" s="35"/>
      <c r="E623" s="37"/>
      <c r="F623" s="37"/>
      <c r="G623" s="35"/>
      <c r="H623" s="35"/>
      <c r="I623" s="31"/>
    </row>
    <row r="624" spans="1:42" ht="15" x14ac:dyDescent="0.25">
      <c r="A624" s="34"/>
      <c r="B624" s="34"/>
      <c r="C624" s="34"/>
      <c r="D624" s="35"/>
      <c r="E624" s="37"/>
      <c r="F624" s="37"/>
      <c r="G624" s="35"/>
      <c r="H624" s="35"/>
      <c r="I624" s="31"/>
    </row>
    <row r="625" spans="1:9" ht="15" x14ac:dyDescent="0.25">
      <c r="A625" s="34"/>
      <c r="B625" s="34"/>
      <c r="C625" s="34"/>
      <c r="D625" s="35"/>
      <c r="E625" s="37"/>
      <c r="F625" s="37"/>
      <c r="G625" s="35"/>
      <c r="H625" s="35"/>
      <c r="I625" s="31"/>
    </row>
    <row r="626" spans="1:9" ht="15" x14ac:dyDescent="0.25">
      <c r="A626" s="34"/>
      <c r="B626" s="34"/>
      <c r="C626" s="34"/>
      <c r="D626" s="35"/>
      <c r="E626" s="37"/>
      <c r="F626" s="37"/>
      <c r="G626" s="35"/>
      <c r="H626" s="35"/>
      <c r="I626" s="31"/>
    </row>
    <row r="627" spans="1:9" ht="15" x14ac:dyDescent="0.25">
      <c r="A627" s="34"/>
      <c r="B627" s="34"/>
      <c r="C627" s="34"/>
      <c r="D627" s="35"/>
      <c r="E627" s="37"/>
      <c r="F627" s="37"/>
      <c r="G627" s="35"/>
      <c r="H627" s="35"/>
      <c r="I627" s="31"/>
    </row>
    <row r="628" spans="1:9" ht="15" x14ac:dyDescent="0.25">
      <c r="A628" s="34"/>
      <c r="B628" s="34"/>
      <c r="C628" s="34"/>
      <c r="D628" s="35"/>
      <c r="E628" s="37"/>
      <c r="F628" s="37"/>
      <c r="G628" s="35"/>
      <c r="H628" s="35"/>
      <c r="I628" s="31"/>
    </row>
    <row r="629" spans="1:9" ht="15" x14ac:dyDescent="0.25">
      <c r="A629" s="34"/>
      <c r="B629" s="34"/>
      <c r="C629" s="34"/>
      <c r="D629" s="35"/>
      <c r="E629" s="37"/>
      <c r="F629" s="37"/>
      <c r="G629" s="35"/>
      <c r="H629" s="35"/>
      <c r="I629" s="31"/>
    </row>
    <row r="630" spans="1:9" ht="15" x14ac:dyDescent="0.25">
      <c r="A630" s="34"/>
      <c r="B630" s="34"/>
      <c r="C630" s="34"/>
      <c r="D630" s="35"/>
      <c r="E630" s="37"/>
      <c r="F630" s="37"/>
      <c r="G630" s="35"/>
      <c r="H630" s="35"/>
      <c r="I630" s="31"/>
    </row>
    <row r="631" spans="1:9" ht="15" x14ac:dyDescent="0.25">
      <c r="A631" s="34"/>
      <c r="B631" s="34"/>
      <c r="C631" s="34"/>
      <c r="D631" s="35"/>
      <c r="E631" s="37"/>
      <c r="F631" s="37"/>
      <c r="G631" s="35"/>
      <c r="H631" s="35"/>
      <c r="I631" s="31"/>
    </row>
    <row r="632" spans="1:9" ht="15" x14ac:dyDescent="0.25">
      <c r="A632" s="30"/>
      <c r="B632" s="30"/>
      <c r="C632" s="30"/>
      <c r="D632" s="28"/>
      <c r="E632" s="33"/>
      <c r="F632" s="33"/>
      <c r="G632" s="28"/>
      <c r="H632" s="28"/>
      <c r="I632" s="31"/>
    </row>
    <row r="633" spans="1:9" ht="15" x14ac:dyDescent="0.25">
      <c r="A633" s="30"/>
      <c r="B633" s="30"/>
      <c r="C633" s="30"/>
      <c r="D633" s="28"/>
      <c r="E633" s="33"/>
      <c r="F633" s="33"/>
      <c r="G633" s="28"/>
      <c r="H633" s="28"/>
      <c r="I633" s="31"/>
    </row>
    <row r="634" spans="1:9" ht="15" x14ac:dyDescent="0.25">
      <c r="A634" s="30"/>
      <c r="B634" s="30"/>
      <c r="C634" s="30"/>
      <c r="D634" s="28"/>
      <c r="E634" s="33"/>
      <c r="F634" s="33"/>
      <c r="G634" s="28"/>
      <c r="H634" s="28"/>
      <c r="I634" s="31"/>
    </row>
    <row r="635" spans="1:9" ht="15" x14ac:dyDescent="0.25">
      <c r="A635" s="30"/>
      <c r="B635" s="30"/>
      <c r="C635" s="30"/>
      <c r="D635" s="28"/>
      <c r="E635" s="33"/>
      <c r="F635" s="33"/>
      <c r="G635" s="28"/>
      <c r="H635" s="28"/>
      <c r="I635" s="31"/>
    </row>
    <row r="636" spans="1:9" ht="15" x14ac:dyDescent="0.25">
      <c r="A636" s="30"/>
      <c r="B636" s="30"/>
      <c r="C636" s="30"/>
      <c r="D636" s="28"/>
      <c r="E636" s="33"/>
      <c r="F636" s="33"/>
      <c r="G636" s="28"/>
      <c r="H636" s="28"/>
      <c r="I636" s="31"/>
    </row>
    <row r="637" spans="1:9" ht="15" x14ac:dyDescent="0.25">
      <c r="A637" s="30"/>
      <c r="B637" s="30"/>
      <c r="C637" s="30"/>
      <c r="D637" s="28"/>
      <c r="E637" s="33"/>
      <c r="F637" s="33"/>
      <c r="G637" s="28"/>
      <c r="H637" s="28"/>
      <c r="I637" s="31"/>
    </row>
    <row r="638" spans="1:9" ht="15" x14ac:dyDescent="0.25">
      <c r="A638" s="30"/>
      <c r="B638" s="30"/>
      <c r="C638" s="30"/>
      <c r="D638" s="28"/>
      <c r="E638" s="33"/>
      <c r="F638" s="33"/>
      <c r="G638" s="28"/>
      <c r="H638" s="28"/>
      <c r="I638" s="31"/>
    </row>
    <row r="639" spans="1:9" ht="15" x14ac:dyDescent="0.25">
      <c r="A639" s="30"/>
      <c r="B639" s="30"/>
      <c r="C639" s="30"/>
      <c r="D639" s="28"/>
      <c r="E639" s="33"/>
      <c r="F639" s="33"/>
      <c r="G639" s="28"/>
      <c r="H639" s="28"/>
      <c r="I639" s="31"/>
    </row>
    <row r="640" spans="1:9" ht="15" x14ac:dyDescent="0.25">
      <c r="A640" s="30"/>
      <c r="B640" s="30"/>
      <c r="C640" s="30"/>
      <c r="D640" s="28"/>
      <c r="E640" s="33"/>
      <c r="F640" s="33"/>
      <c r="G640" s="28"/>
      <c r="H640" s="28"/>
      <c r="I640" s="31"/>
    </row>
    <row r="641" spans="1:9" ht="15" x14ac:dyDescent="0.25">
      <c r="A641" s="30"/>
      <c r="B641" s="30"/>
      <c r="C641" s="30"/>
      <c r="D641" s="28"/>
      <c r="E641" s="33"/>
      <c r="F641" s="33"/>
      <c r="G641" s="28"/>
      <c r="H641" s="28"/>
      <c r="I641" s="31"/>
    </row>
    <row r="642" spans="1:9" ht="15" x14ac:dyDescent="0.25">
      <c r="A642" s="30"/>
      <c r="B642" s="30"/>
      <c r="C642" s="30"/>
      <c r="D642" s="28"/>
      <c r="E642" s="33"/>
      <c r="F642" s="33"/>
      <c r="G642" s="28"/>
      <c r="H642" s="28"/>
      <c r="I642" s="31"/>
    </row>
    <row r="643" spans="1:9" ht="15" x14ac:dyDescent="0.25">
      <c r="A643" s="30"/>
      <c r="B643" s="30"/>
      <c r="C643" s="30"/>
      <c r="D643" s="28"/>
      <c r="E643" s="33"/>
      <c r="F643" s="33"/>
      <c r="G643" s="28"/>
      <c r="H643" s="28"/>
      <c r="I643" s="31"/>
    </row>
    <row r="644" spans="1:9" ht="15" x14ac:dyDescent="0.25">
      <c r="A644" s="30"/>
      <c r="B644" s="30"/>
      <c r="C644" s="30"/>
      <c r="D644" s="28"/>
      <c r="E644" s="33"/>
      <c r="F644" s="33"/>
      <c r="G644" s="28"/>
      <c r="H644" s="28"/>
      <c r="I644" s="31"/>
    </row>
    <row r="645" spans="1:9" ht="15" x14ac:dyDescent="0.25">
      <c r="A645" s="30"/>
      <c r="B645" s="30"/>
      <c r="C645" s="30"/>
      <c r="D645" s="28"/>
      <c r="E645" s="33"/>
      <c r="F645" s="33"/>
      <c r="G645" s="28"/>
      <c r="H645" s="28"/>
      <c r="I645" s="31"/>
    </row>
    <row r="646" spans="1:9" ht="15" x14ac:dyDescent="0.25">
      <c r="A646" s="30"/>
      <c r="B646" s="30"/>
      <c r="C646" s="30"/>
      <c r="D646" s="28"/>
      <c r="E646" s="33"/>
      <c r="F646" s="33"/>
      <c r="G646" s="28"/>
      <c r="H646" s="28"/>
      <c r="I646" s="31"/>
    </row>
    <row r="647" spans="1:9" ht="15" x14ac:dyDescent="0.25">
      <c r="A647" s="30"/>
      <c r="B647" s="30"/>
      <c r="C647" s="30"/>
      <c r="D647" s="28"/>
      <c r="E647" s="33"/>
      <c r="F647" s="33"/>
      <c r="G647" s="28"/>
      <c r="H647" s="28"/>
      <c r="I647" s="31"/>
    </row>
    <row r="648" spans="1:9" ht="15" x14ac:dyDescent="0.25">
      <c r="A648" s="30"/>
      <c r="B648" s="30"/>
      <c r="C648" s="30"/>
      <c r="D648" s="28"/>
      <c r="E648" s="33"/>
      <c r="F648" s="33"/>
      <c r="G648" s="28"/>
      <c r="H648" s="28"/>
      <c r="I648" s="31"/>
    </row>
    <row r="649" spans="1:9" ht="15" x14ac:dyDescent="0.25">
      <c r="A649" s="30"/>
      <c r="B649" s="30"/>
      <c r="C649" s="30"/>
      <c r="D649" s="28"/>
      <c r="E649" s="33"/>
      <c r="F649" s="33"/>
      <c r="G649" s="28"/>
      <c r="H649" s="28"/>
      <c r="I649" s="31"/>
    </row>
    <row r="650" spans="1:9" ht="15" x14ac:dyDescent="0.25">
      <c r="A650" s="30"/>
      <c r="B650" s="30"/>
      <c r="C650" s="30"/>
      <c r="D650" s="28"/>
      <c r="E650" s="33"/>
      <c r="F650" s="33"/>
      <c r="G650" s="28"/>
      <c r="H650" s="28"/>
      <c r="I650" s="31"/>
    </row>
    <row r="651" spans="1:9" ht="15" x14ac:dyDescent="0.25">
      <c r="A651" s="30"/>
      <c r="B651" s="30"/>
      <c r="C651" s="30"/>
      <c r="D651" s="28"/>
      <c r="E651" s="33"/>
      <c r="F651" s="33"/>
      <c r="G651" s="28"/>
      <c r="H651" s="28"/>
      <c r="I651" s="31"/>
    </row>
    <row r="652" spans="1:9" ht="15" x14ac:dyDescent="0.25">
      <c r="A652" s="30"/>
      <c r="B652" s="30"/>
      <c r="C652" s="30"/>
      <c r="D652" s="28"/>
      <c r="E652" s="33"/>
      <c r="F652" s="33"/>
      <c r="G652" s="28"/>
      <c r="H652" s="28"/>
      <c r="I652" s="31"/>
    </row>
    <row r="653" spans="1:9" ht="15" x14ac:dyDescent="0.25">
      <c r="A653" s="30"/>
      <c r="B653" s="30"/>
      <c r="C653" s="30"/>
      <c r="D653" s="28"/>
      <c r="E653" s="33"/>
      <c r="F653" s="33"/>
      <c r="G653" s="28"/>
      <c r="H653" s="28"/>
      <c r="I653" s="31"/>
    </row>
    <row r="654" spans="1:9" ht="15" x14ac:dyDescent="0.25">
      <c r="A654" s="30"/>
      <c r="B654" s="30"/>
      <c r="C654" s="30"/>
      <c r="D654" s="28"/>
      <c r="E654" s="33"/>
      <c r="F654" s="33"/>
      <c r="G654" s="28"/>
      <c r="H654" s="28"/>
      <c r="I654" s="31"/>
    </row>
    <row r="655" spans="1:9" ht="15" x14ac:dyDescent="0.25">
      <c r="A655" s="30"/>
      <c r="B655" s="30"/>
      <c r="C655" s="30"/>
      <c r="D655" s="28"/>
      <c r="E655" s="33"/>
      <c r="F655" s="33"/>
      <c r="G655" s="28"/>
      <c r="H655" s="28"/>
      <c r="I655" s="31"/>
    </row>
    <row r="656" spans="1:9" ht="15" x14ac:dyDescent="0.25">
      <c r="A656" s="30"/>
      <c r="B656" s="30"/>
      <c r="C656" s="30"/>
      <c r="D656" s="28"/>
      <c r="E656" s="33"/>
      <c r="F656" s="33"/>
      <c r="G656" s="28"/>
      <c r="H656" s="28"/>
      <c r="I656" s="31"/>
    </row>
    <row r="657" spans="1:9" ht="15" x14ac:dyDescent="0.25">
      <c r="A657" s="30"/>
      <c r="B657" s="30"/>
      <c r="C657" s="30"/>
      <c r="D657" s="28"/>
      <c r="E657" s="33"/>
      <c r="F657" s="33"/>
      <c r="G657" s="28"/>
      <c r="H657" s="28"/>
      <c r="I657" s="31"/>
    </row>
    <row r="658" spans="1:9" ht="15" x14ac:dyDescent="0.25">
      <c r="A658" s="30"/>
      <c r="B658" s="30"/>
      <c r="C658" s="30"/>
      <c r="D658" s="28"/>
      <c r="E658" s="33"/>
      <c r="F658" s="33"/>
      <c r="G658" s="28"/>
      <c r="H658" s="28"/>
      <c r="I658" s="31"/>
    </row>
    <row r="659" spans="1:9" ht="15" x14ac:dyDescent="0.25">
      <c r="A659" s="30"/>
      <c r="B659" s="30"/>
      <c r="C659" s="30"/>
      <c r="D659" s="28"/>
      <c r="E659" s="33"/>
      <c r="F659" s="33"/>
      <c r="G659" s="28"/>
      <c r="H659" s="28"/>
      <c r="I659" s="31"/>
    </row>
    <row r="660" spans="1:9" ht="15" x14ac:dyDescent="0.25">
      <c r="A660" s="30"/>
      <c r="B660" s="30"/>
      <c r="C660" s="30"/>
      <c r="D660" s="28"/>
      <c r="E660" s="33"/>
      <c r="F660" s="33"/>
      <c r="G660" s="28"/>
      <c r="H660" s="28"/>
      <c r="I660" s="31"/>
    </row>
    <row r="661" spans="1:9" ht="15" x14ac:dyDescent="0.25">
      <c r="A661" s="30"/>
      <c r="B661" s="30"/>
      <c r="C661" s="30"/>
      <c r="D661" s="28"/>
      <c r="E661" s="33"/>
      <c r="F661" s="33"/>
      <c r="G661" s="28"/>
      <c r="H661" s="28"/>
      <c r="I661" s="31"/>
    </row>
    <row r="662" spans="1:9" ht="15" x14ac:dyDescent="0.25">
      <c r="A662" s="30"/>
      <c r="B662" s="30"/>
      <c r="C662" s="30"/>
      <c r="D662" s="28"/>
      <c r="E662" s="33"/>
      <c r="F662" s="33"/>
      <c r="G662" s="28"/>
      <c r="H662" s="28"/>
      <c r="I662" s="31"/>
    </row>
    <row r="663" spans="1:9" ht="15" x14ac:dyDescent="0.25">
      <c r="A663" s="30"/>
      <c r="B663" s="30"/>
      <c r="C663" s="30"/>
      <c r="D663" s="28"/>
      <c r="E663" s="33"/>
      <c r="F663" s="33"/>
      <c r="G663" s="28"/>
      <c r="H663" s="28"/>
      <c r="I663" s="31"/>
    </row>
    <row r="664" spans="1:9" ht="15" x14ac:dyDescent="0.25">
      <c r="A664" s="30"/>
      <c r="B664" s="30"/>
      <c r="C664" s="30"/>
      <c r="D664" s="28"/>
      <c r="E664" s="33"/>
      <c r="F664" s="33"/>
      <c r="G664" s="28"/>
      <c r="H664" s="28"/>
      <c r="I664" s="31"/>
    </row>
    <row r="665" spans="1:9" ht="15" x14ac:dyDescent="0.25">
      <c r="A665" s="30"/>
      <c r="B665" s="30"/>
      <c r="C665" s="30"/>
      <c r="D665" s="28"/>
      <c r="E665" s="33"/>
      <c r="F665" s="33"/>
      <c r="G665" s="28"/>
      <c r="H665" s="28"/>
      <c r="I665" s="31"/>
    </row>
    <row r="666" spans="1:9" ht="15" x14ac:dyDescent="0.25">
      <c r="A666" s="30"/>
      <c r="B666" s="30"/>
      <c r="C666" s="30"/>
      <c r="D666" s="28"/>
      <c r="E666" s="33"/>
      <c r="F666" s="33"/>
      <c r="G666" s="28"/>
      <c r="H666" s="28"/>
      <c r="I666" s="31"/>
    </row>
    <row r="667" spans="1:9" ht="15" x14ac:dyDescent="0.25">
      <c r="A667" s="30"/>
      <c r="B667" s="30"/>
      <c r="C667" s="30"/>
      <c r="D667" s="28"/>
      <c r="E667" s="33"/>
      <c r="F667" s="33"/>
      <c r="G667" s="28"/>
      <c r="H667" s="28"/>
      <c r="I667" s="31"/>
    </row>
    <row r="668" spans="1:9" ht="15" x14ac:dyDescent="0.25">
      <c r="A668" s="30"/>
      <c r="B668" s="30"/>
      <c r="C668" s="30"/>
      <c r="D668" s="28"/>
      <c r="E668" s="33"/>
      <c r="F668" s="33"/>
      <c r="G668" s="28"/>
      <c r="H668" s="28"/>
      <c r="I668" s="31"/>
    </row>
    <row r="669" spans="1:9" ht="15" x14ac:dyDescent="0.25">
      <c r="A669" s="30"/>
      <c r="B669" s="30"/>
      <c r="C669" s="30"/>
      <c r="D669" s="28"/>
      <c r="E669" s="33"/>
      <c r="F669" s="33"/>
      <c r="G669" s="28"/>
      <c r="H669" s="28"/>
      <c r="I669" s="31"/>
    </row>
    <row r="670" spans="1:9" ht="15" x14ac:dyDescent="0.25">
      <c r="A670" s="30"/>
      <c r="B670" s="30"/>
      <c r="C670" s="30"/>
      <c r="D670" s="28"/>
      <c r="E670" s="33"/>
      <c r="F670" s="33"/>
      <c r="G670" s="28"/>
      <c r="H670" s="28"/>
      <c r="I670" s="31"/>
    </row>
    <row r="671" spans="1:9" ht="15" x14ac:dyDescent="0.25">
      <c r="A671" s="30"/>
      <c r="B671" s="30"/>
      <c r="C671" s="30"/>
      <c r="D671" s="28"/>
      <c r="E671" s="33"/>
      <c r="F671" s="33"/>
      <c r="G671" s="28"/>
      <c r="H671" s="28"/>
      <c r="I671" s="31"/>
    </row>
    <row r="672" spans="1:9" ht="15" x14ac:dyDescent="0.25">
      <c r="A672" s="30"/>
      <c r="B672" s="30"/>
      <c r="C672" s="30"/>
      <c r="D672" s="28"/>
      <c r="E672" s="33"/>
      <c r="F672" s="33"/>
      <c r="G672" s="28"/>
      <c r="H672" s="28"/>
      <c r="I672" s="31"/>
    </row>
    <row r="673" spans="1:9" ht="15" x14ac:dyDescent="0.25">
      <c r="A673" s="30"/>
      <c r="B673" s="30"/>
      <c r="C673" s="30"/>
      <c r="D673" s="28"/>
      <c r="E673" s="33"/>
      <c r="F673" s="33"/>
      <c r="G673" s="28"/>
      <c r="H673" s="28"/>
      <c r="I673" s="31"/>
    </row>
    <row r="674" spans="1:9" ht="15" x14ac:dyDescent="0.25">
      <c r="A674" s="30"/>
      <c r="B674" s="30"/>
      <c r="C674" s="30"/>
      <c r="D674" s="28"/>
      <c r="E674" s="33"/>
      <c r="F674" s="33"/>
      <c r="G674" s="28"/>
      <c r="H674" s="28"/>
      <c r="I674" s="31"/>
    </row>
    <row r="675" spans="1:9" ht="15" x14ac:dyDescent="0.25">
      <c r="A675" s="30"/>
      <c r="B675" s="30"/>
      <c r="C675" s="30"/>
      <c r="D675" s="28"/>
      <c r="E675" s="33"/>
      <c r="F675" s="33"/>
      <c r="G675" s="28"/>
      <c r="H675" s="28"/>
      <c r="I675" s="31"/>
    </row>
    <row r="676" spans="1:9" ht="15" x14ac:dyDescent="0.25">
      <c r="A676" s="30"/>
      <c r="B676" s="30"/>
      <c r="C676" s="30"/>
      <c r="D676" s="28"/>
      <c r="E676" s="33"/>
      <c r="F676" s="33"/>
      <c r="G676" s="28"/>
      <c r="H676" s="28"/>
      <c r="I676" s="31"/>
    </row>
    <row r="677" spans="1:9" ht="15" x14ac:dyDescent="0.25">
      <c r="A677" s="30"/>
      <c r="B677" s="30"/>
      <c r="C677" s="30"/>
      <c r="D677" s="28"/>
      <c r="E677" s="33"/>
      <c r="F677" s="33"/>
      <c r="G677" s="28"/>
      <c r="H677" s="28"/>
      <c r="I677" s="31"/>
    </row>
    <row r="678" spans="1:9" ht="15" x14ac:dyDescent="0.25">
      <c r="A678" s="30"/>
      <c r="B678" s="30"/>
      <c r="C678" s="30"/>
      <c r="D678" s="28"/>
      <c r="E678" s="33"/>
      <c r="F678" s="33"/>
      <c r="G678" s="28"/>
      <c r="H678" s="28"/>
      <c r="I678" s="31"/>
    </row>
    <row r="679" spans="1:9" ht="15" x14ac:dyDescent="0.25">
      <c r="A679" s="30"/>
      <c r="B679" s="30"/>
      <c r="C679" s="30"/>
      <c r="D679" s="28"/>
      <c r="E679" s="33"/>
      <c r="F679" s="33"/>
      <c r="G679" s="28"/>
      <c r="H679" s="28"/>
      <c r="I679" s="31"/>
    </row>
    <row r="680" spans="1:9" ht="15" x14ac:dyDescent="0.25">
      <c r="A680" s="30"/>
      <c r="B680" s="30"/>
      <c r="C680" s="30"/>
      <c r="D680" s="28"/>
      <c r="E680" s="33"/>
      <c r="F680" s="33"/>
      <c r="G680" s="28"/>
      <c r="H680" s="28"/>
      <c r="I680" s="31"/>
    </row>
    <row r="681" spans="1:9" ht="15" x14ac:dyDescent="0.25">
      <c r="B681" s="30"/>
      <c r="C681" s="30"/>
      <c r="D681" s="28"/>
      <c r="E681" s="33"/>
      <c r="F681" s="33"/>
      <c r="G681" s="28"/>
      <c r="H681" s="28"/>
      <c r="I681" s="31"/>
    </row>
    <row r="682" spans="1:9" ht="15" x14ac:dyDescent="0.25">
      <c r="B682" s="30"/>
      <c r="C682" s="30"/>
      <c r="D682" s="28"/>
      <c r="E682" s="33"/>
      <c r="F682" s="33"/>
      <c r="G682" s="28"/>
      <c r="H682" s="28"/>
      <c r="I682" s="31"/>
    </row>
    <row r="683" spans="1:9" ht="15" x14ac:dyDescent="0.25">
      <c r="B683" s="30"/>
      <c r="C683" s="30"/>
      <c r="D683" s="28"/>
      <c r="E683" s="33"/>
      <c r="F683" s="33"/>
      <c r="G683" s="28"/>
      <c r="H683" s="28"/>
      <c r="I683" s="31"/>
    </row>
    <row r="684" spans="1:9" ht="15" x14ac:dyDescent="0.25">
      <c r="B684" s="30"/>
      <c r="C684" s="30"/>
      <c r="D684" s="28"/>
      <c r="E684" s="33"/>
      <c r="F684" s="33"/>
      <c r="G684" s="28"/>
      <c r="H684" s="28"/>
      <c r="I684" s="31"/>
    </row>
    <row r="685" spans="1:9" ht="15" x14ac:dyDescent="0.25">
      <c r="B685" s="30"/>
      <c r="C685" s="30"/>
      <c r="D685" s="28"/>
      <c r="E685" s="33"/>
      <c r="F685" s="33"/>
      <c r="G685" s="28"/>
      <c r="H685" s="28"/>
      <c r="I685" s="31"/>
    </row>
    <row r="686" spans="1:9" ht="15" x14ac:dyDescent="0.25">
      <c r="B686" s="30"/>
      <c r="C686" s="30"/>
      <c r="D686" s="28"/>
      <c r="E686" s="33"/>
      <c r="F686" s="33"/>
      <c r="G686" s="28"/>
      <c r="H686" s="28"/>
      <c r="I686" s="31"/>
    </row>
    <row r="687" spans="1:9" ht="15" x14ac:dyDescent="0.25">
      <c r="B687" s="30"/>
      <c r="C687" s="30"/>
      <c r="D687" s="28"/>
      <c r="E687" s="33"/>
      <c r="F687" s="33"/>
      <c r="G687" s="28"/>
      <c r="H687" s="28"/>
      <c r="I687" s="31"/>
    </row>
    <row r="688" spans="1:9" ht="15" x14ac:dyDescent="0.25">
      <c r="B688" s="30"/>
      <c r="C688" s="30"/>
      <c r="D688" s="28"/>
      <c r="E688" s="33"/>
      <c r="F688" s="33"/>
      <c r="G688" s="28"/>
      <c r="H688" s="28"/>
      <c r="I688" s="31"/>
    </row>
    <row r="689" spans="2:9" ht="15" x14ac:dyDescent="0.25">
      <c r="B689" s="30"/>
      <c r="C689" s="30"/>
      <c r="D689" s="28"/>
      <c r="E689" s="33"/>
      <c r="F689" s="33"/>
      <c r="G689" s="28"/>
      <c r="H689" s="28"/>
      <c r="I689" s="31"/>
    </row>
    <row r="690" spans="2:9" ht="15" x14ac:dyDescent="0.25">
      <c r="B690" s="30"/>
      <c r="C690" s="30"/>
      <c r="D690" s="28"/>
      <c r="E690" s="33"/>
      <c r="F690" s="33"/>
      <c r="G690" s="28"/>
      <c r="H690" s="28"/>
      <c r="I690" s="31"/>
    </row>
    <row r="691" spans="2:9" ht="15" x14ac:dyDescent="0.25">
      <c r="B691" s="30"/>
      <c r="C691" s="30"/>
      <c r="D691" s="28"/>
      <c r="E691" s="33"/>
      <c r="F691" s="33"/>
      <c r="G691" s="28"/>
      <c r="H691" s="28"/>
      <c r="I691" s="31"/>
    </row>
    <row r="692" spans="2:9" ht="15" x14ac:dyDescent="0.25">
      <c r="B692" s="30"/>
      <c r="C692" s="30"/>
      <c r="D692" s="28"/>
      <c r="E692" s="33"/>
      <c r="F692" s="33"/>
      <c r="G692" s="28"/>
      <c r="H692" s="28"/>
      <c r="I692" s="31"/>
    </row>
    <row r="693" spans="2:9" ht="15" x14ac:dyDescent="0.25">
      <c r="B693" s="30"/>
      <c r="C693" s="30"/>
      <c r="D693" s="28"/>
      <c r="E693" s="33"/>
      <c r="F693" s="33"/>
      <c r="G693" s="28"/>
      <c r="H693" s="28"/>
      <c r="I693" s="31"/>
    </row>
    <row r="694" spans="2:9" ht="15" x14ac:dyDescent="0.25">
      <c r="B694" s="30"/>
      <c r="C694" s="30"/>
      <c r="D694" s="28"/>
      <c r="E694" s="33"/>
      <c r="F694" s="33"/>
      <c r="G694" s="28"/>
      <c r="H694" s="28"/>
      <c r="I694" s="31"/>
    </row>
    <row r="695" spans="2:9" ht="15" x14ac:dyDescent="0.25">
      <c r="B695" s="30"/>
      <c r="C695" s="30"/>
      <c r="D695" s="28"/>
      <c r="E695" s="33"/>
      <c r="F695" s="33"/>
      <c r="G695" s="28"/>
      <c r="H695" s="28"/>
      <c r="I695" s="31"/>
    </row>
    <row r="696" spans="2:9" ht="15" x14ac:dyDescent="0.25">
      <c r="B696" s="30"/>
      <c r="C696" s="30"/>
      <c r="D696" s="28"/>
      <c r="E696" s="33"/>
      <c r="F696" s="33"/>
      <c r="G696" s="28"/>
      <c r="H696" s="28"/>
      <c r="I696" s="31"/>
    </row>
    <row r="697" spans="2:9" ht="15" x14ac:dyDescent="0.25">
      <c r="B697" s="30"/>
      <c r="C697" s="30"/>
      <c r="D697" s="28"/>
      <c r="E697" s="33"/>
      <c r="F697" s="33"/>
      <c r="G697" s="28"/>
      <c r="H697" s="28"/>
      <c r="I697" s="31"/>
    </row>
    <row r="698" spans="2:9" ht="15" x14ac:dyDescent="0.25">
      <c r="B698" s="30"/>
      <c r="C698" s="30"/>
      <c r="D698" s="28"/>
      <c r="E698" s="33"/>
      <c r="F698" s="33"/>
      <c r="G698" s="28"/>
      <c r="H698" s="28"/>
      <c r="I698" s="31"/>
    </row>
    <row r="699" spans="2:9" ht="15" x14ac:dyDescent="0.25">
      <c r="B699" s="30"/>
      <c r="C699" s="30"/>
      <c r="D699" s="28"/>
      <c r="E699" s="33"/>
      <c r="F699" s="33"/>
      <c r="G699" s="28"/>
      <c r="H699" s="28"/>
      <c r="I699" s="31"/>
    </row>
    <row r="700" spans="2:9" ht="15" x14ac:dyDescent="0.25">
      <c r="B700" s="30"/>
      <c r="C700" s="30"/>
      <c r="D700" s="28"/>
      <c r="E700" s="33"/>
      <c r="F700" s="33"/>
      <c r="G700" s="28"/>
      <c r="H700" s="28"/>
      <c r="I700" s="31"/>
    </row>
    <row r="701" spans="2:9" ht="15" x14ac:dyDescent="0.25">
      <c r="B701" s="30"/>
      <c r="C701" s="30"/>
      <c r="D701" s="28"/>
      <c r="E701" s="33"/>
      <c r="F701" s="33"/>
      <c r="G701" s="28"/>
      <c r="H701" s="28"/>
      <c r="I701" s="31"/>
    </row>
    <row r="702" spans="2:9" ht="15" x14ac:dyDescent="0.25">
      <c r="B702" s="30"/>
      <c r="C702" s="30"/>
      <c r="D702" s="28"/>
      <c r="E702" s="33"/>
      <c r="F702" s="33"/>
      <c r="G702" s="28"/>
      <c r="H702" s="28"/>
      <c r="I702" s="31"/>
    </row>
    <row r="703" spans="2:9" ht="15" x14ac:dyDescent="0.25">
      <c r="B703" s="30"/>
      <c r="C703" s="30"/>
      <c r="D703" s="28"/>
      <c r="E703" s="33"/>
      <c r="F703" s="33"/>
      <c r="G703" s="28"/>
      <c r="H703" s="28"/>
      <c r="I703" s="31"/>
    </row>
    <row r="704" spans="2:9" ht="15" x14ac:dyDescent="0.25">
      <c r="B704" s="30"/>
      <c r="C704" s="30"/>
      <c r="D704" s="28"/>
      <c r="E704" s="33"/>
      <c r="F704" s="33"/>
      <c r="G704" s="28"/>
      <c r="H704" s="28"/>
      <c r="I704" s="31"/>
    </row>
    <row r="705" spans="2:9" ht="15" x14ac:dyDescent="0.25">
      <c r="B705" s="30"/>
      <c r="C705" s="30"/>
      <c r="D705" s="28"/>
      <c r="E705" s="33"/>
      <c r="F705" s="33"/>
      <c r="G705" s="28"/>
      <c r="H705" s="28"/>
      <c r="I705" s="31"/>
    </row>
    <row r="706" spans="2:9" ht="15" x14ac:dyDescent="0.25">
      <c r="B706" s="30"/>
      <c r="C706" s="30"/>
      <c r="D706" s="28"/>
      <c r="E706" s="33"/>
      <c r="F706" s="33"/>
      <c r="G706" s="28"/>
      <c r="H706" s="28"/>
      <c r="I706" s="31"/>
    </row>
    <row r="707" spans="2:9" ht="15" x14ac:dyDescent="0.25">
      <c r="B707" s="30"/>
      <c r="C707" s="30"/>
      <c r="D707" s="28"/>
      <c r="E707" s="33"/>
      <c r="F707" s="33"/>
      <c r="G707" s="28"/>
      <c r="H707" s="28"/>
      <c r="I707" s="31"/>
    </row>
    <row r="708" spans="2:9" ht="15" x14ac:dyDescent="0.25">
      <c r="B708" s="30"/>
      <c r="C708" s="30"/>
      <c r="D708" s="28"/>
      <c r="E708" s="33"/>
      <c r="F708" s="33"/>
      <c r="G708" s="28"/>
      <c r="H708" s="28"/>
      <c r="I708" s="31"/>
    </row>
    <row r="709" spans="2:9" ht="15" x14ac:dyDescent="0.25">
      <c r="B709" s="30"/>
      <c r="C709" s="30"/>
      <c r="D709" s="28"/>
      <c r="E709" s="33"/>
      <c r="F709" s="33"/>
      <c r="G709" s="28"/>
      <c r="H709" s="28"/>
      <c r="I709" s="31"/>
    </row>
    <row r="710" spans="2:9" ht="15" x14ac:dyDescent="0.25">
      <c r="B710" s="30"/>
      <c r="C710" s="30"/>
      <c r="D710" s="28"/>
      <c r="E710" s="33"/>
      <c r="F710" s="33"/>
      <c r="G710" s="28"/>
      <c r="H710" s="28"/>
      <c r="I710" s="31"/>
    </row>
    <row r="711" spans="2:9" ht="15" x14ac:dyDescent="0.25">
      <c r="B711" s="30"/>
      <c r="C711" s="30"/>
      <c r="D711" s="28"/>
      <c r="E711" s="33"/>
      <c r="F711" s="33"/>
      <c r="G711" s="28"/>
      <c r="H711" s="28"/>
      <c r="I711" s="31"/>
    </row>
    <row r="712" spans="2:9" ht="15" x14ac:dyDescent="0.25">
      <c r="B712" s="30"/>
      <c r="C712" s="30"/>
      <c r="D712" s="28"/>
      <c r="E712" s="33"/>
      <c r="F712" s="33"/>
      <c r="G712" s="28"/>
      <c r="H712" s="28"/>
      <c r="I712" s="31"/>
    </row>
    <row r="713" spans="2:9" ht="15" x14ac:dyDescent="0.25">
      <c r="B713" s="30"/>
      <c r="C713" s="30"/>
      <c r="D713" s="28"/>
      <c r="E713" s="33"/>
      <c r="F713" s="33"/>
      <c r="G713" s="28"/>
      <c r="H713" s="28"/>
      <c r="I713" s="31"/>
    </row>
    <row r="714" spans="2:9" ht="15" x14ac:dyDescent="0.25">
      <c r="B714" s="30"/>
      <c r="C714" s="30"/>
      <c r="D714" s="28"/>
      <c r="E714" s="33"/>
      <c r="F714" s="33"/>
      <c r="G714" s="28"/>
      <c r="H714" s="28"/>
      <c r="I714" s="31"/>
    </row>
    <row r="715" spans="2:9" ht="15" x14ac:dyDescent="0.25">
      <c r="B715" s="30"/>
      <c r="C715" s="30"/>
      <c r="D715" s="28"/>
      <c r="E715" s="33"/>
      <c r="F715" s="33"/>
      <c r="G715" s="28"/>
      <c r="H715" s="28"/>
      <c r="I715" s="31"/>
    </row>
    <row r="716" spans="2:9" ht="15" x14ac:dyDescent="0.25">
      <c r="B716" s="30"/>
      <c r="C716" s="30"/>
      <c r="D716" s="28"/>
      <c r="E716" s="33"/>
      <c r="F716" s="33"/>
      <c r="G716" s="28"/>
      <c r="H716" s="28"/>
      <c r="I716" s="31"/>
    </row>
    <row r="717" spans="2:9" ht="15" x14ac:dyDescent="0.25">
      <c r="B717" s="30"/>
      <c r="C717" s="30"/>
      <c r="D717" s="28"/>
      <c r="E717" s="33"/>
      <c r="F717" s="33"/>
      <c r="G717" s="28"/>
      <c r="H717" s="28"/>
      <c r="I717" s="31"/>
    </row>
    <row r="718" spans="2:9" ht="15" x14ac:dyDescent="0.25">
      <c r="B718" s="30"/>
      <c r="C718" s="30"/>
      <c r="D718" s="28"/>
      <c r="E718" s="33"/>
      <c r="F718" s="33"/>
      <c r="G718" s="28"/>
      <c r="H718" s="28"/>
      <c r="I718" s="31"/>
    </row>
    <row r="719" spans="2:9" ht="15" x14ac:dyDescent="0.25">
      <c r="B719" s="30"/>
      <c r="C719" s="30"/>
      <c r="D719" s="28"/>
      <c r="E719" s="33"/>
      <c r="F719" s="33"/>
      <c r="G719" s="28"/>
      <c r="H719" s="28"/>
      <c r="I719" s="31"/>
    </row>
    <row r="720" spans="2:9" ht="15" x14ac:dyDescent="0.25">
      <c r="B720" s="30"/>
      <c r="C720" s="30"/>
      <c r="D720" s="28"/>
      <c r="E720" s="33"/>
      <c r="F720" s="33"/>
      <c r="G720" s="28"/>
      <c r="H720" s="28"/>
      <c r="I720" s="31"/>
    </row>
    <row r="721" spans="2:9" ht="15" x14ac:dyDescent="0.25">
      <c r="B721" s="30"/>
      <c r="C721" s="30"/>
      <c r="D721" s="28"/>
      <c r="E721" s="33"/>
      <c r="F721" s="33"/>
      <c r="G721" s="28"/>
      <c r="H721" s="28"/>
      <c r="I721" s="31"/>
    </row>
    <row r="722" spans="2:9" ht="15" x14ac:dyDescent="0.25">
      <c r="B722" s="30"/>
      <c r="C722" s="30"/>
      <c r="D722" s="28"/>
      <c r="E722" s="33"/>
      <c r="F722" s="33"/>
      <c r="G722" s="28"/>
      <c r="H722" s="28"/>
      <c r="I722" s="31"/>
    </row>
    <row r="723" spans="2:9" ht="15" x14ac:dyDescent="0.25">
      <c r="B723" s="30"/>
      <c r="C723" s="30"/>
      <c r="D723" s="28"/>
      <c r="E723" s="33"/>
      <c r="F723" s="33"/>
      <c r="G723" s="28"/>
      <c r="H723" s="28"/>
      <c r="I723" s="31"/>
    </row>
    <row r="724" spans="2:9" ht="15" x14ac:dyDescent="0.25">
      <c r="B724" s="30"/>
      <c r="C724" s="30"/>
      <c r="D724" s="28"/>
      <c r="E724" s="33"/>
      <c r="F724" s="33"/>
      <c r="G724" s="28"/>
      <c r="H724" s="28"/>
      <c r="I724" s="31"/>
    </row>
    <row r="725" spans="2:9" ht="15" x14ac:dyDescent="0.25">
      <c r="B725" s="30"/>
      <c r="C725" s="30"/>
      <c r="D725" s="28"/>
      <c r="E725" s="33"/>
      <c r="F725" s="33"/>
      <c r="G725" s="28"/>
      <c r="H725" s="28"/>
      <c r="I725" s="31"/>
    </row>
    <row r="726" spans="2:9" ht="15" x14ac:dyDescent="0.25">
      <c r="B726" s="30"/>
      <c r="C726" s="30"/>
      <c r="D726" s="28"/>
      <c r="E726" s="33"/>
      <c r="F726" s="33"/>
      <c r="G726" s="28"/>
      <c r="H726" s="28"/>
      <c r="I726" s="31"/>
    </row>
    <row r="727" spans="2:9" ht="15" x14ac:dyDescent="0.25">
      <c r="B727" s="30"/>
      <c r="C727" s="30"/>
      <c r="D727" s="28"/>
      <c r="E727" s="33"/>
      <c r="F727" s="33"/>
      <c r="G727" s="28"/>
      <c r="H727" s="28"/>
      <c r="I727" s="31"/>
    </row>
    <row r="728" spans="2:9" ht="15" x14ac:dyDescent="0.25">
      <c r="B728" s="30"/>
      <c r="C728" s="30"/>
      <c r="D728" s="28"/>
      <c r="E728" s="33"/>
      <c r="F728" s="33"/>
      <c r="G728" s="28"/>
      <c r="H728" s="28"/>
      <c r="I728" s="31"/>
    </row>
    <row r="729" spans="2:9" ht="15" x14ac:dyDescent="0.25">
      <c r="B729" s="30"/>
      <c r="C729" s="30"/>
      <c r="D729" s="28"/>
      <c r="E729" s="33"/>
      <c r="F729" s="33"/>
      <c r="G729" s="28"/>
      <c r="H729" s="28"/>
      <c r="I729" s="31"/>
    </row>
    <row r="730" spans="2:9" ht="15" x14ac:dyDescent="0.25">
      <c r="B730" s="30"/>
      <c r="C730" s="30"/>
      <c r="D730" s="28"/>
      <c r="E730" s="33"/>
      <c r="F730" s="33"/>
      <c r="G730" s="28"/>
      <c r="H730" s="28"/>
      <c r="I730" s="31"/>
    </row>
    <row r="731" spans="2:9" ht="15" x14ac:dyDescent="0.25">
      <c r="B731" s="30"/>
      <c r="C731" s="30"/>
      <c r="D731" s="28"/>
      <c r="E731" s="33"/>
      <c r="F731" s="33"/>
      <c r="G731" s="28"/>
      <c r="H731" s="28"/>
      <c r="I731" s="31"/>
    </row>
    <row r="732" spans="2:9" ht="15" x14ac:dyDescent="0.25">
      <c r="B732" s="30"/>
      <c r="C732" s="30"/>
      <c r="D732" s="28"/>
      <c r="E732" s="33"/>
      <c r="F732" s="33"/>
      <c r="G732" s="28"/>
      <c r="H732" s="28"/>
      <c r="I732" s="31"/>
    </row>
    <row r="733" spans="2:9" ht="15" x14ac:dyDescent="0.25">
      <c r="B733" s="30"/>
      <c r="C733" s="30"/>
      <c r="D733" s="28"/>
      <c r="E733" s="33"/>
      <c r="F733" s="33"/>
      <c r="G733" s="28"/>
      <c r="H733" s="28"/>
      <c r="I733" s="31"/>
    </row>
    <row r="734" spans="2:9" ht="15" x14ac:dyDescent="0.25">
      <c r="B734" s="30"/>
      <c r="C734" s="30"/>
      <c r="D734" s="28"/>
      <c r="E734" s="33"/>
      <c r="F734" s="33"/>
      <c r="G734" s="28"/>
      <c r="H734" s="28"/>
      <c r="I734" s="31"/>
    </row>
    <row r="735" spans="2:9" ht="15" x14ac:dyDescent="0.25">
      <c r="B735" s="30"/>
      <c r="C735" s="30"/>
      <c r="D735" s="28"/>
      <c r="E735" s="33"/>
      <c r="F735" s="33"/>
      <c r="G735" s="28"/>
      <c r="H735" s="28"/>
      <c r="I735" s="31"/>
    </row>
    <row r="736" spans="2:9" ht="15" x14ac:dyDescent="0.25">
      <c r="B736" s="30"/>
      <c r="C736" s="30"/>
      <c r="D736" s="28"/>
      <c r="E736" s="33"/>
      <c r="F736" s="33"/>
      <c r="G736" s="28"/>
      <c r="H736" s="28"/>
      <c r="I736" s="31"/>
    </row>
    <row r="737" spans="2:9" ht="15" x14ac:dyDescent="0.25">
      <c r="B737" s="30"/>
      <c r="C737" s="30"/>
      <c r="D737" s="28"/>
      <c r="E737" s="33"/>
      <c r="F737" s="33"/>
      <c r="G737" s="28"/>
      <c r="H737" s="28"/>
      <c r="I737" s="31"/>
    </row>
    <row r="738" spans="2:9" ht="15" x14ac:dyDescent="0.25">
      <c r="B738" s="30"/>
      <c r="C738" s="30"/>
      <c r="D738" s="28"/>
      <c r="E738" s="33"/>
      <c r="F738" s="33"/>
      <c r="G738" s="28"/>
      <c r="H738" s="28"/>
      <c r="I738" s="31"/>
    </row>
    <row r="739" spans="2:9" ht="15" x14ac:dyDescent="0.25">
      <c r="B739" s="30"/>
      <c r="C739" s="30"/>
      <c r="D739" s="28"/>
      <c r="E739" s="33"/>
      <c r="F739" s="33"/>
      <c r="G739" s="28"/>
      <c r="H739" s="28"/>
      <c r="I739" s="31"/>
    </row>
    <row r="740" spans="2:9" ht="15" x14ac:dyDescent="0.25">
      <c r="B740" s="30"/>
      <c r="C740" s="30"/>
      <c r="D740" s="28"/>
      <c r="E740" s="33"/>
      <c r="F740" s="33"/>
      <c r="G740" s="28"/>
      <c r="H740" s="28"/>
      <c r="I740" s="31"/>
    </row>
    <row r="741" spans="2:9" ht="15" x14ac:dyDescent="0.25">
      <c r="B741" s="30"/>
      <c r="C741" s="30"/>
      <c r="D741" s="28"/>
      <c r="E741" s="33"/>
      <c r="F741" s="33"/>
      <c r="G741" s="28"/>
      <c r="H741" s="28"/>
      <c r="I741" s="31"/>
    </row>
    <row r="742" spans="2:9" ht="15" x14ac:dyDescent="0.25">
      <c r="B742" s="30"/>
      <c r="C742" s="30"/>
      <c r="D742" s="28"/>
      <c r="E742" s="33"/>
      <c r="F742" s="33"/>
      <c r="G742" s="28"/>
      <c r="H742" s="28"/>
      <c r="I742" s="31"/>
    </row>
    <row r="743" spans="2:9" ht="15" x14ac:dyDescent="0.25">
      <c r="B743" s="30"/>
      <c r="C743" s="30"/>
      <c r="D743" s="28"/>
      <c r="E743" s="33"/>
      <c r="F743" s="33"/>
      <c r="G743" s="28"/>
      <c r="H743" s="28"/>
      <c r="I743" s="31"/>
    </row>
    <row r="744" spans="2:9" ht="15" x14ac:dyDescent="0.25">
      <c r="B744" s="30"/>
      <c r="C744" s="30"/>
      <c r="D744" s="28"/>
      <c r="E744" s="33"/>
      <c r="F744" s="33"/>
      <c r="G744" s="28"/>
      <c r="H744" s="28"/>
      <c r="I744" s="31"/>
    </row>
    <row r="745" spans="2:9" ht="15" x14ac:dyDescent="0.25">
      <c r="B745" s="30"/>
      <c r="C745" s="30"/>
      <c r="D745" s="28"/>
      <c r="E745" s="33"/>
      <c r="F745" s="33"/>
      <c r="G745" s="28"/>
      <c r="H745" s="28"/>
      <c r="I745" s="31"/>
    </row>
    <row r="746" spans="2:9" ht="15" x14ac:dyDescent="0.25">
      <c r="B746" s="30"/>
      <c r="C746" s="30"/>
      <c r="D746" s="28"/>
      <c r="E746" s="33"/>
      <c r="F746" s="33"/>
      <c r="G746" s="28"/>
      <c r="H746" s="28"/>
      <c r="I746" s="31"/>
    </row>
    <row r="747" spans="2:9" ht="15" x14ac:dyDescent="0.25">
      <c r="B747" s="30"/>
      <c r="C747" s="30"/>
      <c r="D747" s="28"/>
      <c r="E747" s="33"/>
      <c r="F747" s="33"/>
      <c r="G747" s="28"/>
      <c r="H747" s="28"/>
      <c r="I747" s="31"/>
    </row>
    <row r="748" spans="2:9" ht="15" x14ac:dyDescent="0.25">
      <c r="B748" s="30"/>
      <c r="C748" s="30"/>
      <c r="D748" s="28"/>
      <c r="E748" s="33"/>
      <c r="F748" s="33"/>
      <c r="G748" s="28"/>
      <c r="H748" s="28"/>
      <c r="I748" s="31"/>
    </row>
    <row r="749" spans="2:9" ht="15" x14ac:dyDescent="0.25">
      <c r="B749" s="30"/>
      <c r="C749" s="30"/>
      <c r="D749" s="28"/>
      <c r="E749" s="33"/>
      <c r="F749" s="33"/>
      <c r="G749" s="28"/>
      <c r="H749" s="28"/>
      <c r="I749" s="31"/>
    </row>
    <row r="750" spans="2:9" ht="15" x14ac:dyDescent="0.25">
      <c r="B750" s="30"/>
      <c r="C750" s="30"/>
      <c r="D750" s="28"/>
      <c r="E750" s="33"/>
      <c r="F750" s="33"/>
      <c r="G750" s="28"/>
      <c r="H750" s="28"/>
      <c r="I750" s="31"/>
    </row>
    <row r="751" spans="2:9" ht="15" x14ac:dyDescent="0.25">
      <c r="B751" s="30"/>
      <c r="C751" s="30"/>
      <c r="D751" s="28"/>
      <c r="E751" s="33"/>
      <c r="F751" s="33"/>
      <c r="G751" s="28"/>
      <c r="H751" s="28"/>
      <c r="I751" s="31"/>
    </row>
    <row r="752" spans="2:9" ht="15" x14ac:dyDescent="0.25">
      <c r="B752" s="30"/>
      <c r="C752" s="30"/>
      <c r="D752" s="28"/>
      <c r="E752" s="33"/>
      <c r="F752" s="33"/>
      <c r="G752" s="28"/>
      <c r="H752" s="28"/>
      <c r="I752" s="31"/>
    </row>
    <row r="753" spans="2:9" ht="15" x14ac:dyDescent="0.25">
      <c r="B753" s="30"/>
      <c r="C753" s="30"/>
      <c r="D753" s="28"/>
      <c r="E753" s="33"/>
      <c r="F753" s="33"/>
      <c r="G753" s="28"/>
      <c r="H753" s="28"/>
      <c r="I753" s="31"/>
    </row>
    <row r="754" spans="2:9" ht="15" x14ac:dyDescent="0.25">
      <c r="B754" s="30"/>
      <c r="C754" s="30"/>
      <c r="D754" s="28"/>
      <c r="E754" s="33"/>
      <c r="F754" s="33"/>
      <c r="G754" s="28"/>
      <c r="H754" s="28"/>
      <c r="I754" s="31"/>
    </row>
    <row r="755" spans="2:9" ht="15" x14ac:dyDescent="0.25">
      <c r="B755" s="30"/>
      <c r="C755" s="30"/>
      <c r="D755" s="28"/>
      <c r="E755" s="33"/>
      <c r="F755" s="33"/>
      <c r="G755" s="28"/>
      <c r="H755" s="28"/>
      <c r="I755" s="31"/>
    </row>
    <row r="756" spans="2:9" ht="15" x14ac:dyDescent="0.25">
      <c r="B756" s="30"/>
      <c r="C756" s="30"/>
      <c r="D756" s="28"/>
      <c r="E756" s="33"/>
      <c r="F756" s="33"/>
      <c r="G756" s="28"/>
      <c r="H756" s="28"/>
      <c r="I756" s="31"/>
    </row>
    <row r="757" spans="2:9" ht="15" x14ac:dyDescent="0.25">
      <c r="B757" s="30"/>
      <c r="C757" s="30"/>
      <c r="D757" s="28"/>
      <c r="E757" s="33"/>
      <c r="F757" s="33"/>
      <c r="G757" s="28"/>
      <c r="H757" s="28"/>
      <c r="I757" s="31"/>
    </row>
    <row r="758" spans="2:9" ht="15" x14ac:dyDescent="0.25">
      <c r="B758" s="30"/>
      <c r="C758" s="30"/>
      <c r="D758" s="28"/>
      <c r="E758" s="33"/>
      <c r="F758" s="33"/>
      <c r="G758" s="28"/>
      <c r="H758" s="28"/>
      <c r="I758" s="31"/>
    </row>
    <row r="759" spans="2:9" ht="15" x14ac:dyDescent="0.25">
      <c r="B759" s="30"/>
      <c r="C759" s="30"/>
      <c r="D759" s="28"/>
      <c r="E759" s="33"/>
      <c r="F759" s="33"/>
      <c r="G759" s="28"/>
      <c r="H759" s="28"/>
      <c r="I759" s="31"/>
    </row>
    <row r="760" spans="2:9" ht="15" x14ac:dyDescent="0.25">
      <c r="B760" s="30"/>
      <c r="C760" s="30"/>
      <c r="D760" s="28"/>
      <c r="E760" s="33"/>
      <c r="F760" s="33"/>
      <c r="G760" s="28"/>
      <c r="H760" s="28"/>
      <c r="I760" s="31"/>
    </row>
    <row r="761" spans="2:9" ht="15" x14ac:dyDescent="0.25">
      <c r="B761" s="30"/>
      <c r="C761" s="30"/>
      <c r="D761" s="28"/>
      <c r="E761" s="33"/>
      <c r="F761" s="33"/>
      <c r="G761" s="28"/>
      <c r="H761" s="28"/>
      <c r="I761" s="31"/>
    </row>
    <row r="762" spans="2:9" ht="15" x14ac:dyDescent="0.25">
      <c r="B762" s="30"/>
      <c r="C762" s="30"/>
      <c r="D762" s="28"/>
      <c r="E762" s="33"/>
      <c r="F762" s="33"/>
      <c r="G762" s="28"/>
      <c r="H762" s="28"/>
      <c r="I762" s="31"/>
    </row>
    <row r="763" spans="2:9" ht="15" x14ac:dyDescent="0.25">
      <c r="B763" s="30"/>
      <c r="C763" s="30"/>
      <c r="D763" s="28"/>
      <c r="E763" s="33"/>
      <c r="F763" s="33"/>
      <c r="G763" s="28"/>
      <c r="H763" s="28"/>
      <c r="I763" s="31"/>
    </row>
    <row r="764" spans="2:9" ht="15" x14ac:dyDescent="0.25">
      <c r="B764" s="30"/>
      <c r="C764" s="30"/>
      <c r="D764" s="28"/>
      <c r="E764" s="33"/>
      <c r="F764" s="33"/>
      <c r="G764" s="28"/>
      <c r="H764" s="28"/>
      <c r="I764" s="31"/>
    </row>
    <row r="765" spans="2:9" ht="15" x14ac:dyDescent="0.25">
      <c r="B765" s="30"/>
      <c r="C765" s="30"/>
      <c r="D765" s="28"/>
      <c r="E765" s="33"/>
      <c r="F765" s="33"/>
      <c r="G765" s="28"/>
      <c r="H765" s="28"/>
      <c r="I765" s="31"/>
    </row>
  </sheetData>
  <phoneticPr fontId="0" type="noConversion"/>
  <printOptions gridLines="1"/>
  <pageMargins left="0.7" right="0.7" top="0.75" bottom="0.75" header="0.3" footer="0.3"/>
  <pageSetup scale="90" fitToHeight="0" orientation="landscape" blackAndWhite="1" horizontalDpi="1800" verticalDpi="1800" r:id="rId1"/>
  <headerFooter alignWithMargins="0">
    <oddHeader>&amp;L&amp;"Arial Black,Bold"&amp;14Total Development Cost&amp;C&amp;"Arial Black,Bold"&amp;12&amp;A&amp;R&amp;"Arial Black,Regular"&amp;14Revised March 2019</oddHeader>
    <oddFooter>&amp;C&amp;"Times New Roman,Regular"&amp;12Page &amp;P of &amp;N&amp;9
All Total Delevopment Costs are for detached dwellings (one-four family dwellings). For other structure types, e.g., walkup, elevator, etc., contact the Area ONAP Office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BE27003353954888358C37D25A1389" ma:contentTypeVersion="7" ma:contentTypeDescription="Create a new document." ma:contentTypeScope="" ma:versionID="c9ca685b2d6b797b6b70d8faab11dc4b">
  <xsd:schema xmlns:xsd="http://www.w3.org/2001/XMLSchema" xmlns:xs="http://www.w3.org/2001/XMLSchema" xmlns:p="http://schemas.microsoft.com/office/2006/metadata/properties" xmlns:ns2="ae2a2941-2dbe-4eaa-9281-19e6e20101f1" xmlns:ns3="dca89f83-e7cb-46ce-8e9f-cb067c1b6911" xmlns:ns4="57b6deb9-dc41-4ced-bf19-f2d6f59f6165" targetNamespace="http://schemas.microsoft.com/office/2006/metadata/properties" ma:root="true" ma:fieldsID="fd2b59b92f9fa63492eddecdc07fa97f" ns2:_="" ns3:_="" ns4:_="">
    <xsd:import namespace="ae2a2941-2dbe-4eaa-9281-19e6e20101f1"/>
    <xsd:import namespace="dca89f83-e7cb-46ce-8e9f-cb067c1b6911"/>
    <xsd:import namespace="57b6deb9-dc41-4ced-bf19-f2d6f59f6165"/>
    <xsd:element name="properties">
      <xsd:complexType>
        <xsd:sequence>
          <xsd:element name="documentManagement">
            <xsd:complexType>
              <xsd:all>
                <xsd:element ref="ns2:Clearance" minOccurs="0"/>
                <xsd:element ref="ns2:Clearance_x003a_Clearance_x0020_Name" minOccurs="0"/>
                <xsd:element ref="ns2:Clearance_x003a_Clearance_x0020_Number" minOccurs="0"/>
                <xsd:element ref="ns3:_dlc_DocId" minOccurs="0"/>
                <xsd:element ref="ns3:_dlc_DocIdUrl" minOccurs="0"/>
                <xsd:element ref="ns3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a2941-2dbe-4eaa-9281-19e6e20101f1" elementFormDefault="qualified">
    <xsd:import namespace="http://schemas.microsoft.com/office/2006/documentManagement/types"/>
    <xsd:import namespace="http://schemas.microsoft.com/office/infopath/2007/PartnerControls"/>
    <xsd:element name="Clearance" ma:index="4" nillable="true" ma:displayName="Clearance" ma:list="{7bf3ecff-3704-4e92-a7de-53154701d469}" ma:internalName="Clearance" ma:showField="Title" ma:web="57b6deb9-dc41-4ced-bf19-f2d6f59f6165">
      <xsd:simpleType>
        <xsd:restriction base="dms:Lookup"/>
      </xsd:simpleType>
    </xsd:element>
    <xsd:element name="Clearance_x003a_Clearance_x0020_Name" ma:index="5" nillable="true" ma:displayName="Clearance:Clearance Name" ma:list="{7bf3ecff-3704-4e92-a7de-53154701d469}" ma:internalName="Clearance_x003a_Clearance_x0020_Name" ma:readOnly="true" ma:showField="Title" ma:web="57b6deb9-dc41-4ced-bf19-f2d6f59f6165">
      <xsd:simpleType>
        <xsd:restriction base="dms:Lookup"/>
      </xsd:simpleType>
    </xsd:element>
    <xsd:element name="Clearance_x003a_Clearance_x0020_Number" ma:index="6" nillable="true" ma:displayName="Clearance:Clearance Number" ma:list="{7bf3ecff-3704-4e92-a7de-53154701d469}" ma:internalName="Clearance_x003a_Clearance_x0020_Number" ma:readOnly="true" ma:showField="Clearance_x0020_Number" ma:web="57b6deb9-dc41-4ced-bf19-f2d6f59f6165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89f83-e7cb-46ce-8e9f-cb067c1b6911" elementFormDefault="qualified">
    <xsd:import namespace="http://schemas.microsoft.com/office/2006/documentManagement/types"/>
    <xsd:import namespace="http://schemas.microsoft.com/office/infopath/2007/PartnerControls"/>
    <xsd:element name="_dlc_DocId" ma:index="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6deb9-dc41-4ced-bf19-f2d6f59f61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earance xmlns="ae2a2941-2dbe-4eaa-9281-19e6e20101f1">1917</Clearance>
  </documentManagement>
</p:properties>
</file>

<file path=customXml/itemProps1.xml><?xml version="1.0" encoding="utf-8"?>
<ds:datastoreItem xmlns:ds="http://schemas.openxmlformats.org/officeDocument/2006/customXml" ds:itemID="{9349CFF3-99A5-432F-878F-D54A1AF73A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2a2941-2dbe-4eaa-9281-19e6e20101f1"/>
    <ds:schemaRef ds:uri="dca89f83-e7cb-46ce-8e9f-cb067c1b6911"/>
    <ds:schemaRef ds:uri="57b6deb9-dc41-4ced-bf19-f2d6f59f61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F68C1D-8214-4C19-8814-400E1F212F9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7947F62-D305-42A1-9DEC-E7D61083EDA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A15EBF7-45C4-4FDA-9A54-8BF01AFB11F6}">
  <ds:schemaRefs>
    <ds:schemaRef ds:uri="http://purl.org/dc/elements/1.1/"/>
    <ds:schemaRef ds:uri="57b6deb9-dc41-4ced-bf19-f2d6f59f6165"/>
    <ds:schemaRef ds:uri="http://schemas.microsoft.com/office/2006/metadata/properties"/>
    <ds:schemaRef ds:uri="ae2a2941-2dbe-4eaa-9281-19e6e20101f1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dca89f83-e7cb-46ce-8e9f-cb067c1b6911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Base Figures</vt:lpstr>
      <vt:lpstr>Multipliers</vt:lpstr>
      <vt:lpstr>TDCTRIBE</vt:lpstr>
      <vt:lpstr>Notice Printout (2)</vt:lpstr>
      <vt:lpstr>Notice Printout</vt:lpstr>
      <vt:lpstr>Sheet1</vt:lpstr>
      <vt:lpstr>'Base Figures'!Print_Area</vt:lpstr>
      <vt:lpstr>Multipliers!Print_Area</vt:lpstr>
      <vt:lpstr>'Notice Printout'!Print_Area</vt:lpstr>
      <vt:lpstr>'Notice Printout (2)'!Print_Area</vt:lpstr>
      <vt:lpstr>TDCTRIBE!Print_Area</vt:lpstr>
      <vt:lpstr>'Notice Printout'!Print_Titles</vt:lpstr>
      <vt:lpstr>'Notice Printout (2)'!Print_Titles</vt:lpstr>
      <vt:lpstr>TDCTRIBE!Print_Titles</vt:lpstr>
      <vt:lpstr>'Notice Printout'!SPSS</vt:lpstr>
      <vt:lpstr>'Notice Printout (2)'!SPSS</vt:lpstr>
      <vt:lpstr>SPSS</vt:lpstr>
    </vt:vector>
  </TitlesOfParts>
  <Company>HUD / PD&amp;R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Valerie F. Dancy</dc:creator>
  <cp:lastModifiedBy>Smith, Dawn M</cp:lastModifiedBy>
  <cp:lastPrinted>2019-06-07T19:23:37Z</cp:lastPrinted>
  <dcterms:created xsi:type="dcterms:W3CDTF">1997-11-06T19:39:12Z</dcterms:created>
  <dcterms:modified xsi:type="dcterms:W3CDTF">2019-07-18T16:02:01Z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0x010100A7BE27003353954888358C37D25A1389</vt:lpwstr>
  </property>
</Properties>
</file>